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CAWOS LIVE SITE\CAWOS\"/>
    </mc:Choice>
  </mc:AlternateContent>
  <xr:revisionPtr revIDLastSave="0" documentId="13_ncr:1_{7DFCD6EA-4CBC-47AD-854E-53289CF41B8D}" xr6:coauthVersionLast="47" xr6:coauthVersionMax="47" xr10:uidLastSave="{00000000-0000-0000-0000-000000000000}"/>
  <bookViews>
    <workbookView xWindow="-120" yWindow="-120" windowWidth="38640" windowHeight="21240" xr2:uid="{00000000-000D-0000-FFFF-FFFF00000000}"/>
  </bookViews>
  <sheets>
    <sheet name="Records" sheetId="1" r:id="rId1"/>
    <sheet name="Filtering the sheet" sheetId="2" r:id="rId2"/>
    <sheet name="Codes" sheetId="3" r:id="rId3"/>
    <sheet name="county rarity list" sheetId="4" r:id="rId4"/>
  </sheets>
  <definedNames>
    <definedName name="_xlnm._FilterDatabase" localSheetId="0" hidden="1">Records!$A$6:$O$1837</definedName>
    <definedName name="Z_0E382DC1_CC16_4AC9_9229_FE0ABFB2C5F2_.wvu.FilterData" localSheetId="0" hidden="1">Records!$A$6:$CB$1742</definedName>
    <definedName name="Z_11C6454E_9329_41AF_A653_8A39E64D8C82_.wvu.FilterData" localSheetId="0" hidden="1">Records!$A$6:$CB$1742</definedName>
    <definedName name="Z_185EAA8B_2199_4D8E_AB5C_87699C996076_.wvu.FilterData" localSheetId="0" hidden="1">Records!$A$6:$CB$1742</definedName>
    <definedName name="Z_288CB0A4_4D33_4904_A04E_48AEF1E0E3EA_.wvu.FilterData" localSheetId="0" hidden="1">Records!$A$6:$CB$1742</definedName>
    <definedName name="Z_77B2E5D6_2D1D_46D6_B4C5_D539AD9F6E76_.wvu.FilterData" localSheetId="0" hidden="1">Records!$A$6:$CB$1742</definedName>
    <definedName name="Z_8A77F242_7CAD_493F_B79A_34784C6BEF50_.wvu.FilterData" localSheetId="0" hidden="1">Records!$A$6:$CB$1856</definedName>
    <definedName name="Z_9B1427F1_3E67_4D91_9EF4_6EB9EC2BCBCF_.wvu.FilterData" localSheetId="0" hidden="1">Records!$A$6:$CB$1742</definedName>
    <definedName name="Z_C0755F46_240A_478C_93CA_A5132B2C7623_.wvu.FilterData" localSheetId="0" hidden="1">Records!$A$6:$CB$1742</definedName>
    <definedName name="Z_C45610C9_D341_4391_9239_17BD1A27FEEF_.wvu.FilterData" localSheetId="0" hidden="1">Records!$A$6:$CB$1742</definedName>
    <definedName name="Z_C5490FD7_31B3_494F_B1E2_FE930956F72D_.wvu.FilterData" localSheetId="0" hidden="1">Records!$A$6:$CB$1747</definedName>
    <definedName name="Z_C7007AEB_2C1A_4773_9C47_D2BACEBA8AFB_.wvu.FilterData" localSheetId="0" hidden="1">Records!$A$6:$CB$1742</definedName>
  </definedNames>
  <calcPr calcId="191029"/>
  <customWorkbookViews>
    <customWorkbookView name="1. all records" guid="{0E382DC1-CC16-4AC9-9229-FE0ABFB2C5F2}" maximized="1" windowWidth="0" windowHeight="0" activeSheetId="0"/>
    <customWorkbookView name="BMW/IMF/GAYTON" guid="{C45610C9-D341-4391-9239-17BD1A27FEEF}" maximized="1" windowWidth="0" windowHeight="0" activeSheetId="0"/>
    <customWorkbookView name="Neumanns and Marbury" guid="{185EAA8B-2199-4D8E-AB5C-87699C996076}" maximized="1" windowWidth="0" windowHeight="0" activeSheetId="0"/>
    <customWorkbookView name="3. not formally submitted" guid="{288CB0A4-4D33-4904-A04E-48AEF1E0E3EA}" maximized="1" windowWidth="0" windowHeight="0" activeSheetId="0"/>
    <customWorkbookView name="Frodsham area" guid="{11C6454E-9329-41AF-A653-8A39E64D8C82}" maximized="1" windowWidth="0" windowHeight="0" activeSheetId="0"/>
    <customWorkbookView name="Hoylake and Meols" guid="{8A77F242-7CAD-493F-B79A-34784C6BEF50}" maximized="1" windowWidth="0" windowHeight="0" activeSheetId="0"/>
    <customWorkbookView name="2.BBRC NB not back dated" guid="{C5490FD7-31B3-494F-B1E2-FE930956F72D}" maximized="1" windowWidth="0" windowHeight="0" activeSheetId="0"/>
    <customWorkbookView name="Sandbach" guid="{C0755F46-240A-478C-93CA-A5132B2C7623}" maximized="1" windowWidth="0" windowHeight="0" activeSheetId="0"/>
    <customWorkbookView name="Hilbre" guid="{C7007AEB-2C1A-4773-9C47-D2BACEBA8AFB}" maximized="1" windowWidth="0" windowHeight="0" activeSheetId="0"/>
    <customWorkbookView name="Woolston" guid="{77B2E5D6-2D1D-46D6-B4C5-D539AD9F6E76}" maximized="1" windowWidth="0" windowHeight="0" activeSheetId="0"/>
    <customWorkbookView name="Leasowe &quot;BO&quot;" guid="{9B1427F1-3E67-4D91-9EF4-6EB9EC2BCBC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86" i="1" l="1"/>
  <c r="N1886" i="1"/>
  <c r="L1886" i="1"/>
  <c r="H1886" i="1"/>
  <c r="G1886" i="1"/>
  <c r="E1886" i="1"/>
  <c r="D1886" i="1"/>
  <c r="B1886" i="1"/>
  <c r="A1886" i="1"/>
  <c r="N1885" i="1"/>
  <c r="L1885" i="1"/>
  <c r="H1885" i="1"/>
  <c r="G1885" i="1"/>
  <c r="E1885" i="1"/>
  <c r="D1885" i="1"/>
  <c r="B1885" i="1"/>
  <c r="A1885" i="1"/>
  <c r="N1884" i="1"/>
  <c r="L1884" i="1"/>
  <c r="H1884" i="1"/>
  <c r="G1884" i="1"/>
  <c r="E1884" i="1"/>
  <c r="D1884" i="1"/>
  <c r="C1884" i="1"/>
  <c r="N1883" i="1"/>
  <c r="L1883" i="1"/>
  <c r="H1883" i="1"/>
  <c r="G1883" i="1"/>
  <c r="E1883" i="1"/>
  <c r="D1883" i="1"/>
  <c r="N1882" i="1"/>
  <c r="L1882" i="1"/>
  <c r="I1882" i="1"/>
  <c r="H1882" i="1"/>
  <c r="G1882" i="1"/>
  <c r="E1882" i="1"/>
  <c r="D1882" i="1"/>
  <c r="B1882" i="1"/>
  <c r="A1882" i="1"/>
  <c r="N1881" i="1"/>
  <c r="L1881" i="1"/>
  <c r="H1881" i="1"/>
  <c r="G1881" i="1"/>
  <c r="E1881" i="1"/>
  <c r="D1881" i="1"/>
  <c r="A1881" i="1"/>
  <c r="N1880" i="1"/>
  <c r="L1880" i="1"/>
  <c r="H1880" i="1"/>
  <c r="G1880" i="1"/>
  <c r="E1880" i="1"/>
  <c r="D1880" i="1"/>
  <c r="C1880" i="1"/>
  <c r="B1880" i="1"/>
  <c r="A1880" i="1"/>
  <c r="N1879" i="1"/>
  <c r="L1879" i="1"/>
  <c r="H1879" i="1"/>
  <c r="G1879" i="1"/>
  <c r="F1879" i="1"/>
  <c r="E1879" i="1"/>
  <c r="D1879" i="1"/>
  <c r="C1879" i="1"/>
  <c r="B1879" i="1"/>
  <c r="A1879" i="1"/>
  <c r="N1878" i="1"/>
  <c r="L1878" i="1"/>
  <c r="H1878" i="1"/>
  <c r="G1878" i="1"/>
  <c r="E1878" i="1"/>
  <c r="D1878" i="1"/>
  <c r="B1878" i="1"/>
  <c r="A1878" i="1"/>
  <c r="N1877" i="1"/>
  <c r="L1877" i="1"/>
  <c r="H1877" i="1"/>
  <c r="G1877" i="1"/>
  <c r="E1877" i="1"/>
  <c r="D1877" i="1"/>
  <c r="B1877" i="1"/>
  <c r="A1877" i="1"/>
  <c r="N1876" i="1"/>
  <c r="L1876" i="1"/>
  <c r="H1876" i="1"/>
  <c r="G1876" i="1"/>
  <c r="E1876" i="1"/>
  <c r="D1876" i="1"/>
  <c r="B1876" i="1"/>
  <c r="A1876" i="1"/>
  <c r="N1875" i="1"/>
  <c r="L1875" i="1"/>
  <c r="H1875" i="1"/>
  <c r="G1875" i="1"/>
  <c r="E1875" i="1"/>
  <c r="D1875" i="1"/>
  <c r="B1875" i="1"/>
  <c r="A1875" i="1"/>
  <c r="N1874" i="1"/>
  <c r="L1874" i="1"/>
  <c r="H1874" i="1"/>
  <c r="G1874" i="1"/>
  <c r="E1874" i="1"/>
  <c r="D1874" i="1"/>
  <c r="B1874" i="1"/>
  <c r="A1874" i="1"/>
  <c r="O1873" i="1"/>
  <c r="N1873" i="1"/>
  <c r="L1873" i="1"/>
  <c r="H1873" i="1"/>
  <c r="G1873" i="1"/>
  <c r="E1873" i="1"/>
  <c r="D1873" i="1"/>
  <c r="B1873" i="1"/>
  <c r="A1873" i="1"/>
  <c r="O1872" i="1"/>
  <c r="N1872" i="1"/>
  <c r="L1872" i="1"/>
  <c r="K1872" i="1"/>
  <c r="J1872" i="1"/>
  <c r="H1872" i="1"/>
  <c r="G1872" i="1"/>
  <c r="F1872" i="1"/>
  <c r="E1872" i="1"/>
  <c r="D1872" i="1"/>
  <c r="B1872" i="1"/>
  <c r="A1872" i="1"/>
  <c r="N1871" i="1"/>
  <c r="L1871" i="1"/>
  <c r="I1871" i="1"/>
  <c r="H1871" i="1"/>
  <c r="G1871" i="1"/>
  <c r="E1871" i="1"/>
  <c r="D1871" i="1"/>
  <c r="B1871" i="1"/>
  <c r="A1871" i="1"/>
  <c r="N1870" i="1"/>
  <c r="L1870" i="1"/>
  <c r="H1870" i="1"/>
  <c r="G1870" i="1"/>
  <c r="E1870" i="1"/>
  <c r="D1870" i="1"/>
  <c r="B1870" i="1"/>
  <c r="A1870" i="1"/>
  <c r="N1869" i="1"/>
  <c r="L1869" i="1"/>
  <c r="H1869" i="1"/>
  <c r="G1869" i="1"/>
  <c r="E1869" i="1"/>
  <c r="D1869" i="1"/>
  <c r="B1869" i="1"/>
  <c r="A1869" i="1"/>
  <c r="N1868" i="1"/>
  <c r="L1868" i="1"/>
  <c r="H1868" i="1"/>
  <c r="G1868" i="1"/>
  <c r="E1868" i="1"/>
  <c r="D1868" i="1"/>
  <c r="B1868" i="1"/>
  <c r="A1868" i="1"/>
  <c r="N1867" i="1"/>
  <c r="L1867" i="1"/>
  <c r="I1867" i="1"/>
  <c r="H1867" i="1"/>
  <c r="G1867" i="1"/>
  <c r="E1867" i="1"/>
  <c r="D1867" i="1"/>
  <c r="B1867" i="1"/>
  <c r="A1867" i="1"/>
  <c r="N1866" i="1"/>
  <c r="L1866" i="1"/>
  <c r="H1866" i="1"/>
  <c r="G1866" i="1"/>
  <c r="E1866" i="1"/>
  <c r="D1866" i="1"/>
  <c r="B1866" i="1"/>
  <c r="A1866" i="1"/>
  <c r="N1865" i="1"/>
  <c r="L1865" i="1"/>
  <c r="H1865" i="1"/>
  <c r="G1865" i="1"/>
  <c r="E1865" i="1"/>
  <c r="D1865" i="1"/>
  <c r="B1865" i="1"/>
  <c r="A1865" i="1"/>
  <c r="N1864" i="1"/>
  <c r="L1864" i="1"/>
  <c r="I1864" i="1"/>
  <c r="H1864" i="1"/>
  <c r="G1864" i="1"/>
  <c r="E1864" i="1"/>
  <c r="D1864" i="1"/>
  <c r="B1864" i="1"/>
  <c r="A1864" i="1"/>
  <c r="O1863" i="1"/>
  <c r="N1863" i="1"/>
  <c r="L1863" i="1"/>
  <c r="K1863" i="1"/>
  <c r="J1863" i="1"/>
  <c r="I1863" i="1"/>
  <c r="H1863" i="1"/>
  <c r="G1863" i="1"/>
  <c r="E1863" i="1"/>
  <c r="D1863" i="1"/>
  <c r="A1863" i="1"/>
  <c r="O1862" i="1"/>
  <c r="N1862" i="1"/>
  <c r="L1862" i="1"/>
  <c r="H1862" i="1"/>
  <c r="G1862" i="1"/>
  <c r="E1862" i="1"/>
  <c r="D1862" i="1"/>
  <c r="B1862" i="1"/>
  <c r="A1862" i="1"/>
  <c r="N1861" i="1"/>
  <c r="L1861" i="1"/>
  <c r="I1861" i="1"/>
  <c r="H1861" i="1"/>
  <c r="G1861" i="1"/>
  <c r="E1861" i="1"/>
  <c r="D1861" i="1"/>
  <c r="A1861" i="1"/>
  <c r="O1860" i="1"/>
  <c r="N1860" i="1"/>
  <c r="L1860" i="1"/>
  <c r="H1860" i="1"/>
  <c r="G1860" i="1"/>
  <c r="E1860" i="1"/>
  <c r="D1860" i="1"/>
  <c r="A1860" i="1"/>
  <c r="O1859" i="1"/>
  <c r="N1859" i="1"/>
  <c r="L1859" i="1"/>
  <c r="H1859" i="1"/>
  <c r="G1859" i="1"/>
  <c r="E1859" i="1"/>
  <c r="D1859" i="1"/>
  <c r="A1859" i="1"/>
  <c r="O1858" i="1"/>
  <c r="N1858" i="1"/>
  <c r="L1858" i="1"/>
  <c r="H1858" i="1"/>
  <c r="G1858" i="1"/>
  <c r="E1858" i="1"/>
  <c r="D1858" i="1"/>
  <c r="B1858" i="1"/>
  <c r="A1858" i="1"/>
  <c r="O1857" i="1"/>
  <c r="N1857" i="1"/>
  <c r="L1857" i="1"/>
  <c r="H1857" i="1"/>
  <c r="G1857" i="1"/>
  <c r="E1857" i="1"/>
  <c r="D1857" i="1"/>
  <c r="B1857" i="1"/>
  <c r="A1857" i="1"/>
  <c r="N1856" i="1"/>
  <c r="L1856" i="1"/>
  <c r="H1856" i="1"/>
  <c r="G1856" i="1"/>
  <c r="E1856" i="1"/>
  <c r="D1856" i="1"/>
  <c r="B1856" i="1"/>
  <c r="A1856" i="1"/>
  <c r="O1855" i="1"/>
  <c r="N1855" i="1"/>
  <c r="L1855" i="1"/>
  <c r="K1855" i="1"/>
  <c r="J1855" i="1"/>
  <c r="I1855" i="1"/>
  <c r="H1855" i="1"/>
  <c r="G1855" i="1"/>
  <c r="F1855" i="1"/>
  <c r="E1855" i="1"/>
  <c r="D1855" i="1"/>
  <c r="A1855" i="1"/>
  <c r="O1854" i="1"/>
  <c r="N1854" i="1"/>
  <c r="L1854" i="1"/>
  <c r="I1854" i="1"/>
  <c r="H1854" i="1"/>
  <c r="G1854" i="1"/>
  <c r="E1854" i="1"/>
  <c r="D1854" i="1"/>
  <c r="A1854" i="1"/>
  <c r="O1853" i="1"/>
  <c r="N1853" i="1"/>
  <c r="L1853" i="1"/>
  <c r="I1853" i="1"/>
  <c r="H1853" i="1"/>
  <c r="G1853" i="1"/>
  <c r="E1853" i="1"/>
  <c r="D1853" i="1"/>
  <c r="A1853" i="1"/>
  <c r="O1852" i="1"/>
  <c r="N1852" i="1"/>
  <c r="L1852" i="1"/>
  <c r="I1852" i="1"/>
  <c r="H1852" i="1"/>
  <c r="G1852" i="1"/>
  <c r="E1852" i="1"/>
  <c r="D1852" i="1"/>
  <c r="A1852" i="1"/>
  <c r="O1851" i="1"/>
  <c r="N1851" i="1"/>
  <c r="L1851" i="1"/>
  <c r="H1851" i="1"/>
  <c r="G1851" i="1"/>
  <c r="E1851" i="1"/>
  <c r="D1851" i="1"/>
  <c r="A1851" i="1"/>
  <c r="O1850" i="1"/>
  <c r="N1850" i="1"/>
  <c r="L1850" i="1"/>
  <c r="I1850" i="1"/>
  <c r="H1850" i="1"/>
  <c r="G1850" i="1"/>
  <c r="E1850" i="1"/>
  <c r="D1850" i="1"/>
  <c r="A1850" i="1"/>
  <c r="O1849" i="1"/>
  <c r="N1849" i="1"/>
  <c r="L1849" i="1"/>
  <c r="H1849" i="1"/>
  <c r="G1849" i="1"/>
  <c r="E1849" i="1"/>
  <c r="D1849" i="1"/>
  <c r="A1849" i="1"/>
  <c r="O1848" i="1"/>
  <c r="N1848" i="1"/>
  <c r="L1848" i="1"/>
  <c r="I1848" i="1"/>
  <c r="H1848" i="1"/>
  <c r="G1848" i="1"/>
  <c r="E1848" i="1"/>
  <c r="D1848" i="1"/>
  <c r="A1848" i="1"/>
  <c r="O1847" i="1"/>
  <c r="N1847" i="1"/>
  <c r="L1847" i="1"/>
  <c r="H1847" i="1"/>
  <c r="G1847" i="1"/>
  <c r="E1847" i="1"/>
  <c r="D1847" i="1"/>
  <c r="A1847" i="1"/>
  <c r="O1846" i="1"/>
  <c r="N1846" i="1"/>
  <c r="L1846" i="1"/>
  <c r="H1846" i="1"/>
  <c r="G1846" i="1"/>
  <c r="E1846" i="1"/>
  <c r="D1846" i="1"/>
  <c r="A1846" i="1"/>
  <c r="O1845" i="1"/>
  <c r="N1845" i="1"/>
  <c r="L1845" i="1"/>
  <c r="H1845" i="1"/>
  <c r="G1845" i="1"/>
  <c r="E1845" i="1"/>
  <c r="D1845" i="1"/>
  <c r="A1845" i="1"/>
  <c r="O1844" i="1"/>
  <c r="N1844" i="1"/>
  <c r="L1844" i="1"/>
  <c r="H1844" i="1"/>
  <c r="G1844" i="1"/>
  <c r="E1844" i="1"/>
  <c r="D1844" i="1"/>
  <c r="A1844" i="1"/>
  <c r="O1843" i="1"/>
  <c r="N1843" i="1"/>
  <c r="L1843" i="1"/>
  <c r="H1843" i="1"/>
  <c r="G1843" i="1"/>
  <c r="E1843" i="1"/>
  <c r="D1843" i="1"/>
  <c r="A1843" i="1"/>
  <c r="O1842" i="1"/>
  <c r="N1842" i="1"/>
  <c r="L1842" i="1"/>
  <c r="H1842" i="1"/>
  <c r="G1842" i="1"/>
  <c r="E1842" i="1"/>
  <c r="D1842" i="1"/>
  <c r="A1842" i="1"/>
  <c r="O1841" i="1"/>
  <c r="N1841" i="1"/>
  <c r="L1841" i="1"/>
  <c r="H1841" i="1"/>
  <c r="G1841" i="1"/>
  <c r="E1841" i="1"/>
  <c r="D1841" i="1"/>
  <c r="A1841" i="1"/>
  <c r="O1840" i="1"/>
  <c r="N1840" i="1"/>
  <c r="L1840" i="1"/>
  <c r="K1840" i="1"/>
  <c r="J1840" i="1"/>
  <c r="H1840" i="1"/>
  <c r="G1840" i="1"/>
  <c r="E1840" i="1"/>
  <c r="D1840" i="1"/>
  <c r="B1840" i="1"/>
  <c r="A1840" i="1"/>
  <c r="O1839" i="1"/>
  <c r="N1839" i="1"/>
  <c r="L1839" i="1"/>
  <c r="I1839" i="1"/>
  <c r="H1839" i="1"/>
  <c r="G1839" i="1"/>
  <c r="E1839" i="1"/>
  <c r="D1839" i="1"/>
  <c r="A1839" i="1"/>
  <c r="O1838" i="1"/>
  <c r="N1838" i="1"/>
  <c r="L1838" i="1"/>
  <c r="H1838" i="1"/>
  <c r="G1838" i="1"/>
  <c r="E1838" i="1"/>
  <c r="D1838" i="1"/>
  <c r="A1838" i="1"/>
  <c r="O1837" i="1"/>
  <c r="N1837" i="1"/>
  <c r="L1837" i="1"/>
  <c r="H1837" i="1"/>
  <c r="G1837" i="1"/>
  <c r="E1837" i="1"/>
  <c r="D1837" i="1"/>
  <c r="A1837" i="1"/>
  <c r="O1836" i="1"/>
  <c r="N1836" i="1"/>
  <c r="L1836" i="1"/>
  <c r="H1836" i="1"/>
  <c r="G1836" i="1"/>
  <c r="E1836" i="1"/>
  <c r="D1836" i="1"/>
  <c r="A1836" i="1"/>
  <c r="O1835" i="1"/>
  <c r="N1835" i="1"/>
  <c r="L1835" i="1"/>
  <c r="K1835" i="1"/>
  <c r="J1835" i="1"/>
  <c r="H1835" i="1"/>
  <c r="G1835" i="1"/>
  <c r="E1835" i="1"/>
  <c r="D1835" i="1"/>
  <c r="B1835" i="1"/>
  <c r="A1835" i="1"/>
  <c r="O1834" i="1"/>
  <c r="N1834" i="1"/>
  <c r="L1834" i="1"/>
  <c r="H1834" i="1"/>
  <c r="G1834" i="1"/>
  <c r="E1834" i="1"/>
  <c r="D1834" i="1"/>
  <c r="A1834" i="1"/>
  <c r="O1833" i="1"/>
  <c r="N1833" i="1"/>
  <c r="L1833" i="1"/>
  <c r="H1833" i="1"/>
  <c r="G1833" i="1"/>
  <c r="E1833" i="1"/>
  <c r="D1833" i="1"/>
  <c r="A1833" i="1"/>
  <c r="O1832" i="1"/>
  <c r="N1832" i="1"/>
  <c r="L1832" i="1"/>
  <c r="H1832" i="1"/>
  <c r="G1832" i="1"/>
  <c r="E1832" i="1"/>
  <c r="D1832" i="1"/>
  <c r="A1832" i="1"/>
  <c r="O1831" i="1"/>
  <c r="N1831" i="1"/>
  <c r="L1831" i="1"/>
  <c r="K1831" i="1"/>
  <c r="H1831" i="1"/>
  <c r="G1831" i="1"/>
  <c r="E1831" i="1"/>
  <c r="D1831" i="1"/>
  <c r="A1831" i="1"/>
  <c r="O1830" i="1"/>
  <c r="N1830" i="1"/>
  <c r="L1830" i="1"/>
  <c r="H1830" i="1"/>
  <c r="G1830" i="1"/>
  <c r="E1830" i="1"/>
  <c r="D1830" i="1"/>
  <c r="A1830" i="1"/>
  <c r="O1829" i="1"/>
  <c r="N1829" i="1"/>
  <c r="L1829" i="1"/>
  <c r="H1829" i="1"/>
  <c r="G1829" i="1"/>
  <c r="E1829" i="1"/>
  <c r="D1829" i="1"/>
  <c r="A1829" i="1"/>
  <c r="O1828" i="1"/>
  <c r="N1828" i="1"/>
  <c r="L1828" i="1"/>
  <c r="H1828" i="1"/>
  <c r="G1828" i="1"/>
  <c r="E1828" i="1"/>
  <c r="D1828" i="1"/>
  <c r="A1828" i="1"/>
  <c r="O1827" i="1"/>
  <c r="N1827" i="1"/>
  <c r="L1827" i="1"/>
  <c r="H1827" i="1"/>
  <c r="G1827" i="1"/>
  <c r="E1827" i="1"/>
  <c r="D1827" i="1"/>
  <c r="A1827" i="1"/>
  <c r="N1826" i="1"/>
  <c r="L1826" i="1"/>
  <c r="H1826" i="1"/>
  <c r="G1826" i="1"/>
  <c r="E1826" i="1"/>
  <c r="D1826" i="1"/>
  <c r="C1826" i="1"/>
  <c r="B1826" i="1"/>
  <c r="A1826" i="1"/>
  <c r="N1825" i="1"/>
  <c r="L1825" i="1"/>
  <c r="H1825" i="1"/>
  <c r="G1825" i="1"/>
  <c r="E1825" i="1"/>
  <c r="D1825" i="1"/>
  <c r="C1825" i="1"/>
  <c r="B1825" i="1"/>
  <c r="A1825" i="1"/>
  <c r="O1824" i="1"/>
  <c r="N1824" i="1"/>
  <c r="L1824" i="1"/>
  <c r="K1824" i="1"/>
  <c r="H1824" i="1"/>
  <c r="G1824" i="1"/>
  <c r="E1824" i="1"/>
  <c r="D1824" i="1"/>
  <c r="A1824" i="1"/>
  <c r="O1823" i="1"/>
  <c r="N1823" i="1"/>
  <c r="L1823" i="1"/>
  <c r="H1823" i="1"/>
  <c r="G1823" i="1"/>
  <c r="E1823" i="1"/>
  <c r="D1823" i="1"/>
  <c r="A1823" i="1"/>
  <c r="O1822" i="1"/>
  <c r="N1822" i="1"/>
  <c r="L1822" i="1"/>
  <c r="H1822" i="1"/>
  <c r="G1822" i="1"/>
  <c r="E1822" i="1"/>
  <c r="D1822" i="1"/>
  <c r="A1822" i="1"/>
  <c r="O1821" i="1"/>
  <c r="N1821" i="1"/>
  <c r="L1821" i="1"/>
  <c r="H1821" i="1"/>
  <c r="G1821" i="1"/>
  <c r="E1821" i="1"/>
  <c r="D1821" i="1"/>
  <c r="A1821" i="1"/>
  <c r="O1820" i="1"/>
  <c r="N1820" i="1"/>
  <c r="L1820" i="1"/>
  <c r="H1820" i="1"/>
  <c r="G1820" i="1"/>
  <c r="E1820" i="1"/>
  <c r="D1820" i="1"/>
  <c r="A1820" i="1"/>
  <c r="O1819" i="1"/>
  <c r="N1819" i="1"/>
  <c r="L1819" i="1"/>
  <c r="H1819" i="1"/>
  <c r="G1819" i="1"/>
  <c r="E1819" i="1"/>
  <c r="D1819" i="1"/>
  <c r="A1819" i="1"/>
  <c r="O1818" i="1"/>
  <c r="N1818" i="1"/>
  <c r="L1818" i="1"/>
  <c r="H1818" i="1"/>
  <c r="G1818" i="1"/>
  <c r="E1818" i="1"/>
  <c r="D1818" i="1"/>
  <c r="B1818" i="1"/>
  <c r="A1818" i="1"/>
  <c r="O1817" i="1"/>
  <c r="N1817" i="1"/>
  <c r="L1817" i="1"/>
  <c r="H1817" i="1"/>
  <c r="G1817" i="1"/>
  <c r="E1817" i="1"/>
  <c r="D1817" i="1"/>
  <c r="A1817" i="1"/>
  <c r="O1816" i="1"/>
  <c r="N1816" i="1"/>
  <c r="L1816" i="1"/>
  <c r="H1816" i="1"/>
  <c r="G1816" i="1"/>
  <c r="E1816" i="1"/>
  <c r="D1816" i="1"/>
  <c r="A1816" i="1"/>
  <c r="O1815" i="1"/>
  <c r="N1815" i="1"/>
  <c r="L1815" i="1"/>
  <c r="H1815" i="1"/>
  <c r="G1815" i="1"/>
  <c r="E1815" i="1"/>
  <c r="D1815" i="1"/>
  <c r="A1815" i="1"/>
  <c r="O1814" i="1"/>
  <c r="N1814" i="1"/>
  <c r="L1814" i="1"/>
  <c r="H1814" i="1"/>
  <c r="G1814" i="1"/>
  <c r="E1814" i="1"/>
  <c r="D1814" i="1"/>
  <c r="A1814" i="1"/>
  <c r="O1813" i="1"/>
  <c r="N1813" i="1"/>
  <c r="L1813" i="1"/>
  <c r="H1813" i="1"/>
  <c r="G1813" i="1"/>
  <c r="E1813" i="1"/>
  <c r="D1813" i="1"/>
  <c r="A1813" i="1"/>
  <c r="O1812" i="1"/>
  <c r="N1812" i="1"/>
  <c r="L1812" i="1"/>
  <c r="H1812" i="1"/>
  <c r="G1812" i="1"/>
  <c r="E1812" i="1"/>
  <c r="D1812" i="1"/>
  <c r="A1812" i="1"/>
  <c r="O1811" i="1"/>
  <c r="N1811" i="1"/>
  <c r="L1811" i="1"/>
  <c r="K1811" i="1"/>
  <c r="H1811" i="1"/>
  <c r="G1811" i="1"/>
  <c r="E1811" i="1"/>
  <c r="D1811" i="1"/>
  <c r="A1811" i="1"/>
  <c r="O1810" i="1"/>
  <c r="N1810" i="1"/>
  <c r="L1810" i="1"/>
  <c r="H1810" i="1"/>
  <c r="G1810" i="1"/>
  <c r="E1810" i="1"/>
  <c r="D1810" i="1"/>
  <c r="A1810" i="1"/>
  <c r="O1809" i="1"/>
  <c r="N1809" i="1"/>
  <c r="L1809" i="1"/>
  <c r="H1809" i="1"/>
  <c r="G1809" i="1"/>
  <c r="E1809" i="1"/>
  <c r="D1809" i="1"/>
  <c r="A1809" i="1"/>
  <c r="O1808" i="1"/>
  <c r="N1808" i="1"/>
  <c r="L1808" i="1"/>
  <c r="H1808" i="1"/>
  <c r="G1808" i="1"/>
  <c r="E1808" i="1"/>
  <c r="D1808" i="1"/>
  <c r="A1808" i="1"/>
  <c r="O1807" i="1"/>
  <c r="N1807" i="1"/>
  <c r="L1807" i="1"/>
  <c r="H1807" i="1"/>
  <c r="G1807" i="1"/>
  <c r="E1807" i="1"/>
  <c r="D1807" i="1"/>
  <c r="A1807" i="1"/>
  <c r="O1806" i="1"/>
  <c r="N1806" i="1"/>
  <c r="L1806" i="1"/>
  <c r="K1806" i="1"/>
  <c r="H1806" i="1"/>
  <c r="G1806" i="1"/>
  <c r="E1806" i="1"/>
  <c r="D1806" i="1"/>
  <c r="A1806" i="1"/>
  <c r="O1805" i="1"/>
  <c r="N1805" i="1"/>
  <c r="L1805" i="1"/>
  <c r="H1805" i="1"/>
  <c r="G1805" i="1"/>
  <c r="E1805" i="1"/>
  <c r="D1805" i="1"/>
  <c r="A1805" i="1"/>
  <c r="O1804" i="1"/>
  <c r="N1804" i="1"/>
  <c r="L1804" i="1"/>
  <c r="I1804" i="1"/>
  <c r="H1804" i="1"/>
  <c r="G1804" i="1"/>
  <c r="E1804" i="1"/>
  <c r="D1804" i="1"/>
  <c r="A1804" i="1"/>
  <c r="O1803" i="1"/>
  <c r="N1803" i="1"/>
  <c r="L1803" i="1"/>
  <c r="I1803" i="1"/>
  <c r="H1803" i="1"/>
  <c r="G1803" i="1"/>
  <c r="E1803" i="1"/>
  <c r="D1803" i="1"/>
  <c r="A1803" i="1"/>
  <c r="O1802" i="1"/>
  <c r="N1802" i="1"/>
  <c r="L1802" i="1"/>
  <c r="H1802" i="1"/>
  <c r="G1802" i="1"/>
  <c r="E1802" i="1"/>
  <c r="D1802" i="1"/>
  <c r="A1802" i="1"/>
  <c r="O1801" i="1"/>
  <c r="N1801" i="1"/>
  <c r="L1801" i="1"/>
  <c r="H1801" i="1"/>
  <c r="G1801" i="1"/>
  <c r="E1801" i="1"/>
  <c r="D1801" i="1"/>
  <c r="A1801" i="1"/>
  <c r="O1800" i="1"/>
  <c r="N1800" i="1"/>
  <c r="L1800" i="1"/>
  <c r="H1800" i="1"/>
  <c r="G1800" i="1"/>
  <c r="E1800" i="1"/>
  <c r="D1800" i="1"/>
  <c r="A1800" i="1"/>
  <c r="O1799" i="1"/>
  <c r="N1799" i="1"/>
  <c r="L1799" i="1"/>
  <c r="H1799" i="1"/>
  <c r="G1799" i="1"/>
  <c r="E1799" i="1"/>
  <c r="D1799" i="1"/>
  <c r="A1799" i="1"/>
  <c r="O1798" i="1"/>
  <c r="N1798" i="1"/>
  <c r="L1798" i="1"/>
  <c r="I1798" i="1"/>
  <c r="H1798" i="1"/>
  <c r="G1798" i="1"/>
  <c r="E1798" i="1"/>
  <c r="D1798" i="1"/>
  <c r="A1798" i="1"/>
  <c r="O1797" i="1"/>
  <c r="N1797" i="1"/>
  <c r="M1797" i="1"/>
  <c r="L1797" i="1"/>
  <c r="I1797" i="1"/>
  <c r="H1797" i="1"/>
  <c r="G1797" i="1"/>
  <c r="F1797" i="1"/>
  <c r="E1797" i="1"/>
  <c r="D1797" i="1"/>
  <c r="A1797" i="1"/>
  <c r="N1796" i="1"/>
  <c r="L1796" i="1"/>
  <c r="H1796" i="1"/>
  <c r="G1796" i="1"/>
  <c r="E1796" i="1"/>
  <c r="D1796" i="1"/>
  <c r="C1796" i="1"/>
  <c r="B1796" i="1"/>
  <c r="A1796" i="1"/>
  <c r="N1795" i="1"/>
  <c r="L1795" i="1"/>
  <c r="H1795" i="1"/>
  <c r="G1795" i="1"/>
  <c r="F1795" i="1"/>
  <c r="E1795" i="1"/>
  <c r="D1795" i="1"/>
  <c r="C1795" i="1"/>
  <c r="B1795" i="1"/>
  <c r="A1795" i="1"/>
  <c r="N1794" i="1"/>
  <c r="L1794" i="1"/>
  <c r="H1794" i="1"/>
  <c r="G1794" i="1"/>
  <c r="F1794" i="1"/>
  <c r="E1794" i="1"/>
  <c r="D1794" i="1"/>
  <c r="C1794" i="1"/>
  <c r="B1794" i="1"/>
  <c r="A1794" i="1"/>
  <c r="O1793" i="1"/>
  <c r="N1793" i="1"/>
  <c r="L1793" i="1"/>
  <c r="H1793" i="1"/>
  <c r="G1793" i="1"/>
  <c r="E1793" i="1"/>
  <c r="D1793" i="1"/>
  <c r="A1793" i="1"/>
  <c r="N1792" i="1"/>
  <c r="L1792" i="1"/>
  <c r="I1792" i="1"/>
  <c r="H1792" i="1"/>
  <c r="G1792" i="1"/>
  <c r="E1792" i="1"/>
  <c r="D1792" i="1"/>
  <c r="A1792" i="1"/>
  <c r="N1791" i="1"/>
  <c r="L1791" i="1"/>
  <c r="I1791" i="1"/>
  <c r="H1791" i="1"/>
  <c r="G1791" i="1"/>
  <c r="E1791" i="1"/>
  <c r="D1791" i="1"/>
  <c r="A1791" i="1"/>
  <c r="N1790" i="1"/>
  <c r="L1790" i="1"/>
  <c r="H1790" i="1"/>
  <c r="G1790" i="1"/>
  <c r="F1790" i="1"/>
  <c r="E1790" i="1"/>
  <c r="D1790" i="1"/>
  <c r="B1790" i="1"/>
  <c r="A1790" i="1"/>
  <c r="O1789" i="1"/>
  <c r="N1789" i="1"/>
  <c r="L1789" i="1"/>
  <c r="H1789" i="1"/>
  <c r="G1789" i="1"/>
  <c r="E1789" i="1"/>
  <c r="D1789" i="1"/>
  <c r="B1789" i="1"/>
  <c r="A1789" i="1"/>
  <c r="O1788" i="1"/>
  <c r="N1788" i="1"/>
  <c r="L1788" i="1"/>
  <c r="J1788" i="1"/>
  <c r="I1788" i="1"/>
  <c r="H1788" i="1"/>
  <c r="G1788" i="1"/>
  <c r="F1788" i="1"/>
  <c r="E1788" i="1"/>
  <c r="D1788" i="1"/>
  <c r="A1788" i="1"/>
  <c r="N1787" i="1"/>
  <c r="L1787" i="1"/>
  <c r="I1787" i="1"/>
  <c r="H1787" i="1"/>
  <c r="G1787" i="1"/>
  <c r="F1787" i="1"/>
  <c r="E1787" i="1"/>
  <c r="D1787" i="1"/>
  <c r="B1787" i="1"/>
  <c r="A1787" i="1"/>
  <c r="O1786" i="1"/>
  <c r="N1786" i="1"/>
  <c r="L1786" i="1"/>
  <c r="I1786" i="1"/>
  <c r="H1786" i="1"/>
  <c r="G1786" i="1"/>
  <c r="F1786" i="1"/>
  <c r="E1786" i="1"/>
  <c r="D1786" i="1"/>
  <c r="B1786" i="1"/>
  <c r="A1786" i="1"/>
  <c r="O1785" i="1"/>
  <c r="N1785" i="1"/>
  <c r="I1785" i="1"/>
  <c r="H1785" i="1"/>
  <c r="G1785" i="1"/>
  <c r="F1785" i="1"/>
  <c r="E1785" i="1"/>
  <c r="D1785" i="1"/>
  <c r="B1785" i="1"/>
  <c r="A1785" i="1"/>
  <c r="O1784" i="1"/>
  <c r="N1784" i="1"/>
  <c r="L1784" i="1"/>
  <c r="I1784" i="1"/>
  <c r="H1784" i="1"/>
  <c r="G1784" i="1"/>
  <c r="F1784" i="1"/>
  <c r="E1784" i="1"/>
  <c r="D1784" i="1"/>
  <c r="B1784" i="1"/>
  <c r="A1784" i="1"/>
  <c r="O1783" i="1"/>
  <c r="N1783" i="1"/>
  <c r="L1783" i="1"/>
  <c r="I1783" i="1"/>
  <c r="H1783" i="1"/>
  <c r="G1783" i="1"/>
  <c r="F1783" i="1"/>
  <c r="E1783" i="1"/>
  <c r="D1783" i="1"/>
  <c r="B1783" i="1"/>
  <c r="A1783" i="1"/>
  <c r="O1782" i="1"/>
  <c r="N1782" i="1"/>
  <c r="L1782" i="1"/>
  <c r="I1782" i="1"/>
  <c r="H1782" i="1"/>
  <c r="G1782" i="1"/>
  <c r="F1782" i="1"/>
  <c r="E1782" i="1"/>
  <c r="D1782" i="1"/>
  <c r="B1782" i="1"/>
  <c r="A1782" i="1"/>
  <c r="O1781" i="1"/>
  <c r="N1781" i="1"/>
  <c r="L1781" i="1"/>
  <c r="I1781" i="1"/>
  <c r="H1781" i="1"/>
  <c r="G1781" i="1"/>
  <c r="F1781" i="1"/>
  <c r="E1781" i="1"/>
  <c r="D1781" i="1"/>
  <c r="B1781" i="1"/>
  <c r="A1781" i="1"/>
  <c r="O1780" i="1"/>
  <c r="N1780" i="1"/>
  <c r="L1780" i="1"/>
  <c r="I1780" i="1"/>
  <c r="H1780" i="1"/>
  <c r="G1780" i="1"/>
  <c r="F1780" i="1"/>
  <c r="E1780" i="1"/>
  <c r="D1780" i="1"/>
  <c r="A1780" i="1"/>
  <c r="O1779" i="1"/>
  <c r="N1779" i="1"/>
  <c r="L1779" i="1"/>
  <c r="I1779" i="1"/>
  <c r="H1779" i="1"/>
  <c r="G1779" i="1"/>
  <c r="F1779" i="1"/>
  <c r="E1779" i="1"/>
  <c r="D1779" i="1"/>
  <c r="A1779" i="1"/>
  <c r="N1778" i="1"/>
  <c r="L1778" i="1"/>
  <c r="H1778" i="1"/>
  <c r="G1778" i="1"/>
  <c r="E1778" i="1"/>
  <c r="D1778" i="1"/>
  <c r="A1778" i="1"/>
  <c r="O1777" i="1"/>
  <c r="N1777" i="1"/>
  <c r="L1777" i="1"/>
  <c r="H1777" i="1"/>
  <c r="G1777" i="1"/>
  <c r="E1777" i="1"/>
  <c r="D1777" i="1"/>
  <c r="A1777" i="1"/>
  <c r="N1776" i="1"/>
  <c r="L1776" i="1"/>
  <c r="H1776" i="1"/>
  <c r="G1776" i="1"/>
  <c r="E1776" i="1"/>
  <c r="D1776" i="1"/>
  <c r="A1776" i="1"/>
  <c r="O1775" i="1"/>
  <c r="N1775" i="1"/>
  <c r="L1775" i="1"/>
  <c r="H1775" i="1"/>
  <c r="G1775" i="1"/>
  <c r="E1775" i="1"/>
  <c r="D1775" i="1"/>
  <c r="A1775" i="1"/>
  <c r="O1774" i="1"/>
  <c r="N1774" i="1"/>
  <c r="L1774" i="1"/>
  <c r="H1774" i="1"/>
  <c r="G1774" i="1"/>
  <c r="E1774" i="1"/>
  <c r="D1774" i="1"/>
  <c r="A1774" i="1"/>
  <c r="N1773" i="1"/>
  <c r="L1773" i="1"/>
  <c r="H1773" i="1"/>
  <c r="G1773" i="1"/>
  <c r="E1773" i="1"/>
  <c r="D1773" i="1"/>
  <c r="A1773" i="1"/>
  <c r="O1772" i="1"/>
  <c r="N1772" i="1"/>
  <c r="L1772" i="1"/>
  <c r="H1772" i="1"/>
  <c r="G1772" i="1"/>
  <c r="E1772" i="1"/>
  <c r="D1772" i="1"/>
  <c r="A1772" i="1"/>
  <c r="O1771" i="1"/>
  <c r="N1771" i="1"/>
  <c r="L1771" i="1"/>
  <c r="H1771" i="1"/>
  <c r="G1771" i="1"/>
  <c r="E1771" i="1"/>
  <c r="D1771" i="1"/>
  <c r="A1771" i="1"/>
  <c r="O1770" i="1"/>
  <c r="N1770" i="1"/>
  <c r="L1770" i="1"/>
  <c r="H1770" i="1"/>
  <c r="G1770" i="1"/>
  <c r="E1770" i="1"/>
  <c r="D1770" i="1"/>
  <c r="A1770" i="1"/>
  <c r="N1769" i="1"/>
  <c r="L1769" i="1"/>
  <c r="H1769" i="1"/>
  <c r="G1769" i="1"/>
  <c r="F1769" i="1"/>
  <c r="E1769" i="1"/>
  <c r="D1769" i="1"/>
  <c r="A1769" i="1"/>
  <c r="N1768" i="1"/>
  <c r="L1768" i="1"/>
  <c r="H1768" i="1"/>
  <c r="G1768" i="1"/>
  <c r="E1768" i="1"/>
  <c r="D1768" i="1"/>
  <c r="A1768" i="1"/>
  <c r="N1767" i="1"/>
  <c r="L1767" i="1"/>
  <c r="H1767" i="1"/>
  <c r="G1767" i="1"/>
  <c r="E1767" i="1"/>
  <c r="D1767" i="1"/>
  <c r="A1767" i="1"/>
  <c r="O1766" i="1"/>
  <c r="N1766" i="1"/>
  <c r="L1766" i="1"/>
  <c r="H1766" i="1"/>
  <c r="G1766" i="1"/>
  <c r="E1766" i="1"/>
  <c r="D1766" i="1"/>
  <c r="A1766" i="1"/>
  <c r="N1765" i="1"/>
  <c r="L1765" i="1"/>
  <c r="H1765" i="1"/>
  <c r="G1765" i="1"/>
  <c r="E1765" i="1"/>
  <c r="D1765" i="1"/>
  <c r="A1765" i="1"/>
  <c r="N1764" i="1"/>
  <c r="L1764" i="1"/>
  <c r="H1764" i="1"/>
  <c r="G1764" i="1"/>
  <c r="E1764" i="1"/>
  <c r="D1764" i="1"/>
  <c r="A1764" i="1"/>
  <c r="N1763" i="1"/>
  <c r="L1763" i="1"/>
  <c r="H1763" i="1"/>
  <c r="G1763" i="1"/>
  <c r="F1763" i="1"/>
  <c r="E1763" i="1"/>
  <c r="D1763" i="1"/>
  <c r="A1763" i="1"/>
  <c r="O1762" i="1"/>
  <c r="N1762" i="1"/>
  <c r="L1762" i="1"/>
  <c r="H1762" i="1"/>
  <c r="G1762" i="1"/>
  <c r="E1762" i="1"/>
  <c r="D1762" i="1"/>
  <c r="A1762" i="1"/>
  <c r="O1761" i="1"/>
  <c r="N1761" i="1"/>
  <c r="L1761" i="1"/>
  <c r="I1761" i="1"/>
  <c r="H1761" i="1"/>
  <c r="G1761" i="1"/>
  <c r="E1761" i="1"/>
  <c r="D1761" i="1"/>
  <c r="A1761" i="1"/>
  <c r="O1760" i="1"/>
  <c r="N1760" i="1"/>
  <c r="L1760" i="1"/>
  <c r="I1760" i="1"/>
  <c r="H1760" i="1"/>
  <c r="G1760" i="1"/>
  <c r="E1760" i="1"/>
  <c r="D1760" i="1"/>
  <c r="A1760" i="1"/>
  <c r="O1759" i="1"/>
  <c r="N1759" i="1"/>
  <c r="L1759" i="1"/>
  <c r="I1759" i="1"/>
  <c r="H1759" i="1"/>
  <c r="G1759" i="1"/>
  <c r="E1759" i="1"/>
  <c r="D1759" i="1"/>
  <c r="A1759" i="1"/>
  <c r="O1758" i="1"/>
  <c r="N1758" i="1"/>
  <c r="L1758" i="1"/>
  <c r="I1758" i="1"/>
  <c r="H1758" i="1"/>
  <c r="G1758" i="1"/>
  <c r="E1758" i="1"/>
  <c r="D1758" i="1"/>
  <c r="A1758" i="1"/>
  <c r="O1757" i="1"/>
  <c r="N1757" i="1"/>
  <c r="L1757" i="1"/>
  <c r="H1757" i="1"/>
  <c r="G1757" i="1"/>
  <c r="E1757" i="1"/>
  <c r="D1757" i="1"/>
  <c r="A1757" i="1"/>
  <c r="O1756" i="1"/>
  <c r="N1756" i="1"/>
  <c r="L1756" i="1"/>
  <c r="I1756" i="1"/>
  <c r="H1756" i="1"/>
  <c r="G1756" i="1"/>
  <c r="E1756" i="1"/>
  <c r="D1756" i="1"/>
  <c r="A1756" i="1"/>
  <c r="O1755" i="1"/>
  <c r="N1755" i="1"/>
  <c r="L1755" i="1"/>
  <c r="H1755" i="1"/>
  <c r="G1755" i="1"/>
  <c r="E1755" i="1"/>
  <c r="D1755" i="1"/>
  <c r="A1755" i="1"/>
  <c r="O1754" i="1"/>
  <c r="N1754" i="1"/>
  <c r="L1754" i="1"/>
  <c r="H1754" i="1"/>
  <c r="G1754" i="1"/>
  <c r="E1754" i="1"/>
  <c r="D1754" i="1"/>
  <c r="A1754" i="1"/>
  <c r="O1753" i="1"/>
  <c r="N1753" i="1"/>
  <c r="L1753" i="1"/>
  <c r="I1753" i="1"/>
  <c r="H1753" i="1"/>
  <c r="G1753" i="1"/>
  <c r="F1753" i="1"/>
  <c r="E1753" i="1"/>
  <c r="D1753" i="1"/>
  <c r="A1753" i="1"/>
  <c r="O1752" i="1"/>
  <c r="N1752" i="1"/>
  <c r="L1752" i="1"/>
  <c r="I1752" i="1"/>
  <c r="H1752" i="1"/>
  <c r="G1752" i="1"/>
  <c r="F1752" i="1"/>
  <c r="E1752" i="1"/>
  <c r="D1752" i="1"/>
  <c r="A1752" i="1"/>
  <c r="O1751" i="1"/>
  <c r="N1751" i="1"/>
  <c r="L1751" i="1"/>
  <c r="I1751" i="1"/>
  <c r="H1751" i="1"/>
  <c r="G1751" i="1"/>
  <c r="F1751" i="1"/>
  <c r="E1751" i="1"/>
  <c r="D1751" i="1"/>
  <c r="A1751" i="1"/>
  <c r="O1750" i="1"/>
  <c r="N1750" i="1"/>
  <c r="L1750" i="1"/>
  <c r="H1750" i="1"/>
  <c r="G1750" i="1"/>
  <c r="F1750" i="1"/>
  <c r="E1750" i="1"/>
  <c r="D1750" i="1"/>
  <c r="A1750" i="1"/>
  <c r="O1749" i="1"/>
  <c r="N1749" i="1"/>
  <c r="L1749" i="1"/>
  <c r="H1749" i="1"/>
  <c r="G1749" i="1"/>
  <c r="F1749" i="1"/>
  <c r="E1749" i="1"/>
  <c r="D1749" i="1"/>
  <c r="C1749" i="1"/>
  <c r="B1749" i="1"/>
  <c r="A1749" i="1"/>
  <c r="O1748" i="1"/>
  <c r="N1748" i="1"/>
  <c r="L1748" i="1"/>
  <c r="H1748" i="1"/>
  <c r="G1748" i="1"/>
  <c r="E1748" i="1"/>
  <c r="D1748" i="1"/>
  <c r="B1748" i="1"/>
  <c r="A1748" i="1"/>
  <c r="N1747" i="1"/>
  <c r="L1747" i="1"/>
  <c r="H1747" i="1"/>
  <c r="G1747" i="1"/>
  <c r="F1747" i="1"/>
  <c r="E1747" i="1"/>
  <c r="D1747" i="1"/>
  <c r="C1747" i="1"/>
  <c r="B1747" i="1"/>
  <c r="A1747" i="1"/>
  <c r="O1746" i="1"/>
  <c r="N1746" i="1"/>
  <c r="L1746" i="1"/>
  <c r="I1746" i="1"/>
  <c r="H1746" i="1"/>
  <c r="G1746" i="1"/>
  <c r="F1746" i="1"/>
  <c r="E1746" i="1"/>
  <c r="D1746" i="1"/>
  <c r="B1746" i="1"/>
  <c r="A1746" i="1"/>
  <c r="N1745" i="1"/>
  <c r="L1745" i="1"/>
  <c r="H1745" i="1"/>
  <c r="G1745" i="1"/>
  <c r="E1745" i="1"/>
  <c r="D1745" i="1"/>
  <c r="B1745" i="1"/>
  <c r="A1745" i="1"/>
  <c r="N1744" i="1"/>
  <c r="M1744" i="1"/>
  <c r="L1744" i="1"/>
  <c r="K1744" i="1"/>
  <c r="J1744" i="1"/>
  <c r="H1744" i="1"/>
  <c r="G1744" i="1"/>
  <c r="E1744" i="1"/>
  <c r="D1744" i="1"/>
  <c r="C1744" i="1"/>
  <c r="B1744" i="1"/>
  <c r="A1744" i="1"/>
  <c r="O1743" i="1"/>
  <c r="N1743" i="1"/>
  <c r="L1743" i="1"/>
  <c r="H1743" i="1"/>
  <c r="G1743" i="1"/>
  <c r="E1743" i="1"/>
  <c r="D1743" i="1"/>
  <c r="B1743" i="1"/>
  <c r="A1743" i="1"/>
  <c r="N1742" i="1"/>
  <c r="L1742" i="1"/>
  <c r="H1742" i="1"/>
  <c r="G1742" i="1"/>
  <c r="E1742" i="1"/>
  <c r="D1742" i="1"/>
  <c r="B1742" i="1"/>
  <c r="A1742" i="1"/>
  <c r="O1741" i="1"/>
  <c r="N1741" i="1"/>
  <c r="L1741" i="1"/>
  <c r="H1741" i="1"/>
  <c r="G1741" i="1"/>
  <c r="E1741" i="1"/>
  <c r="D1741" i="1"/>
  <c r="B1741" i="1"/>
  <c r="A1741" i="1"/>
  <c r="N1740" i="1"/>
  <c r="M1740" i="1"/>
  <c r="L1740" i="1"/>
  <c r="K1740" i="1"/>
  <c r="J1740" i="1"/>
  <c r="H1740" i="1"/>
  <c r="G1740" i="1"/>
  <c r="E1740" i="1"/>
  <c r="D1740" i="1"/>
  <c r="C1740" i="1"/>
  <c r="B1740" i="1"/>
  <c r="A1740" i="1"/>
  <c r="O1739" i="1"/>
  <c r="N1739" i="1"/>
  <c r="M1739" i="1"/>
  <c r="L1739" i="1"/>
  <c r="K1739" i="1"/>
  <c r="J1739" i="1"/>
  <c r="H1739" i="1"/>
  <c r="G1739" i="1"/>
  <c r="F1739" i="1"/>
  <c r="E1739" i="1"/>
  <c r="D1739" i="1"/>
  <c r="B1739" i="1"/>
  <c r="A1739" i="1"/>
  <c r="O1738" i="1"/>
  <c r="N1738" i="1"/>
  <c r="L1738" i="1"/>
  <c r="H1738" i="1"/>
  <c r="G1738" i="1"/>
  <c r="E1738" i="1"/>
  <c r="D1738" i="1"/>
  <c r="B1738" i="1"/>
  <c r="A1738" i="1"/>
  <c r="O1737" i="1"/>
  <c r="N1737" i="1"/>
  <c r="L1737" i="1"/>
  <c r="H1737" i="1"/>
  <c r="G1737" i="1"/>
  <c r="E1737" i="1"/>
  <c r="D1737" i="1"/>
  <c r="B1737" i="1"/>
  <c r="A1737" i="1"/>
  <c r="O1736" i="1"/>
  <c r="N1736" i="1"/>
  <c r="L1736" i="1"/>
  <c r="H1736" i="1"/>
  <c r="G1736" i="1"/>
  <c r="E1736" i="1"/>
  <c r="D1736" i="1"/>
  <c r="B1736" i="1"/>
  <c r="A1736" i="1"/>
  <c r="N1735" i="1"/>
  <c r="L1735" i="1"/>
  <c r="H1735" i="1"/>
  <c r="G1735" i="1"/>
  <c r="E1735" i="1"/>
  <c r="D1735" i="1"/>
  <c r="B1735" i="1"/>
  <c r="A1735" i="1"/>
  <c r="O1734" i="1"/>
  <c r="N1734" i="1"/>
  <c r="L1734" i="1"/>
  <c r="K1734" i="1"/>
  <c r="J1734" i="1"/>
  <c r="H1734" i="1"/>
  <c r="G1734" i="1"/>
  <c r="F1734" i="1"/>
  <c r="E1734" i="1"/>
  <c r="D1734" i="1"/>
  <c r="B1734" i="1"/>
  <c r="A1734" i="1"/>
  <c r="N1733" i="1"/>
  <c r="L1733" i="1"/>
  <c r="H1733" i="1"/>
  <c r="G1733" i="1"/>
  <c r="E1733" i="1"/>
  <c r="D1733" i="1"/>
  <c r="B1733" i="1"/>
  <c r="A1733" i="1"/>
  <c r="O1732" i="1"/>
  <c r="L1732" i="1"/>
  <c r="H1732" i="1"/>
  <c r="G1732" i="1"/>
  <c r="E1732" i="1"/>
  <c r="D1732" i="1"/>
  <c r="B1732" i="1"/>
  <c r="A1732" i="1"/>
  <c r="O1731" i="1"/>
  <c r="N1731" i="1"/>
  <c r="L1731" i="1"/>
  <c r="K1731" i="1"/>
  <c r="J1731" i="1"/>
  <c r="I1731" i="1"/>
  <c r="H1731" i="1"/>
  <c r="G1731" i="1"/>
  <c r="E1731" i="1"/>
  <c r="D1731" i="1"/>
  <c r="B1731" i="1"/>
  <c r="A1731" i="1"/>
  <c r="O1730" i="1"/>
  <c r="N1730" i="1"/>
  <c r="L1730" i="1"/>
  <c r="K1730" i="1"/>
  <c r="J1730" i="1"/>
  <c r="I1730" i="1"/>
  <c r="H1730" i="1"/>
  <c r="G1730" i="1"/>
  <c r="E1730" i="1"/>
  <c r="D1730" i="1"/>
  <c r="B1730" i="1"/>
  <c r="A1730" i="1"/>
  <c r="N1729" i="1"/>
  <c r="L1729" i="1"/>
  <c r="H1729" i="1"/>
  <c r="G1729" i="1"/>
  <c r="E1729" i="1"/>
  <c r="D1729" i="1"/>
  <c r="B1729" i="1"/>
  <c r="A1729" i="1"/>
  <c r="N1728" i="1"/>
  <c r="L1728" i="1"/>
  <c r="H1728" i="1"/>
  <c r="G1728" i="1"/>
  <c r="E1728" i="1"/>
  <c r="D1728" i="1"/>
  <c r="B1728" i="1"/>
  <c r="A1728" i="1"/>
  <c r="O1727" i="1"/>
  <c r="N1727" i="1"/>
  <c r="L1727" i="1"/>
  <c r="H1727" i="1"/>
  <c r="G1727" i="1"/>
  <c r="E1727" i="1"/>
  <c r="D1727" i="1"/>
  <c r="B1727" i="1"/>
  <c r="A1727" i="1"/>
  <c r="N1726" i="1"/>
  <c r="M1726" i="1"/>
  <c r="L1726" i="1"/>
  <c r="K1726" i="1"/>
  <c r="J1726" i="1"/>
  <c r="H1726" i="1"/>
  <c r="G1726" i="1"/>
  <c r="E1726" i="1"/>
  <c r="D1726" i="1"/>
  <c r="C1726" i="1"/>
  <c r="B1726" i="1"/>
  <c r="A1726" i="1"/>
  <c r="O1725" i="1"/>
  <c r="N1725" i="1"/>
  <c r="L1725" i="1"/>
  <c r="K1725" i="1"/>
  <c r="J1725" i="1"/>
  <c r="H1725" i="1"/>
  <c r="G1725" i="1"/>
  <c r="E1725" i="1"/>
  <c r="D1725" i="1"/>
  <c r="A1725" i="1"/>
  <c r="O1724" i="1"/>
  <c r="N1724" i="1"/>
  <c r="L1724" i="1"/>
  <c r="H1724" i="1"/>
  <c r="G1724" i="1"/>
  <c r="E1724" i="1"/>
  <c r="D1724" i="1"/>
  <c r="B1724" i="1"/>
  <c r="A1724" i="1"/>
  <c r="N1723" i="1"/>
  <c r="L1723" i="1"/>
  <c r="H1723" i="1"/>
  <c r="G1723" i="1"/>
  <c r="E1723" i="1"/>
  <c r="D1723" i="1"/>
  <c r="B1723" i="1"/>
  <c r="A1723" i="1"/>
  <c r="N1722" i="1"/>
  <c r="L1722" i="1"/>
  <c r="H1722" i="1"/>
  <c r="G1722" i="1"/>
  <c r="E1722" i="1"/>
  <c r="D1722" i="1"/>
  <c r="B1722" i="1"/>
  <c r="A1722" i="1"/>
  <c r="O1721" i="1"/>
  <c r="N1721" i="1"/>
  <c r="L1721" i="1"/>
  <c r="H1721" i="1"/>
  <c r="G1721" i="1"/>
  <c r="E1721" i="1"/>
  <c r="D1721" i="1"/>
  <c r="B1721" i="1"/>
  <c r="A1721" i="1"/>
  <c r="O1720" i="1"/>
  <c r="N1720" i="1"/>
  <c r="M1720" i="1"/>
  <c r="L1720" i="1"/>
  <c r="H1720" i="1"/>
  <c r="G1720" i="1"/>
  <c r="E1720" i="1"/>
  <c r="D1720" i="1"/>
  <c r="B1720" i="1"/>
  <c r="A1720" i="1"/>
  <c r="N1719" i="1"/>
  <c r="L1719" i="1"/>
  <c r="H1719" i="1"/>
  <c r="G1719" i="1"/>
  <c r="E1719" i="1"/>
  <c r="D1719" i="1"/>
  <c r="B1719" i="1"/>
  <c r="A1719" i="1"/>
  <c r="N1718" i="1"/>
  <c r="L1718" i="1"/>
  <c r="H1718" i="1"/>
  <c r="G1718" i="1"/>
  <c r="E1718" i="1"/>
  <c r="D1718" i="1"/>
  <c r="B1718" i="1"/>
  <c r="A1718" i="1"/>
  <c r="N1717" i="1"/>
  <c r="M1717" i="1"/>
  <c r="L1717" i="1"/>
  <c r="K1717" i="1"/>
  <c r="J1717" i="1"/>
  <c r="H1717" i="1"/>
  <c r="G1717" i="1"/>
  <c r="E1717" i="1"/>
  <c r="D1717" i="1"/>
  <c r="C1717" i="1"/>
  <c r="B1717" i="1"/>
  <c r="A1717" i="1"/>
  <c r="O1716" i="1"/>
  <c r="N1716" i="1"/>
  <c r="L1716" i="1"/>
  <c r="H1716" i="1"/>
  <c r="G1716" i="1"/>
  <c r="E1716" i="1"/>
  <c r="D1716" i="1"/>
  <c r="B1716" i="1"/>
  <c r="A1716" i="1"/>
  <c r="N1715" i="1"/>
  <c r="L1715" i="1"/>
  <c r="H1715" i="1"/>
  <c r="G1715" i="1"/>
  <c r="E1715" i="1"/>
  <c r="D1715" i="1"/>
  <c r="B1715" i="1"/>
  <c r="A1715" i="1"/>
  <c r="N1714" i="1"/>
  <c r="L1714" i="1"/>
  <c r="H1714" i="1"/>
  <c r="G1714" i="1"/>
  <c r="E1714" i="1"/>
  <c r="D1714" i="1"/>
  <c r="B1714" i="1"/>
  <c r="A1714" i="1"/>
  <c r="N1713" i="1"/>
  <c r="L1713" i="1"/>
  <c r="H1713" i="1"/>
  <c r="G1713" i="1"/>
  <c r="E1713" i="1"/>
  <c r="D1713" i="1"/>
  <c r="A1713" i="1"/>
  <c r="O1712" i="1"/>
  <c r="N1712" i="1"/>
  <c r="L1712" i="1"/>
  <c r="H1712" i="1"/>
  <c r="G1712" i="1"/>
  <c r="E1712" i="1"/>
  <c r="D1712" i="1"/>
  <c r="B1712" i="1"/>
  <c r="A1712" i="1"/>
  <c r="O1711" i="1"/>
  <c r="N1711" i="1"/>
  <c r="L1711" i="1"/>
  <c r="H1711" i="1"/>
  <c r="G1711" i="1"/>
  <c r="E1711" i="1"/>
  <c r="D1711" i="1"/>
  <c r="B1711" i="1"/>
  <c r="A1711" i="1"/>
  <c r="N1710" i="1"/>
  <c r="L1710" i="1"/>
  <c r="H1710" i="1"/>
  <c r="G1710" i="1"/>
  <c r="E1710" i="1"/>
  <c r="D1710" i="1"/>
  <c r="B1710" i="1"/>
  <c r="A1710" i="1"/>
  <c r="O1709" i="1"/>
  <c r="N1709" i="1"/>
  <c r="L1709" i="1"/>
  <c r="K1709" i="1"/>
  <c r="J1709" i="1"/>
  <c r="I1709" i="1"/>
  <c r="H1709" i="1"/>
  <c r="G1709" i="1"/>
  <c r="F1709" i="1"/>
  <c r="E1709" i="1"/>
  <c r="D1709" i="1"/>
  <c r="B1709" i="1"/>
  <c r="A1709" i="1"/>
  <c r="N1708" i="1"/>
  <c r="L1708" i="1"/>
  <c r="K1708" i="1"/>
  <c r="J1708" i="1"/>
  <c r="I1708" i="1"/>
  <c r="H1708" i="1"/>
  <c r="G1708" i="1"/>
  <c r="F1708" i="1"/>
  <c r="E1708" i="1"/>
  <c r="D1708" i="1"/>
  <c r="B1708" i="1"/>
  <c r="A1708" i="1"/>
  <c r="N1707" i="1"/>
  <c r="L1707" i="1"/>
  <c r="H1707" i="1"/>
  <c r="G1707" i="1"/>
  <c r="E1707" i="1"/>
  <c r="D1707" i="1"/>
  <c r="B1707" i="1"/>
  <c r="A1707" i="1"/>
  <c r="N1706" i="1"/>
  <c r="L1706" i="1"/>
  <c r="H1706" i="1"/>
  <c r="G1706" i="1"/>
  <c r="E1706" i="1"/>
  <c r="D1706" i="1"/>
  <c r="B1706" i="1"/>
  <c r="A1706" i="1"/>
  <c r="N1705" i="1"/>
  <c r="L1705" i="1"/>
  <c r="H1705" i="1"/>
  <c r="G1705" i="1"/>
  <c r="E1705" i="1"/>
  <c r="D1705" i="1"/>
  <c r="B1705" i="1"/>
  <c r="A1705" i="1"/>
  <c r="N1704" i="1"/>
  <c r="L1704" i="1"/>
  <c r="H1704" i="1"/>
  <c r="G1704" i="1"/>
  <c r="E1704" i="1"/>
  <c r="D1704" i="1"/>
  <c r="B1704" i="1"/>
  <c r="A1704" i="1"/>
  <c r="N1703" i="1"/>
  <c r="L1703" i="1"/>
  <c r="H1703" i="1"/>
  <c r="G1703" i="1"/>
  <c r="E1703" i="1"/>
  <c r="D1703" i="1"/>
  <c r="B1703" i="1"/>
  <c r="A1703" i="1"/>
  <c r="O1702" i="1"/>
  <c r="N1702" i="1"/>
  <c r="L1702" i="1"/>
  <c r="H1702" i="1"/>
  <c r="G1702" i="1"/>
  <c r="E1702" i="1"/>
  <c r="D1702" i="1"/>
  <c r="B1702" i="1"/>
  <c r="A1702" i="1"/>
  <c r="O1701" i="1"/>
  <c r="N1701" i="1"/>
  <c r="L1701" i="1"/>
  <c r="H1701" i="1"/>
  <c r="G1701" i="1"/>
  <c r="E1701" i="1"/>
  <c r="D1701" i="1"/>
  <c r="B1701" i="1"/>
  <c r="A1701" i="1"/>
  <c r="N1700" i="1"/>
  <c r="M1700" i="1"/>
  <c r="L1700" i="1"/>
  <c r="K1700" i="1"/>
  <c r="J1700" i="1"/>
  <c r="H1700" i="1"/>
  <c r="G1700" i="1"/>
  <c r="E1700" i="1"/>
  <c r="D1700" i="1"/>
  <c r="C1700" i="1"/>
  <c r="B1700" i="1"/>
  <c r="A1700" i="1"/>
  <c r="N1699" i="1"/>
  <c r="L1699" i="1"/>
  <c r="H1699" i="1"/>
  <c r="G1699" i="1"/>
  <c r="E1699" i="1"/>
  <c r="D1699" i="1"/>
  <c r="B1699" i="1"/>
  <c r="A1699" i="1"/>
  <c r="N1698" i="1"/>
  <c r="L1698" i="1"/>
  <c r="I1698" i="1"/>
  <c r="H1698" i="1"/>
  <c r="G1698" i="1"/>
  <c r="F1698" i="1"/>
  <c r="E1698" i="1"/>
  <c r="D1698" i="1"/>
  <c r="B1698" i="1"/>
  <c r="A1698" i="1"/>
  <c r="N1697" i="1"/>
  <c r="L1697" i="1"/>
  <c r="H1697" i="1"/>
  <c r="G1697" i="1"/>
  <c r="E1697" i="1"/>
  <c r="D1697" i="1"/>
  <c r="B1697" i="1"/>
  <c r="A1697" i="1"/>
  <c r="N1696" i="1"/>
  <c r="L1696" i="1"/>
  <c r="H1696" i="1"/>
  <c r="G1696" i="1"/>
  <c r="E1696" i="1"/>
  <c r="D1696" i="1"/>
  <c r="B1696" i="1"/>
  <c r="A1696" i="1"/>
  <c r="N1695" i="1"/>
  <c r="L1695" i="1"/>
  <c r="H1695" i="1"/>
  <c r="G1695" i="1"/>
  <c r="E1695" i="1"/>
  <c r="D1695" i="1"/>
  <c r="B1695" i="1"/>
  <c r="A1695" i="1"/>
  <c r="N1694" i="1"/>
  <c r="M1694" i="1"/>
  <c r="L1694" i="1"/>
  <c r="K1694" i="1"/>
  <c r="J1694" i="1"/>
  <c r="H1694" i="1"/>
  <c r="G1694" i="1"/>
  <c r="E1694" i="1"/>
  <c r="D1694" i="1"/>
  <c r="C1694" i="1"/>
  <c r="B1694" i="1"/>
  <c r="A1694" i="1"/>
  <c r="O1693" i="1"/>
  <c r="N1693" i="1"/>
  <c r="L1693" i="1"/>
  <c r="K1693" i="1"/>
  <c r="J1693" i="1"/>
  <c r="I1693" i="1"/>
  <c r="H1693" i="1"/>
  <c r="G1693" i="1"/>
  <c r="E1693" i="1"/>
  <c r="D1693" i="1"/>
  <c r="B1693" i="1"/>
  <c r="A1693" i="1"/>
  <c r="N1692" i="1"/>
  <c r="L1692" i="1"/>
  <c r="H1692" i="1"/>
  <c r="G1692" i="1"/>
  <c r="E1692" i="1"/>
  <c r="D1692" i="1"/>
  <c r="B1692" i="1"/>
  <c r="A1692" i="1"/>
  <c r="O1691" i="1"/>
  <c r="N1691" i="1"/>
  <c r="L1691" i="1"/>
  <c r="H1691" i="1"/>
  <c r="G1691" i="1"/>
  <c r="E1691" i="1"/>
  <c r="D1691" i="1"/>
  <c r="B1691" i="1"/>
  <c r="A1691" i="1"/>
  <c r="N1690" i="1"/>
  <c r="M1690" i="1"/>
  <c r="L1690" i="1"/>
  <c r="K1690" i="1"/>
  <c r="J1690" i="1"/>
  <c r="H1690" i="1"/>
  <c r="G1690" i="1"/>
  <c r="F1690" i="1"/>
  <c r="E1690" i="1"/>
  <c r="D1690" i="1"/>
  <c r="B1690" i="1"/>
  <c r="A1690" i="1"/>
  <c r="N1689" i="1"/>
  <c r="L1689" i="1"/>
  <c r="H1689" i="1"/>
  <c r="G1689" i="1"/>
  <c r="E1689" i="1"/>
  <c r="D1689" i="1"/>
  <c r="B1689" i="1"/>
  <c r="A1689" i="1"/>
  <c r="O1688" i="1"/>
  <c r="N1688" i="1"/>
  <c r="L1688" i="1"/>
  <c r="J1688" i="1"/>
  <c r="I1688" i="1"/>
  <c r="H1688" i="1"/>
  <c r="G1688" i="1"/>
  <c r="F1688" i="1"/>
  <c r="E1688" i="1"/>
  <c r="D1688" i="1"/>
  <c r="B1688" i="1"/>
  <c r="A1688" i="1"/>
  <c r="O1687" i="1"/>
  <c r="N1687" i="1"/>
  <c r="L1687" i="1"/>
  <c r="K1687" i="1"/>
  <c r="J1687" i="1"/>
  <c r="I1687" i="1"/>
  <c r="H1687" i="1"/>
  <c r="G1687" i="1"/>
  <c r="E1687" i="1"/>
  <c r="D1687" i="1"/>
  <c r="B1687" i="1"/>
  <c r="A1687" i="1"/>
  <c r="N1686" i="1"/>
  <c r="L1686" i="1"/>
  <c r="H1686" i="1"/>
  <c r="G1686" i="1"/>
  <c r="E1686" i="1"/>
  <c r="D1686" i="1"/>
  <c r="B1686" i="1"/>
  <c r="A1686" i="1"/>
  <c r="O1685" i="1"/>
  <c r="N1685" i="1"/>
  <c r="L1685" i="1"/>
  <c r="I1685" i="1"/>
  <c r="H1685" i="1"/>
  <c r="G1685" i="1"/>
  <c r="E1685" i="1"/>
  <c r="D1685" i="1"/>
  <c r="B1685" i="1"/>
  <c r="A1685" i="1"/>
  <c r="N1684" i="1"/>
  <c r="L1684" i="1"/>
  <c r="I1684" i="1"/>
  <c r="H1684" i="1"/>
  <c r="G1684" i="1"/>
  <c r="E1684" i="1"/>
  <c r="D1684" i="1"/>
  <c r="B1684" i="1"/>
  <c r="A1684" i="1"/>
  <c r="N1683" i="1"/>
  <c r="L1683" i="1"/>
  <c r="H1683" i="1"/>
  <c r="G1683" i="1"/>
  <c r="E1683" i="1"/>
  <c r="D1683" i="1"/>
  <c r="B1683" i="1"/>
  <c r="A1683" i="1"/>
  <c r="N1682" i="1"/>
  <c r="M1682" i="1"/>
  <c r="L1682" i="1"/>
  <c r="I1682" i="1"/>
  <c r="H1682" i="1"/>
  <c r="G1682" i="1"/>
  <c r="E1682" i="1"/>
  <c r="D1682" i="1"/>
  <c r="B1682" i="1"/>
  <c r="A1682" i="1"/>
  <c r="N1681" i="1"/>
  <c r="M1681" i="1"/>
  <c r="L1681" i="1"/>
  <c r="I1681" i="1"/>
  <c r="H1681" i="1"/>
  <c r="G1681" i="1"/>
  <c r="E1681" i="1"/>
  <c r="D1681" i="1"/>
  <c r="B1681" i="1"/>
  <c r="A1681" i="1"/>
  <c r="O1680" i="1"/>
  <c r="N1680" i="1"/>
  <c r="L1680" i="1"/>
  <c r="I1680" i="1"/>
  <c r="H1680" i="1"/>
  <c r="G1680" i="1"/>
  <c r="E1680" i="1"/>
  <c r="D1680" i="1"/>
  <c r="B1680" i="1"/>
  <c r="A1680" i="1"/>
  <c r="N1679" i="1"/>
  <c r="L1679" i="1"/>
  <c r="K1679" i="1"/>
  <c r="J1679" i="1"/>
  <c r="I1679" i="1"/>
  <c r="H1679" i="1"/>
  <c r="G1679" i="1"/>
  <c r="E1679" i="1"/>
  <c r="D1679" i="1"/>
  <c r="B1679" i="1"/>
  <c r="A1679" i="1"/>
  <c r="O1678" i="1"/>
  <c r="N1678" i="1"/>
  <c r="L1678" i="1"/>
  <c r="I1678" i="1"/>
  <c r="H1678" i="1"/>
  <c r="G1678" i="1"/>
  <c r="E1678" i="1"/>
  <c r="D1678" i="1"/>
  <c r="B1678" i="1"/>
  <c r="A1678" i="1"/>
  <c r="N1677" i="1"/>
  <c r="L1677" i="1"/>
  <c r="H1677" i="1"/>
  <c r="G1677" i="1"/>
  <c r="E1677" i="1"/>
  <c r="D1677" i="1"/>
  <c r="B1677" i="1"/>
  <c r="A1677" i="1"/>
  <c r="O1676" i="1"/>
  <c r="N1676" i="1"/>
  <c r="L1676" i="1"/>
  <c r="I1676" i="1"/>
  <c r="H1676" i="1"/>
  <c r="G1676" i="1"/>
  <c r="E1676" i="1"/>
  <c r="D1676" i="1"/>
  <c r="B1676" i="1"/>
  <c r="A1676" i="1"/>
  <c r="N1675" i="1"/>
  <c r="L1675" i="1"/>
  <c r="H1675" i="1"/>
  <c r="G1675" i="1"/>
  <c r="E1675" i="1"/>
  <c r="D1675" i="1"/>
  <c r="A1675" i="1"/>
  <c r="N1674" i="1"/>
  <c r="L1674" i="1"/>
  <c r="H1674" i="1"/>
  <c r="G1674" i="1"/>
  <c r="E1674" i="1"/>
  <c r="D1674" i="1"/>
  <c r="B1674" i="1"/>
  <c r="A1674" i="1"/>
  <c r="O1673" i="1"/>
  <c r="N1673" i="1"/>
  <c r="M1673" i="1"/>
  <c r="L1673" i="1"/>
  <c r="H1673" i="1"/>
  <c r="G1673" i="1"/>
  <c r="E1673" i="1"/>
  <c r="D1673" i="1"/>
  <c r="A1673" i="1"/>
  <c r="O1672" i="1"/>
  <c r="N1672" i="1"/>
  <c r="L1672" i="1"/>
  <c r="K1672" i="1"/>
  <c r="J1672" i="1"/>
  <c r="H1672" i="1"/>
  <c r="G1672" i="1"/>
  <c r="E1672" i="1"/>
  <c r="D1672" i="1"/>
  <c r="C1672" i="1"/>
  <c r="B1672" i="1"/>
  <c r="A1672" i="1"/>
  <c r="N1671" i="1"/>
  <c r="M1671" i="1"/>
  <c r="L1671" i="1"/>
  <c r="K1671" i="1"/>
  <c r="J1671" i="1"/>
  <c r="H1671" i="1"/>
  <c r="G1671" i="1"/>
  <c r="E1671" i="1"/>
  <c r="D1671" i="1"/>
  <c r="C1671" i="1"/>
  <c r="B1671" i="1"/>
  <c r="A1671" i="1"/>
  <c r="O1670" i="1"/>
  <c r="N1670" i="1"/>
  <c r="L1670" i="1"/>
  <c r="K1670" i="1"/>
  <c r="J1670" i="1"/>
  <c r="H1670" i="1"/>
  <c r="G1670" i="1"/>
  <c r="E1670" i="1"/>
  <c r="D1670" i="1"/>
  <c r="B1670" i="1"/>
  <c r="A1670" i="1"/>
  <c r="N1669" i="1"/>
  <c r="M1669" i="1"/>
  <c r="L1669" i="1"/>
  <c r="K1669" i="1"/>
  <c r="J1669" i="1"/>
  <c r="H1669" i="1"/>
  <c r="G1669" i="1"/>
  <c r="E1669" i="1"/>
  <c r="D1669" i="1"/>
  <c r="C1669" i="1"/>
  <c r="B1669" i="1"/>
  <c r="A1669" i="1"/>
  <c r="N1668" i="1"/>
  <c r="L1668" i="1"/>
  <c r="H1668" i="1"/>
  <c r="G1668" i="1"/>
  <c r="E1668" i="1"/>
  <c r="D1668" i="1"/>
  <c r="B1668" i="1"/>
  <c r="A1668" i="1"/>
  <c r="O1667" i="1"/>
  <c r="N1667" i="1"/>
  <c r="M1667" i="1"/>
  <c r="L1667" i="1"/>
  <c r="K1667" i="1"/>
  <c r="J1667" i="1"/>
  <c r="H1667" i="1"/>
  <c r="G1667" i="1"/>
  <c r="E1667" i="1"/>
  <c r="D1667" i="1"/>
  <c r="B1667" i="1"/>
  <c r="A1667" i="1"/>
  <c r="O1666" i="1"/>
  <c r="N1666" i="1"/>
  <c r="L1666" i="1"/>
  <c r="H1666" i="1"/>
  <c r="G1666" i="1"/>
  <c r="E1666" i="1"/>
  <c r="D1666" i="1"/>
  <c r="B1666" i="1"/>
  <c r="A1666" i="1"/>
  <c r="O1665" i="1"/>
  <c r="N1665" i="1"/>
  <c r="L1665" i="1"/>
  <c r="H1665" i="1"/>
  <c r="G1665" i="1"/>
  <c r="E1665" i="1"/>
  <c r="D1665" i="1"/>
  <c r="B1665" i="1"/>
  <c r="A1665" i="1"/>
  <c r="O1664" i="1"/>
  <c r="N1664" i="1"/>
  <c r="L1664" i="1"/>
  <c r="H1664" i="1"/>
  <c r="G1664" i="1"/>
  <c r="E1664" i="1"/>
  <c r="D1664" i="1"/>
  <c r="B1664" i="1"/>
  <c r="A1664" i="1"/>
  <c r="O1663" i="1"/>
  <c r="N1663" i="1"/>
  <c r="L1663" i="1"/>
  <c r="I1663" i="1"/>
  <c r="H1663" i="1"/>
  <c r="G1663" i="1"/>
  <c r="E1663" i="1"/>
  <c r="D1663" i="1"/>
  <c r="B1663" i="1"/>
  <c r="A1663" i="1"/>
  <c r="O1662" i="1"/>
  <c r="N1662" i="1"/>
  <c r="L1662" i="1"/>
  <c r="H1662" i="1"/>
  <c r="G1662" i="1"/>
  <c r="E1662" i="1"/>
  <c r="D1662" i="1"/>
  <c r="B1662" i="1"/>
  <c r="A1662" i="1"/>
  <c r="O1661" i="1"/>
  <c r="N1661" i="1"/>
  <c r="L1661" i="1"/>
  <c r="H1661" i="1"/>
  <c r="G1661" i="1"/>
  <c r="E1661" i="1"/>
  <c r="D1661" i="1"/>
  <c r="B1661" i="1"/>
  <c r="A1661" i="1"/>
  <c r="O1660" i="1"/>
  <c r="N1660" i="1"/>
  <c r="L1660" i="1"/>
  <c r="H1660" i="1"/>
  <c r="G1660" i="1"/>
  <c r="E1660" i="1"/>
  <c r="D1660" i="1"/>
  <c r="B1660" i="1"/>
  <c r="A1660" i="1"/>
  <c r="O1659" i="1"/>
  <c r="N1659" i="1"/>
  <c r="L1659" i="1"/>
  <c r="H1659" i="1"/>
  <c r="G1659" i="1"/>
  <c r="E1659" i="1"/>
  <c r="D1659" i="1"/>
  <c r="B1659" i="1"/>
  <c r="A1659" i="1"/>
  <c r="O1658" i="1"/>
  <c r="N1658" i="1"/>
  <c r="L1658" i="1"/>
  <c r="H1658" i="1"/>
  <c r="G1658" i="1"/>
  <c r="E1658" i="1"/>
  <c r="D1658" i="1"/>
  <c r="B1658" i="1"/>
  <c r="A1658" i="1"/>
  <c r="O1657" i="1"/>
  <c r="N1657" i="1"/>
  <c r="L1657" i="1"/>
  <c r="H1657" i="1"/>
  <c r="G1657" i="1"/>
  <c r="E1657" i="1"/>
  <c r="D1657" i="1"/>
  <c r="B1657" i="1"/>
  <c r="A1657" i="1"/>
  <c r="O1656" i="1"/>
  <c r="N1656" i="1"/>
  <c r="L1656" i="1"/>
  <c r="H1656" i="1"/>
  <c r="G1656" i="1"/>
  <c r="E1656" i="1"/>
  <c r="D1656" i="1"/>
  <c r="B1656" i="1"/>
  <c r="A1656" i="1"/>
  <c r="O1655" i="1"/>
  <c r="N1655" i="1"/>
  <c r="L1655" i="1"/>
  <c r="K1655" i="1"/>
  <c r="I1655" i="1"/>
  <c r="H1655" i="1"/>
  <c r="G1655" i="1"/>
  <c r="F1655" i="1"/>
  <c r="E1655" i="1"/>
  <c r="D1655" i="1"/>
  <c r="B1655" i="1"/>
  <c r="A1655" i="1"/>
  <c r="O1654" i="1"/>
  <c r="N1654" i="1"/>
  <c r="L1654" i="1"/>
  <c r="I1654" i="1"/>
  <c r="H1654" i="1"/>
  <c r="G1654" i="1"/>
  <c r="F1654" i="1"/>
  <c r="E1654" i="1"/>
  <c r="D1654" i="1"/>
  <c r="C1654" i="1"/>
  <c r="B1654" i="1"/>
  <c r="A1654" i="1"/>
  <c r="N1653" i="1"/>
  <c r="L1653" i="1"/>
  <c r="I1653" i="1"/>
  <c r="H1653" i="1"/>
  <c r="G1653" i="1"/>
  <c r="E1653" i="1"/>
  <c r="D1653" i="1"/>
  <c r="B1653" i="1"/>
  <c r="A1653" i="1"/>
  <c r="N1652" i="1"/>
  <c r="L1652" i="1"/>
  <c r="H1652" i="1"/>
  <c r="G1652" i="1"/>
  <c r="E1652" i="1"/>
  <c r="D1652" i="1"/>
  <c r="A1652" i="1"/>
  <c r="N1651" i="1"/>
  <c r="M1651" i="1"/>
  <c r="L1651" i="1"/>
  <c r="K1651" i="1"/>
  <c r="J1651" i="1"/>
  <c r="H1651" i="1"/>
  <c r="G1651" i="1"/>
  <c r="E1651" i="1"/>
  <c r="D1651" i="1"/>
  <c r="C1651" i="1"/>
  <c r="B1651" i="1"/>
  <c r="A1651" i="1"/>
  <c r="N1650" i="1"/>
  <c r="L1650" i="1"/>
  <c r="H1650" i="1"/>
  <c r="G1650" i="1"/>
  <c r="E1650" i="1"/>
  <c r="D1650" i="1"/>
  <c r="B1650" i="1"/>
  <c r="A1650" i="1"/>
  <c r="O1649" i="1"/>
  <c r="N1649" i="1"/>
  <c r="L1649" i="1"/>
  <c r="H1649" i="1"/>
  <c r="G1649" i="1"/>
  <c r="F1649" i="1"/>
  <c r="E1649" i="1"/>
  <c r="D1649" i="1"/>
  <c r="B1649" i="1"/>
  <c r="A1649" i="1"/>
  <c r="N1648" i="1"/>
  <c r="L1648" i="1"/>
  <c r="H1648" i="1"/>
  <c r="G1648" i="1"/>
  <c r="E1648" i="1"/>
  <c r="D1648" i="1"/>
  <c r="A1648" i="1"/>
  <c r="N1647" i="1"/>
  <c r="M1647" i="1"/>
  <c r="L1647" i="1"/>
  <c r="J1647" i="1"/>
  <c r="H1647" i="1"/>
  <c r="G1647" i="1"/>
  <c r="F1647" i="1"/>
  <c r="E1647" i="1"/>
  <c r="D1647" i="1"/>
  <c r="A1647" i="1"/>
  <c r="N1646" i="1"/>
  <c r="M1646" i="1"/>
  <c r="L1646" i="1"/>
  <c r="K1646" i="1"/>
  <c r="J1646" i="1"/>
  <c r="H1646" i="1"/>
  <c r="G1646" i="1"/>
  <c r="F1646" i="1"/>
  <c r="E1646" i="1"/>
  <c r="D1646" i="1"/>
  <c r="B1646" i="1"/>
  <c r="A1646" i="1"/>
  <c r="N1645" i="1"/>
  <c r="M1645" i="1"/>
  <c r="L1645" i="1"/>
  <c r="K1645" i="1"/>
  <c r="J1645" i="1"/>
  <c r="H1645" i="1"/>
  <c r="G1645" i="1"/>
  <c r="F1645" i="1"/>
  <c r="E1645" i="1"/>
  <c r="D1645" i="1"/>
  <c r="B1645" i="1"/>
  <c r="A1645" i="1"/>
  <c r="O1644" i="1"/>
  <c r="N1644" i="1"/>
  <c r="L1644" i="1"/>
  <c r="H1644" i="1"/>
  <c r="G1644" i="1"/>
  <c r="E1644" i="1"/>
  <c r="D1644" i="1"/>
  <c r="B1644" i="1"/>
  <c r="A1644" i="1"/>
  <c r="O1643" i="1"/>
  <c r="H1643" i="1"/>
  <c r="G1643" i="1"/>
  <c r="E1643" i="1"/>
  <c r="D1643" i="1"/>
  <c r="A1643" i="1"/>
  <c r="O1642" i="1"/>
  <c r="N1642" i="1"/>
  <c r="M1642" i="1"/>
  <c r="L1642" i="1"/>
  <c r="I1642" i="1"/>
  <c r="H1642" i="1"/>
  <c r="G1642" i="1"/>
  <c r="E1642" i="1"/>
  <c r="D1642" i="1"/>
  <c r="A1642" i="1"/>
  <c r="O1641" i="1"/>
  <c r="N1641" i="1"/>
  <c r="L1641" i="1"/>
  <c r="H1641" i="1"/>
  <c r="G1641" i="1"/>
  <c r="E1641" i="1"/>
  <c r="D1641" i="1"/>
  <c r="C1641" i="1"/>
  <c r="B1641" i="1"/>
  <c r="A1641" i="1"/>
  <c r="O1640" i="1"/>
  <c r="N1640" i="1"/>
  <c r="L1640" i="1"/>
  <c r="H1640" i="1"/>
  <c r="G1640" i="1"/>
  <c r="E1640" i="1"/>
  <c r="D1640" i="1"/>
  <c r="C1640" i="1"/>
  <c r="B1640" i="1"/>
  <c r="A1640" i="1"/>
  <c r="N1639" i="1"/>
  <c r="L1639" i="1"/>
  <c r="K1639" i="1"/>
  <c r="J1639" i="1"/>
  <c r="H1639" i="1"/>
  <c r="G1639" i="1"/>
  <c r="E1639" i="1"/>
  <c r="D1639" i="1"/>
  <c r="C1639" i="1"/>
  <c r="B1639" i="1"/>
  <c r="A1639" i="1"/>
  <c r="N1638" i="1"/>
  <c r="L1638" i="1"/>
  <c r="H1638" i="1"/>
  <c r="G1638" i="1"/>
  <c r="E1638" i="1"/>
  <c r="D1638" i="1"/>
  <c r="B1638" i="1"/>
  <c r="A1638" i="1"/>
  <c r="N1637" i="1"/>
  <c r="L1637" i="1"/>
  <c r="H1637" i="1"/>
  <c r="G1637" i="1"/>
  <c r="E1637" i="1"/>
  <c r="D1637" i="1"/>
  <c r="B1637" i="1"/>
  <c r="A1637" i="1"/>
  <c r="N1636" i="1"/>
  <c r="L1636" i="1"/>
  <c r="H1636" i="1"/>
  <c r="G1636" i="1"/>
  <c r="E1636" i="1"/>
  <c r="D1636" i="1"/>
  <c r="B1636" i="1"/>
  <c r="A1636" i="1"/>
  <c r="N1635" i="1"/>
  <c r="L1635" i="1"/>
  <c r="H1635" i="1"/>
  <c r="G1635" i="1"/>
  <c r="E1635" i="1"/>
  <c r="D1635" i="1"/>
  <c r="B1635" i="1"/>
  <c r="A1635" i="1"/>
  <c r="N1634" i="1"/>
  <c r="L1634" i="1"/>
  <c r="H1634" i="1"/>
  <c r="G1634" i="1"/>
  <c r="E1634" i="1"/>
  <c r="D1634" i="1"/>
  <c r="B1634" i="1"/>
  <c r="A1634" i="1"/>
  <c r="O1633" i="1"/>
  <c r="N1633" i="1"/>
  <c r="L1633" i="1"/>
  <c r="H1633" i="1"/>
  <c r="G1633" i="1"/>
  <c r="F1633" i="1"/>
  <c r="E1633" i="1"/>
  <c r="D1633" i="1"/>
  <c r="B1633" i="1"/>
  <c r="A1633" i="1"/>
  <c r="O1632" i="1"/>
  <c r="N1632" i="1"/>
  <c r="L1632" i="1"/>
  <c r="H1632" i="1"/>
  <c r="G1632" i="1"/>
  <c r="E1632" i="1"/>
  <c r="D1632" i="1"/>
  <c r="B1632" i="1"/>
  <c r="A1632" i="1"/>
  <c r="O1631" i="1"/>
  <c r="N1631" i="1"/>
  <c r="M1631" i="1"/>
  <c r="L1631" i="1"/>
  <c r="K1631" i="1"/>
  <c r="J1631" i="1"/>
  <c r="H1631" i="1"/>
  <c r="G1631" i="1"/>
  <c r="F1631" i="1"/>
  <c r="E1631" i="1"/>
  <c r="D1631" i="1"/>
  <c r="C1631" i="1"/>
  <c r="B1631" i="1"/>
  <c r="A1631" i="1"/>
  <c r="O1630" i="1"/>
  <c r="N1630" i="1"/>
  <c r="L1630" i="1"/>
  <c r="H1630" i="1"/>
  <c r="G1630" i="1"/>
  <c r="E1630" i="1"/>
  <c r="D1630" i="1"/>
  <c r="B1630" i="1"/>
  <c r="A1630" i="1"/>
  <c r="O1629" i="1"/>
  <c r="N1629" i="1"/>
  <c r="L1629" i="1"/>
  <c r="H1629" i="1"/>
  <c r="G1629" i="1"/>
  <c r="E1629" i="1"/>
  <c r="D1629" i="1"/>
  <c r="B1629" i="1"/>
  <c r="A1629" i="1"/>
  <c r="O1628" i="1"/>
  <c r="N1628" i="1"/>
  <c r="L1628" i="1"/>
  <c r="H1628" i="1"/>
  <c r="G1628" i="1"/>
  <c r="E1628" i="1"/>
  <c r="D1628" i="1"/>
  <c r="B1628" i="1"/>
  <c r="A1628" i="1"/>
  <c r="O1627" i="1"/>
  <c r="N1627" i="1"/>
  <c r="L1627" i="1"/>
  <c r="H1627" i="1"/>
  <c r="G1627" i="1"/>
  <c r="E1627" i="1"/>
  <c r="D1627" i="1"/>
  <c r="B1627" i="1"/>
  <c r="A1627" i="1"/>
  <c r="O1626" i="1"/>
  <c r="N1626" i="1"/>
  <c r="L1626" i="1"/>
  <c r="H1626" i="1"/>
  <c r="G1626" i="1"/>
  <c r="E1626" i="1"/>
  <c r="D1626" i="1"/>
  <c r="B1626" i="1"/>
  <c r="A1626" i="1"/>
  <c r="O1625" i="1"/>
  <c r="N1625" i="1"/>
  <c r="L1625" i="1"/>
  <c r="H1625" i="1"/>
  <c r="G1625" i="1"/>
  <c r="E1625" i="1"/>
  <c r="D1625" i="1"/>
  <c r="B1625" i="1"/>
  <c r="A1625" i="1"/>
  <c r="O1624" i="1"/>
  <c r="N1624" i="1"/>
  <c r="L1624" i="1"/>
  <c r="H1624" i="1"/>
  <c r="G1624" i="1"/>
  <c r="E1624" i="1"/>
  <c r="D1624" i="1"/>
  <c r="B1624" i="1"/>
  <c r="A1624" i="1"/>
  <c r="L1623" i="1"/>
  <c r="H1623" i="1"/>
  <c r="G1623" i="1"/>
  <c r="E1623" i="1"/>
  <c r="D1623" i="1"/>
  <c r="B1623" i="1"/>
  <c r="A1623" i="1"/>
  <c r="L1622" i="1"/>
  <c r="H1622" i="1"/>
  <c r="G1622" i="1"/>
  <c r="E1622" i="1"/>
  <c r="D1622" i="1"/>
  <c r="B1622" i="1"/>
  <c r="A1622" i="1"/>
  <c r="L1621" i="1"/>
  <c r="H1621" i="1"/>
  <c r="G1621" i="1"/>
  <c r="E1621" i="1"/>
  <c r="D1621" i="1"/>
  <c r="B1621" i="1"/>
  <c r="A1621" i="1"/>
  <c r="L1620" i="1"/>
  <c r="H1620" i="1"/>
  <c r="G1620" i="1"/>
  <c r="E1620" i="1"/>
  <c r="D1620" i="1"/>
  <c r="B1620" i="1"/>
  <c r="A1620" i="1"/>
  <c r="L1619" i="1"/>
  <c r="H1619" i="1"/>
  <c r="G1619" i="1"/>
  <c r="E1619" i="1"/>
  <c r="D1619" i="1"/>
  <c r="B1619" i="1"/>
  <c r="A1619" i="1"/>
  <c r="L1618" i="1"/>
  <c r="H1618" i="1"/>
  <c r="G1618" i="1"/>
  <c r="E1618" i="1"/>
  <c r="D1618" i="1"/>
  <c r="B1618" i="1"/>
  <c r="A1618" i="1"/>
  <c r="L1617" i="1"/>
  <c r="H1617" i="1"/>
  <c r="G1617" i="1"/>
  <c r="E1617" i="1"/>
  <c r="D1617" i="1"/>
  <c r="B1617" i="1"/>
  <c r="A1617" i="1"/>
  <c r="L1616" i="1"/>
  <c r="H1616" i="1"/>
  <c r="G1616" i="1"/>
  <c r="E1616" i="1"/>
  <c r="D1616" i="1"/>
  <c r="B1616" i="1"/>
  <c r="A1616" i="1"/>
  <c r="L1615" i="1"/>
  <c r="H1615" i="1"/>
  <c r="G1615" i="1"/>
  <c r="E1615" i="1"/>
  <c r="D1615" i="1"/>
  <c r="B1615" i="1"/>
  <c r="A1615" i="1"/>
  <c r="N1614" i="1"/>
  <c r="L1614" i="1"/>
  <c r="H1614" i="1"/>
  <c r="G1614" i="1"/>
  <c r="E1614" i="1"/>
  <c r="D1614" i="1"/>
  <c r="B1614" i="1"/>
  <c r="A1614" i="1"/>
  <c r="N1613" i="1"/>
  <c r="L1613" i="1"/>
  <c r="H1613" i="1"/>
  <c r="G1613" i="1"/>
  <c r="E1613" i="1"/>
  <c r="D1613" i="1"/>
  <c r="B1613" i="1"/>
  <c r="A1613" i="1"/>
  <c r="N1612" i="1"/>
  <c r="L1612" i="1"/>
  <c r="H1612" i="1"/>
  <c r="G1612" i="1"/>
  <c r="E1612" i="1"/>
  <c r="D1612" i="1"/>
  <c r="B1612" i="1"/>
  <c r="A1612" i="1"/>
  <c r="O1611" i="1"/>
  <c r="H1611" i="1"/>
  <c r="G1611" i="1"/>
  <c r="E1611" i="1"/>
  <c r="D1611" i="1"/>
  <c r="B1611" i="1"/>
  <c r="A1611" i="1"/>
  <c r="N1610" i="1"/>
  <c r="L1610" i="1"/>
  <c r="H1610" i="1"/>
  <c r="G1610" i="1"/>
  <c r="E1610" i="1"/>
  <c r="D1610" i="1"/>
  <c r="B1610" i="1"/>
  <c r="A1610" i="1"/>
  <c r="N1609" i="1"/>
  <c r="L1609" i="1"/>
  <c r="H1609" i="1"/>
  <c r="G1609" i="1"/>
  <c r="E1609" i="1"/>
  <c r="D1609" i="1"/>
  <c r="B1609" i="1"/>
  <c r="A1609" i="1"/>
  <c r="N1608" i="1"/>
  <c r="L1608" i="1"/>
  <c r="H1608" i="1"/>
  <c r="G1608" i="1"/>
  <c r="E1608" i="1"/>
  <c r="D1608" i="1"/>
  <c r="B1608" i="1"/>
  <c r="A1608" i="1"/>
  <c r="N1607" i="1"/>
  <c r="M1607" i="1"/>
  <c r="L1607" i="1"/>
  <c r="K1607" i="1"/>
  <c r="J1607" i="1"/>
  <c r="H1607" i="1"/>
  <c r="G1607" i="1"/>
  <c r="E1607" i="1"/>
  <c r="D1607" i="1"/>
  <c r="C1607" i="1"/>
  <c r="B1607" i="1"/>
  <c r="A1607" i="1"/>
  <c r="N1606" i="1"/>
  <c r="M1606" i="1"/>
  <c r="L1606" i="1"/>
  <c r="K1606" i="1"/>
  <c r="J1606" i="1"/>
  <c r="I1606" i="1"/>
  <c r="H1606" i="1"/>
  <c r="G1606" i="1"/>
  <c r="E1606" i="1"/>
  <c r="D1606" i="1"/>
  <c r="B1606" i="1"/>
  <c r="A1606" i="1"/>
  <c r="O1605" i="1"/>
  <c r="N1605" i="1"/>
  <c r="L1605" i="1"/>
  <c r="H1605" i="1"/>
  <c r="G1605" i="1"/>
  <c r="E1605" i="1"/>
  <c r="D1605" i="1"/>
  <c r="B1605" i="1"/>
  <c r="A1605" i="1"/>
  <c r="N1604" i="1"/>
  <c r="L1604" i="1"/>
  <c r="H1604" i="1"/>
  <c r="G1604" i="1"/>
  <c r="E1604" i="1"/>
  <c r="D1604" i="1"/>
  <c r="B1604" i="1"/>
  <c r="A1604" i="1"/>
  <c r="N1603" i="1"/>
  <c r="L1603" i="1"/>
  <c r="H1603" i="1"/>
  <c r="G1603" i="1"/>
  <c r="E1603" i="1"/>
  <c r="D1603" i="1"/>
  <c r="B1603" i="1"/>
  <c r="A1603" i="1"/>
  <c r="O1602" i="1"/>
  <c r="N1602" i="1"/>
  <c r="L1602" i="1"/>
  <c r="I1602" i="1"/>
  <c r="H1602" i="1"/>
  <c r="G1602" i="1"/>
  <c r="F1602" i="1"/>
  <c r="E1602" i="1"/>
  <c r="D1602" i="1"/>
  <c r="B1602" i="1"/>
  <c r="A1602" i="1"/>
  <c r="N1601" i="1"/>
  <c r="L1601" i="1"/>
  <c r="H1601" i="1"/>
  <c r="G1601" i="1"/>
  <c r="E1601" i="1"/>
  <c r="D1601" i="1"/>
  <c r="B1601" i="1"/>
  <c r="A1601" i="1"/>
  <c r="N1600" i="1"/>
  <c r="L1600" i="1"/>
  <c r="H1600" i="1"/>
  <c r="G1600" i="1"/>
  <c r="E1600" i="1"/>
  <c r="D1600" i="1"/>
  <c r="B1600" i="1"/>
  <c r="A1600" i="1"/>
  <c r="N1599" i="1"/>
  <c r="L1599" i="1"/>
  <c r="H1599" i="1"/>
  <c r="G1599" i="1"/>
  <c r="E1599" i="1"/>
  <c r="D1599" i="1"/>
  <c r="B1599" i="1"/>
  <c r="A1599" i="1"/>
  <c r="N1598" i="1"/>
  <c r="L1598" i="1"/>
  <c r="H1598" i="1"/>
  <c r="G1598" i="1"/>
  <c r="E1598" i="1"/>
  <c r="D1598" i="1"/>
  <c r="C1598" i="1"/>
  <c r="B1598" i="1"/>
  <c r="A1598" i="1"/>
  <c r="O1597" i="1"/>
  <c r="N1597" i="1"/>
  <c r="L1597" i="1"/>
  <c r="H1597" i="1"/>
  <c r="G1597" i="1"/>
  <c r="E1597" i="1"/>
  <c r="D1597" i="1"/>
  <c r="B1597" i="1"/>
  <c r="A1597" i="1"/>
  <c r="N1596" i="1"/>
  <c r="M1596" i="1"/>
  <c r="L1596" i="1"/>
  <c r="K1596" i="1"/>
  <c r="J1596" i="1"/>
  <c r="I1596" i="1"/>
  <c r="H1596" i="1"/>
  <c r="G1596" i="1"/>
  <c r="F1596" i="1"/>
  <c r="E1596" i="1"/>
  <c r="D1596" i="1"/>
  <c r="B1596" i="1"/>
  <c r="A1596" i="1"/>
  <c r="N1595" i="1"/>
  <c r="M1595" i="1"/>
  <c r="L1595" i="1"/>
  <c r="K1595" i="1"/>
  <c r="J1595" i="1"/>
  <c r="I1595" i="1"/>
  <c r="H1595" i="1"/>
  <c r="G1595" i="1"/>
  <c r="E1595" i="1"/>
  <c r="D1595" i="1"/>
  <c r="B1595" i="1"/>
  <c r="A1595" i="1"/>
  <c r="N1594" i="1"/>
  <c r="L1594" i="1"/>
  <c r="H1594" i="1"/>
  <c r="G1594" i="1"/>
  <c r="E1594" i="1"/>
  <c r="D1594" i="1"/>
  <c r="B1594" i="1"/>
  <c r="A1594" i="1"/>
  <c r="N1593" i="1"/>
  <c r="L1593" i="1"/>
  <c r="H1593" i="1"/>
  <c r="G1593" i="1"/>
  <c r="E1593" i="1"/>
  <c r="D1593" i="1"/>
  <c r="A1593" i="1"/>
  <c r="N1592" i="1"/>
  <c r="L1592" i="1"/>
  <c r="H1592" i="1"/>
  <c r="G1592" i="1"/>
  <c r="E1592" i="1"/>
  <c r="D1592" i="1"/>
  <c r="B1592" i="1"/>
  <c r="A1592" i="1"/>
  <c r="O1591" i="1"/>
  <c r="N1591" i="1"/>
  <c r="L1591" i="1"/>
  <c r="J1591" i="1"/>
  <c r="I1591" i="1"/>
  <c r="H1591" i="1"/>
  <c r="G1591" i="1"/>
  <c r="F1591" i="1"/>
  <c r="E1591" i="1"/>
  <c r="D1591" i="1"/>
  <c r="B1591" i="1"/>
  <c r="A1591" i="1"/>
  <c r="N1590" i="1"/>
  <c r="L1590" i="1"/>
  <c r="J1590" i="1"/>
  <c r="H1590" i="1"/>
  <c r="G1590" i="1"/>
  <c r="F1590" i="1"/>
  <c r="E1590" i="1"/>
  <c r="D1590" i="1"/>
  <c r="B1590" i="1"/>
  <c r="A1590" i="1"/>
  <c r="N1589" i="1"/>
  <c r="L1589" i="1"/>
  <c r="H1589" i="1"/>
  <c r="G1589" i="1"/>
  <c r="E1589" i="1"/>
  <c r="D1589" i="1"/>
  <c r="B1589" i="1"/>
  <c r="A1589" i="1"/>
  <c r="N1588" i="1"/>
  <c r="L1588" i="1"/>
  <c r="K1588" i="1"/>
  <c r="H1588" i="1"/>
  <c r="G1588" i="1"/>
  <c r="E1588" i="1"/>
  <c r="D1588" i="1"/>
  <c r="C1588" i="1"/>
  <c r="B1588" i="1"/>
  <c r="A1588" i="1"/>
  <c r="N1587" i="1"/>
  <c r="L1587" i="1"/>
  <c r="K1587" i="1"/>
  <c r="J1587" i="1"/>
  <c r="H1587" i="1"/>
  <c r="G1587" i="1"/>
  <c r="F1587" i="1"/>
  <c r="E1587" i="1"/>
  <c r="D1587" i="1"/>
  <c r="B1587" i="1"/>
  <c r="A1587" i="1"/>
  <c r="N1586" i="1"/>
  <c r="M1586" i="1"/>
  <c r="L1586" i="1"/>
  <c r="K1586" i="1"/>
  <c r="J1586" i="1"/>
  <c r="H1586" i="1"/>
  <c r="G1586" i="1"/>
  <c r="F1586" i="1"/>
  <c r="E1586" i="1"/>
  <c r="D1586" i="1"/>
  <c r="C1586" i="1"/>
  <c r="B1586" i="1"/>
  <c r="A1586" i="1"/>
  <c r="N1585" i="1"/>
  <c r="L1585" i="1"/>
  <c r="H1585" i="1"/>
  <c r="G1585" i="1"/>
  <c r="E1585" i="1"/>
  <c r="D1585" i="1"/>
  <c r="A1585" i="1"/>
  <c r="N1584" i="1"/>
  <c r="L1584" i="1"/>
  <c r="H1584" i="1"/>
  <c r="G1584" i="1"/>
  <c r="E1584" i="1"/>
  <c r="D1584" i="1"/>
  <c r="B1584" i="1"/>
  <c r="A1584" i="1"/>
  <c r="N1583" i="1"/>
  <c r="L1583" i="1"/>
  <c r="H1583" i="1"/>
  <c r="G1583" i="1"/>
  <c r="E1583" i="1"/>
  <c r="D1583" i="1"/>
  <c r="A1583" i="1"/>
  <c r="N1582" i="1"/>
  <c r="L1582" i="1"/>
  <c r="H1582" i="1"/>
  <c r="G1582" i="1"/>
  <c r="E1582" i="1"/>
  <c r="D1582" i="1"/>
  <c r="A1582" i="1"/>
  <c r="N1581" i="1"/>
  <c r="L1581" i="1"/>
  <c r="H1581" i="1"/>
  <c r="G1581" i="1"/>
  <c r="E1581" i="1"/>
  <c r="D1581" i="1"/>
  <c r="A1581" i="1"/>
  <c r="N1580" i="1"/>
  <c r="L1580" i="1"/>
  <c r="H1580" i="1"/>
  <c r="G1580" i="1"/>
  <c r="E1580" i="1"/>
  <c r="D1580" i="1"/>
  <c r="B1580" i="1"/>
  <c r="A1580" i="1"/>
  <c r="N1579" i="1"/>
  <c r="L1579" i="1"/>
  <c r="K1579" i="1"/>
  <c r="I1579" i="1"/>
  <c r="H1579" i="1"/>
  <c r="G1579" i="1"/>
  <c r="E1579" i="1"/>
  <c r="D1579" i="1"/>
  <c r="B1579" i="1"/>
  <c r="A1579" i="1"/>
  <c r="N1578" i="1"/>
  <c r="L1578" i="1"/>
  <c r="I1578" i="1"/>
  <c r="H1578" i="1"/>
  <c r="G1578" i="1"/>
  <c r="F1578" i="1"/>
  <c r="E1578" i="1"/>
  <c r="D1578" i="1"/>
  <c r="B1578" i="1"/>
  <c r="A1578" i="1"/>
  <c r="N1577" i="1"/>
  <c r="M1577" i="1"/>
  <c r="L1577" i="1"/>
  <c r="I1577" i="1"/>
  <c r="H1577" i="1"/>
  <c r="G1577" i="1"/>
  <c r="E1577" i="1"/>
  <c r="D1577" i="1"/>
  <c r="B1577" i="1"/>
  <c r="A1577" i="1"/>
  <c r="N1576" i="1"/>
  <c r="M1576" i="1"/>
  <c r="L1576" i="1"/>
  <c r="K1576" i="1"/>
  <c r="J1576" i="1"/>
  <c r="I1576" i="1"/>
  <c r="H1576" i="1"/>
  <c r="G1576" i="1"/>
  <c r="F1576" i="1"/>
  <c r="E1576" i="1"/>
  <c r="D1576" i="1"/>
  <c r="C1576" i="1"/>
  <c r="B1576" i="1"/>
  <c r="A1576" i="1"/>
  <c r="N1575" i="1"/>
  <c r="L1575" i="1"/>
  <c r="K1575" i="1"/>
  <c r="J1575" i="1"/>
  <c r="H1575" i="1"/>
  <c r="G1575" i="1"/>
  <c r="E1575" i="1"/>
  <c r="D1575" i="1"/>
  <c r="B1575" i="1"/>
  <c r="A1575" i="1"/>
  <c r="O1574" i="1"/>
  <c r="N1574" i="1"/>
  <c r="M1574" i="1"/>
  <c r="L1574" i="1"/>
  <c r="K1574" i="1"/>
  <c r="J1574" i="1"/>
  <c r="I1574" i="1"/>
  <c r="H1574" i="1"/>
  <c r="G1574" i="1"/>
  <c r="F1574" i="1"/>
  <c r="E1574" i="1"/>
  <c r="D1574" i="1"/>
  <c r="B1574" i="1"/>
  <c r="A1574" i="1"/>
  <c r="N1573" i="1"/>
  <c r="L1573" i="1"/>
  <c r="H1573" i="1"/>
  <c r="G1573" i="1"/>
  <c r="D1573" i="1"/>
  <c r="A1573" i="1"/>
  <c r="N1572" i="1"/>
  <c r="M1572" i="1"/>
  <c r="L1572" i="1"/>
  <c r="K1572" i="1"/>
  <c r="J1572" i="1"/>
  <c r="I1572" i="1"/>
  <c r="H1572" i="1"/>
  <c r="G1572" i="1"/>
  <c r="E1572" i="1"/>
  <c r="D1572" i="1"/>
  <c r="B1572" i="1"/>
  <c r="A1572" i="1"/>
  <c r="N1571" i="1"/>
  <c r="L1571" i="1"/>
  <c r="K1571" i="1"/>
  <c r="J1571" i="1"/>
  <c r="H1571" i="1"/>
  <c r="G1571" i="1"/>
  <c r="E1571" i="1"/>
  <c r="D1571" i="1"/>
  <c r="B1571" i="1"/>
  <c r="A1571" i="1"/>
  <c r="N1570" i="1"/>
  <c r="L1570" i="1"/>
  <c r="H1570" i="1"/>
  <c r="G1570" i="1"/>
  <c r="E1570" i="1"/>
  <c r="D1570" i="1"/>
  <c r="B1570" i="1"/>
  <c r="A1570" i="1"/>
  <c r="O1569" i="1"/>
  <c r="N1569" i="1"/>
  <c r="L1569" i="1"/>
  <c r="I1569" i="1"/>
  <c r="H1569" i="1"/>
  <c r="G1569" i="1"/>
  <c r="E1569" i="1"/>
  <c r="D1569" i="1"/>
  <c r="B1569" i="1"/>
  <c r="A1569" i="1"/>
  <c r="N1568" i="1"/>
  <c r="L1568" i="1"/>
  <c r="H1568" i="1"/>
  <c r="G1568" i="1"/>
  <c r="E1568" i="1"/>
  <c r="D1568" i="1"/>
  <c r="B1568" i="1"/>
  <c r="A1568" i="1"/>
  <c r="N1567" i="1"/>
  <c r="L1567" i="1"/>
  <c r="I1567" i="1"/>
  <c r="H1567" i="1"/>
  <c r="G1567" i="1"/>
  <c r="E1567" i="1"/>
  <c r="D1567" i="1"/>
  <c r="B1567" i="1"/>
  <c r="A1567" i="1"/>
  <c r="N1566" i="1"/>
  <c r="L1566" i="1"/>
  <c r="H1566" i="1"/>
  <c r="G1566" i="1"/>
  <c r="E1566" i="1"/>
  <c r="D1566" i="1"/>
  <c r="B1566" i="1"/>
  <c r="A1566" i="1"/>
  <c r="N1565" i="1"/>
  <c r="L1565" i="1"/>
  <c r="H1565" i="1"/>
  <c r="G1565" i="1"/>
  <c r="E1565" i="1"/>
  <c r="D1565" i="1"/>
  <c r="B1565" i="1"/>
  <c r="A1565" i="1"/>
  <c r="N1564" i="1"/>
  <c r="L1564" i="1"/>
  <c r="H1564" i="1"/>
  <c r="G1564" i="1"/>
  <c r="E1564" i="1"/>
  <c r="D1564" i="1"/>
  <c r="B1564" i="1"/>
  <c r="A1564" i="1"/>
  <c r="N1563" i="1"/>
  <c r="L1563" i="1"/>
  <c r="H1563" i="1"/>
  <c r="G1563" i="1"/>
  <c r="E1563" i="1"/>
  <c r="D1563" i="1"/>
  <c r="C1563" i="1"/>
  <c r="A1563" i="1"/>
  <c r="O1562" i="1"/>
  <c r="N1562" i="1"/>
  <c r="L1562" i="1"/>
  <c r="K1562" i="1"/>
  <c r="J1562" i="1"/>
  <c r="H1562" i="1"/>
  <c r="G1562" i="1"/>
  <c r="E1562" i="1"/>
  <c r="D1562" i="1"/>
  <c r="B1562" i="1"/>
  <c r="A1562" i="1"/>
  <c r="N1561" i="1"/>
  <c r="L1561" i="1"/>
  <c r="K1561" i="1"/>
  <c r="J1561" i="1"/>
  <c r="H1561" i="1"/>
  <c r="G1561" i="1"/>
  <c r="E1561" i="1"/>
  <c r="D1561" i="1"/>
  <c r="B1561" i="1"/>
  <c r="A1561" i="1"/>
  <c r="N1560" i="1"/>
  <c r="L1560" i="1"/>
  <c r="H1560" i="1"/>
  <c r="G1560" i="1"/>
  <c r="E1560" i="1"/>
  <c r="D1560" i="1"/>
  <c r="B1560" i="1"/>
  <c r="A1560" i="1"/>
  <c r="O1559" i="1"/>
  <c r="N1559" i="1"/>
  <c r="M1559" i="1"/>
  <c r="L1559" i="1"/>
  <c r="H1559" i="1"/>
  <c r="G1559" i="1"/>
  <c r="F1559" i="1"/>
  <c r="E1559" i="1"/>
  <c r="D1559" i="1"/>
  <c r="C1559" i="1"/>
  <c r="B1559" i="1"/>
  <c r="A1559" i="1"/>
  <c r="N1558" i="1"/>
  <c r="L1558" i="1"/>
  <c r="H1558" i="1"/>
  <c r="G1558" i="1"/>
  <c r="E1558" i="1"/>
  <c r="D1558" i="1"/>
  <c r="A1558" i="1"/>
  <c r="N1557" i="1"/>
  <c r="M1557" i="1"/>
  <c r="L1557" i="1"/>
  <c r="K1557" i="1"/>
  <c r="J1557" i="1"/>
  <c r="H1557" i="1"/>
  <c r="G1557" i="1"/>
  <c r="E1557" i="1"/>
  <c r="D1557" i="1"/>
  <c r="C1557" i="1"/>
  <c r="B1557" i="1"/>
  <c r="A1557" i="1"/>
  <c r="O1556" i="1"/>
  <c r="N1556" i="1"/>
  <c r="L1556" i="1"/>
  <c r="H1556" i="1"/>
  <c r="G1556" i="1"/>
  <c r="E1556" i="1"/>
  <c r="D1556" i="1"/>
  <c r="B1556" i="1"/>
  <c r="A1556" i="1"/>
  <c r="N1555" i="1"/>
  <c r="L1555" i="1"/>
  <c r="H1555" i="1"/>
  <c r="G1555" i="1"/>
  <c r="E1555" i="1"/>
  <c r="D1555" i="1"/>
  <c r="B1555" i="1"/>
  <c r="A1555" i="1"/>
  <c r="O1554" i="1"/>
  <c r="N1554" i="1"/>
  <c r="L1554" i="1"/>
  <c r="H1554" i="1"/>
  <c r="G1554" i="1"/>
  <c r="E1554" i="1"/>
  <c r="D1554" i="1"/>
  <c r="B1554" i="1"/>
  <c r="A1554" i="1"/>
  <c r="O1553" i="1"/>
  <c r="N1553" i="1"/>
  <c r="M1553" i="1"/>
  <c r="L1553" i="1"/>
  <c r="K1553" i="1"/>
  <c r="J1553" i="1"/>
  <c r="I1553" i="1"/>
  <c r="H1553" i="1"/>
  <c r="G1553" i="1"/>
  <c r="F1553" i="1"/>
  <c r="E1553" i="1"/>
  <c r="D1553" i="1"/>
  <c r="B1553" i="1"/>
  <c r="A1553" i="1"/>
  <c r="O1552" i="1"/>
  <c r="N1552" i="1"/>
  <c r="L1552" i="1"/>
  <c r="I1552" i="1"/>
  <c r="H1552" i="1"/>
  <c r="G1552" i="1"/>
  <c r="F1552" i="1"/>
  <c r="E1552" i="1"/>
  <c r="D1552" i="1"/>
  <c r="B1552" i="1"/>
  <c r="A1552" i="1"/>
  <c r="N1551" i="1"/>
  <c r="L1551" i="1"/>
  <c r="H1551" i="1"/>
  <c r="D1551" i="1"/>
  <c r="A1551" i="1"/>
  <c r="O1550" i="1"/>
  <c r="N1550" i="1"/>
  <c r="L1550" i="1"/>
  <c r="H1550" i="1"/>
  <c r="G1550" i="1"/>
  <c r="E1550" i="1"/>
  <c r="D1550" i="1"/>
  <c r="B1550" i="1"/>
  <c r="A1550" i="1"/>
  <c r="O1549" i="1"/>
  <c r="N1549" i="1"/>
  <c r="L1549" i="1"/>
  <c r="H1549" i="1"/>
  <c r="G1549" i="1"/>
  <c r="E1549" i="1"/>
  <c r="D1549" i="1"/>
  <c r="B1549" i="1"/>
  <c r="A1549" i="1"/>
  <c r="O1548" i="1"/>
  <c r="N1548" i="1"/>
  <c r="L1548" i="1"/>
  <c r="K1548" i="1"/>
  <c r="J1548" i="1"/>
  <c r="I1548" i="1"/>
  <c r="H1548" i="1"/>
  <c r="G1548" i="1"/>
  <c r="F1548" i="1"/>
  <c r="E1548" i="1"/>
  <c r="D1548" i="1"/>
  <c r="B1548" i="1"/>
  <c r="A1548" i="1"/>
  <c r="O1547" i="1"/>
  <c r="N1547" i="1"/>
  <c r="L1547" i="1"/>
  <c r="K1547" i="1"/>
  <c r="J1547" i="1"/>
  <c r="I1547" i="1"/>
  <c r="H1547" i="1"/>
  <c r="G1547" i="1"/>
  <c r="E1547" i="1"/>
  <c r="D1547" i="1"/>
  <c r="B1547" i="1"/>
  <c r="A1547" i="1"/>
  <c r="N1546" i="1"/>
  <c r="L1546" i="1"/>
  <c r="I1546" i="1"/>
  <c r="H1546" i="1"/>
  <c r="G1546" i="1"/>
  <c r="E1546" i="1"/>
  <c r="D1546" i="1"/>
  <c r="B1546" i="1"/>
  <c r="A1546" i="1"/>
  <c r="O1545" i="1"/>
  <c r="N1545" i="1"/>
  <c r="L1545" i="1"/>
  <c r="J1545" i="1"/>
  <c r="H1545" i="1"/>
  <c r="G1545" i="1"/>
  <c r="E1545" i="1"/>
  <c r="D1545" i="1"/>
  <c r="B1545" i="1"/>
  <c r="A1545" i="1"/>
  <c r="O1544" i="1"/>
  <c r="N1544" i="1"/>
  <c r="M1544" i="1"/>
  <c r="L1544" i="1"/>
  <c r="K1544" i="1"/>
  <c r="J1544" i="1"/>
  <c r="H1544" i="1"/>
  <c r="G1544" i="1"/>
  <c r="E1544" i="1"/>
  <c r="D1544" i="1"/>
  <c r="C1544" i="1"/>
  <c r="B1544" i="1"/>
  <c r="A1544" i="1"/>
  <c r="O1543" i="1"/>
  <c r="N1543" i="1"/>
  <c r="L1543" i="1"/>
  <c r="J1543" i="1"/>
  <c r="H1543" i="1"/>
  <c r="G1543" i="1"/>
  <c r="E1543" i="1"/>
  <c r="D1543" i="1"/>
  <c r="B1543" i="1"/>
  <c r="A1543" i="1"/>
  <c r="O1542" i="1"/>
  <c r="N1542" i="1"/>
  <c r="L1542" i="1"/>
  <c r="J1542" i="1"/>
  <c r="H1542" i="1"/>
  <c r="G1542" i="1"/>
  <c r="E1542" i="1"/>
  <c r="D1542" i="1"/>
  <c r="B1542" i="1"/>
  <c r="A1542" i="1"/>
  <c r="N1541" i="1"/>
  <c r="L1541" i="1"/>
  <c r="H1541" i="1"/>
  <c r="G1541" i="1"/>
  <c r="E1541" i="1"/>
  <c r="D1541" i="1"/>
  <c r="B1541" i="1"/>
  <c r="A1541" i="1"/>
  <c r="O1540" i="1"/>
  <c r="N1540" i="1"/>
  <c r="L1540" i="1"/>
  <c r="H1540" i="1"/>
  <c r="G1540" i="1"/>
  <c r="E1540" i="1"/>
  <c r="D1540" i="1"/>
  <c r="B1540" i="1"/>
  <c r="A1540" i="1"/>
  <c r="O1539" i="1"/>
  <c r="N1539" i="1"/>
  <c r="L1539" i="1"/>
  <c r="H1539" i="1"/>
  <c r="G1539" i="1"/>
  <c r="E1539" i="1"/>
  <c r="D1539" i="1"/>
  <c r="B1539" i="1"/>
  <c r="A1539" i="1"/>
  <c r="N1538" i="1"/>
  <c r="L1538" i="1"/>
  <c r="J1538" i="1"/>
  <c r="H1538" i="1"/>
  <c r="G1538" i="1"/>
  <c r="E1538" i="1"/>
  <c r="D1538" i="1"/>
  <c r="B1538" i="1"/>
  <c r="A1538" i="1"/>
  <c r="N1537" i="1"/>
  <c r="L1537" i="1"/>
  <c r="H1537" i="1"/>
  <c r="G1537" i="1"/>
  <c r="E1537" i="1"/>
  <c r="D1537" i="1"/>
  <c r="B1537" i="1"/>
  <c r="A1537" i="1"/>
  <c r="O1536" i="1"/>
  <c r="N1536" i="1"/>
  <c r="M1536" i="1"/>
  <c r="L1536" i="1"/>
  <c r="K1536" i="1"/>
  <c r="J1536" i="1"/>
  <c r="H1536" i="1"/>
  <c r="G1536" i="1"/>
  <c r="E1536" i="1"/>
  <c r="D1536" i="1"/>
  <c r="C1536" i="1"/>
  <c r="B1536" i="1"/>
  <c r="A1536" i="1"/>
  <c r="N1535" i="1"/>
  <c r="L1535" i="1"/>
  <c r="H1535" i="1"/>
  <c r="G1535" i="1"/>
  <c r="E1535" i="1"/>
  <c r="D1535" i="1"/>
  <c r="B1535" i="1"/>
  <c r="A1535" i="1"/>
  <c r="O1534" i="1"/>
  <c r="N1534" i="1"/>
  <c r="M1534" i="1"/>
  <c r="L1534" i="1"/>
  <c r="H1534" i="1"/>
  <c r="G1534" i="1"/>
  <c r="F1534" i="1"/>
  <c r="E1534" i="1"/>
  <c r="D1534" i="1"/>
  <c r="C1534" i="1"/>
  <c r="B1534" i="1"/>
  <c r="A1534" i="1"/>
  <c r="N1533" i="1"/>
  <c r="M1533" i="1"/>
  <c r="L1533" i="1"/>
  <c r="K1533" i="1"/>
  <c r="J1533" i="1"/>
  <c r="I1533" i="1"/>
  <c r="H1533" i="1"/>
  <c r="G1533" i="1"/>
  <c r="F1533" i="1"/>
  <c r="E1533" i="1"/>
  <c r="D1533" i="1"/>
  <c r="B1533" i="1"/>
  <c r="A1533" i="1"/>
  <c r="N1532" i="1"/>
  <c r="M1532" i="1"/>
  <c r="L1532" i="1"/>
  <c r="J1532" i="1"/>
  <c r="I1532" i="1"/>
  <c r="H1532" i="1"/>
  <c r="G1532" i="1"/>
  <c r="F1532" i="1"/>
  <c r="E1532" i="1"/>
  <c r="D1532" i="1"/>
  <c r="C1532" i="1"/>
  <c r="B1532" i="1"/>
  <c r="A1532" i="1"/>
  <c r="N1531" i="1"/>
  <c r="M1531" i="1"/>
  <c r="L1531" i="1"/>
  <c r="K1531" i="1"/>
  <c r="J1531" i="1"/>
  <c r="I1531" i="1"/>
  <c r="H1531" i="1"/>
  <c r="G1531" i="1"/>
  <c r="E1531" i="1"/>
  <c r="D1531" i="1"/>
  <c r="B1531" i="1"/>
  <c r="A1531" i="1"/>
  <c r="O1530" i="1"/>
  <c r="N1530" i="1"/>
  <c r="M1530" i="1"/>
  <c r="L1530" i="1"/>
  <c r="K1530" i="1"/>
  <c r="J1530" i="1"/>
  <c r="I1530" i="1"/>
  <c r="H1530" i="1"/>
  <c r="G1530" i="1"/>
  <c r="E1530" i="1"/>
  <c r="D1530" i="1"/>
  <c r="C1530" i="1"/>
  <c r="B1530" i="1"/>
  <c r="A1530" i="1"/>
  <c r="N1529" i="1"/>
  <c r="L1529" i="1"/>
  <c r="I1529" i="1"/>
  <c r="H1529" i="1"/>
  <c r="G1529" i="1"/>
  <c r="D1529" i="1"/>
  <c r="A1529" i="1"/>
  <c r="O1528" i="1"/>
  <c r="N1528" i="1"/>
  <c r="L1528" i="1"/>
  <c r="K1528" i="1"/>
  <c r="J1528" i="1"/>
  <c r="H1528" i="1"/>
  <c r="G1528" i="1"/>
  <c r="F1528" i="1"/>
  <c r="E1528" i="1"/>
  <c r="D1528" i="1"/>
  <c r="C1528" i="1"/>
  <c r="B1528" i="1"/>
  <c r="A1528" i="1"/>
  <c r="O1527" i="1"/>
  <c r="N1527" i="1"/>
  <c r="M1527" i="1"/>
  <c r="L1527" i="1"/>
  <c r="K1527" i="1"/>
  <c r="J1527" i="1"/>
  <c r="H1527" i="1"/>
  <c r="G1527" i="1"/>
  <c r="E1527" i="1"/>
  <c r="D1527" i="1"/>
  <c r="B1527" i="1"/>
  <c r="A1527" i="1"/>
  <c r="N1526" i="1"/>
  <c r="L1526" i="1"/>
  <c r="J1526" i="1"/>
  <c r="H1526" i="1"/>
  <c r="G1526" i="1"/>
  <c r="E1526" i="1"/>
  <c r="D1526" i="1"/>
  <c r="B1526" i="1"/>
  <c r="A1526" i="1"/>
  <c r="N1525" i="1"/>
  <c r="L1525" i="1"/>
  <c r="J1525" i="1"/>
  <c r="H1525" i="1"/>
  <c r="G1525" i="1"/>
  <c r="E1525" i="1"/>
  <c r="D1525" i="1"/>
  <c r="C1525" i="1"/>
  <c r="B1525" i="1"/>
  <c r="A1525" i="1"/>
  <c r="N1524" i="1"/>
  <c r="L1524" i="1"/>
  <c r="I1524" i="1"/>
  <c r="H1524" i="1"/>
  <c r="G1524" i="1"/>
  <c r="E1524" i="1"/>
  <c r="D1524" i="1"/>
  <c r="B1524" i="1"/>
  <c r="A1524" i="1"/>
  <c r="N1523" i="1"/>
  <c r="L1523" i="1"/>
  <c r="J1523" i="1"/>
  <c r="I1523" i="1"/>
  <c r="H1523" i="1"/>
  <c r="G1523" i="1"/>
  <c r="E1523" i="1"/>
  <c r="D1523" i="1"/>
  <c r="B1523" i="1"/>
  <c r="A1523" i="1"/>
  <c r="N1522" i="1"/>
  <c r="M1522" i="1"/>
  <c r="L1522" i="1"/>
  <c r="K1522" i="1"/>
  <c r="J1522" i="1"/>
  <c r="I1522" i="1"/>
  <c r="H1522" i="1"/>
  <c r="G1522" i="1"/>
  <c r="E1522" i="1"/>
  <c r="D1522" i="1"/>
  <c r="C1522" i="1"/>
  <c r="B1522" i="1"/>
  <c r="A1522" i="1"/>
  <c r="N1521" i="1"/>
  <c r="L1521" i="1"/>
  <c r="I1521" i="1"/>
  <c r="H1521" i="1"/>
  <c r="G1521" i="1"/>
  <c r="E1521" i="1"/>
  <c r="D1521" i="1"/>
  <c r="B1521" i="1"/>
  <c r="A1521" i="1"/>
  <c r="N1520" i="1"/>
  <c r="L1520" i="1"/>
  <c r="H1520" i="1"/>
  <c r="G1520" i="1"/>
  <c r="E1520" i="1"/>
  <c r="D1520" i="1"/>
  <c r="B1520" i="1"/>
  <c r="A1520" i="1"/>
  <c r="O1519" i="1"/>
  <c r="N1519" i="1"/>
  <c r="M1519" i="1"/>
  <c r="L1519" i="1"/>
  <c r="K1519" i="1"/>
  <c r="J1519" i="1"/>
  <c r="H1519" i="1"/>
  <c r="G1519" i="1"/>
  <c r="F1519" i="1"/>
  <c r="E1519" i="1"/>
  <c r="D1519" i="1"/>
  <c r="C1519" i="1"/>
  <c r="B1519" i="1"/>
  <c r="A1519" i="1"/>
  <c r="N1518" i="1"/>
  <c r="M1518" i="1"/>
  <c r="L1518" i="1"/>
  <c r="K1518" i="1"/>
  <c r="J1518" i="1"/>
  <c r="H1518" i="1"/>
  <c r="G1518" i="1"/>
  <c r="F1518" i="1"/>
  <c r="E1518" i="1"/>
  <c r="D1518" i="1"/>
  <c r="B1518" i="1"/>
  <c r="A1518" i="1"/>
  <c r="N1517" i="1"/>
  <c r="M1517" i="1"/>
  <c r="L1517" i="1"/>
  <c r="K1517" i="1"/>
  <c r="J1517" i="1"/>
  <c r="H1517" i="1"/>
  <c r="G1517" i="1"/>
  <c r="E1517" i="1"/>
  <c r="D1517" i="1"/>
  <c r="C1517" i="1"/>
  <c r="B1517" i="1"/>
  <c r="A1517" i="1"/>
  <c r="N1516" i="1"/>
  <c r="M1516" i="1"/>
  <c r="L1516" i="1"/>
  <c r="K1516" i="1"/>
  <c r="J1516" i="1"/>
  <c r="I1516" i="1"/>
  <c r="H1516" i="1"/>
  <c r="G1516" i="1"/>
  <c r="E1516" i="1"/>
  <c r="D1516" i="1"/>
  <c r="C1516" i="1"/>
  <c r="B1516" i="1"/>
  <c r="A1516" i="1"/>
  <c r="N1515" i="1"/>
  <c r="M1515" i="1"/>
  <c r="L1515" i="1"/>
  <c r="K1515" i="1"/>
  <c r="J1515" i="1"/>
  <c r="H1515" i="1"/>
  <c r="G1515" i="1"/>
  <c r="F1515" i="1"/>
  <c r="E1515" i="1"/>
  <c r="D1515" i="1"/>
  <c r="C1515" i="1"/>
  <c r="B1515" i="1"/>
  <c r="A1515" i="1"/>
  <c r="N1514" i="1"/>
  <c r="L1514" i="1"/>
  <c r="H1514" i="1"/>
  <c r="G1514" i="1"/>
  <c r="E1514" i="1"/>
  <c r="D1514" i="1"/>
  <c r="A1514" i="1"/>
  <c r="N1513" i="1"/>
  <c r="L1513" i="1"/>
  <c r="H1513" i="1"/>
  <c r="G1513" i="1"/>
  <c r="E1513" i="1"/>
  <c r="D1513" i="1"/>
  <c r="B1513" i="1"/>
  <c r="A1513" i="1"/>
  <c r="N1512" i="1"/>
  <c r="L1512" i="1"/>
  <c r="H1512" i="1"/>
  <c r="G1512" i="1"/>
  <c r="F1512" i="1"/>
  <c r="E1512" i="1"/>
  <c r="D1512" i="1"/>
  <c r="B1512" i="1"/>
  <c r="A1512" i="1"/>
  <c r="N1511" i="1"/>
  <c r="L1511" i="1"/>
  <c r="I1511" i="1"/>
  <c r="H1511" i="1"/>
  <c r="G1511" i="1"/>
  <c r="E1511" i="1"/>
  <c r="D1511" i="1"/>
  <c r="B1511" i="1"/>
  <c r="A1511" i="1"/>
  <c r="N1510" i="1"/>
  <c r="M1510" i="1"/>
  <c r="L1510" i="1"/>
  <c r="K1510" i="1"/>
  <c r="J1510" i="1"/>
  <c r="H1510" i="1"/>
  <c r="G1510" i="1"/>
  <c r="E1510" i="1"/>
  <c r="D1510" i="1"/>
  <c r="B1510" i="1"/>
  <c r="A1510" i="1"/>
  <c r="N1509" i="1"/>
  <c r="M1509" i="1"/>
  <c r="L1509" i="1"/>
  <c r="K1509" i="1"/>
  <c r="J1509" i="1"/>
  <c r="H1509" i="1"/>
  <c r="G1509" i="1"/>
  <c r="E1509" i="1"/>
  <c r="D1509" i="1"/>
  <c r="B1509" i="1"/>
  <c r="A1509" i="1"/>
  <c r="N1508" i="1"/>
  <c r="L1508" i="1"/>
  <c r="J1508" i="1"/>
  <c r="H1508" i="1"/>
  <c r="G1508" i="1"/>
  <c r="E1508" i="1"/>
  <c r="D1508" i="1"/>
  <c r="B1508" i="1"/>
  <c r="A1508" i="1"/>
  <c r="N1507" i="1"/>
  <c r="L1507" i="1"/>
  <c r="J1507" i="1"/>
  <c r="H1507" i="1"/>
  <c r="G1507" i="1"/>
  <c r="E1507" i="1"/>
  <c r="D1507" i="1"/>
  <c r="B1507" i="1"/>
  <c r="A1507" i="1"/>
  <c r="N1506" i="1"/>
  <c r="M1506" i="1"/>
  <c r="L1506" i="1"/>
  <c r="K1506" i="1"/>
  <c r="J1506" i="1"/>
  <c r="H1506" i="1"/>
  <c r="G1506" i="1"/>
  <c r="E1506" i="1"/>
  <c r="D1506" i="1"/>
  <c r="B1506" i="1"/>
  <c r="A1506" i="1"/>
  <c r="N1505" i="1"/>
  <c r="L1505" i="1"/>
  <c r="K1505" i="1"/>
  <c r="J1505" i="1"/>
  <c r="H1505" i="1"/>
  <c r="G1505" i="1"/>
  <c r="E1505" i="1"/>
  <c r="D1505" i="1"/>
  <c r="B1505" i="1"/>
  <c r="A1505" i="1"/>
  <c r="N1504" i="1"/>
  <c r="L1504" i="1"/>
  <c r="J1504" i="1"/>
  <c r="H1504" i="1"/>
  <c r="G1504" i="1"/>
  <c r="E1504" i="1"/>
  <c r="D1504" i="1"/>
  <c r="A1504" i="1"/>
  <c r="N1503" i="1"/>
  <c r="M1503" i="1"/>
  <c r="L1503" i="1"/>
  <c r="K1503" i="1"/>
  <c r="J1503" i="1"/>
  <c r="H1503" i="1"/>
  <c r="G1503" i="1"/>
  <c r="E1503" i="1"/>
  <c r="D1503" i="1"/>
  <c r="C1503" i="1"/>
  <c r="B1503" i="1"/>
  <c r="A1503" i="1"/>
  <c r="N1502" i="1"/>
  <c r="M1502" i="1"/>
  <c r="L1502" i="1"/>
  <c r="K1502" i="1"/>
  <c r="J1502" i="1"/>
  <c r="H1502" i="1"/>
  <c r="G1502" i="1"/>
  <c r="E1502" i="1"/>
  <c r="D1502" i="1"/>
  <c r="B1502" i="1"/>
  <c r="A1502" i="1"/>
  <c r="N1501" i="1"/>
  <c r="L1501" i="1"/>
  <c r="K1501" i="1"/>
  <c r="J1501" i="1"/>
  <c r="H1501" i="1"/>
  <c r="G1501" i="1"/>
  <c r="E1501" i="1"/>
  <c r="D1501" i="1"/>
  <c r="B1501" i="1"/>
  <c r="A1501" i="1"/>
  <c r="N1500" i="1"/>
  <c r="L1500" i="1"/>
  <c r="J1500" i="1"/>
  <c r="H1500" i="1"/>
  <c r="G1500" i="1"/>
  <c r="E1500" i="1"/>
  <c r="D1500" i="1"/>
  <c r="B1500" i="1"/>
  <c r="A1500" i="1"/>
  <c r="N1499" i="1"/>
  <c r="M1499" i="1"/>
  <c r="L1499" i="1"/>
  <c r="K1499" i="1"/>
  <c r="J1499" i="1"/>
  <c r="H1499" i="1"/>
  <c r="G1499" i="1"/>
  <c r="E1499" i="1"/>
  <c r="D1499" i="1"/>
  <c r="B1499" i="1"/>
  <c r="A1499" i="1"/>
  <c r="N1498" i="1"/>
  <c r="L1498" i="1"/>
  <c r="J1498" i="1"/>
  <c r="H1498" i="1"/>
  <c r="G1498" i="1"/>
  <c r="E1498" i="1"/>
  <c r="D1498" i="1"/>
  <c r="B1498" i="1"/>
  <c r="A1498" i="1"/>
  <c r="N1497" i="1"/>
  <c r="L1497" i="1"/>
  <c r="J1497" i="1"/>
  <c r="I1497" i="1"/>
  <c r="H1497" i="1"/>
  <c r="G1497" i="1"/>
  <c r="E1497" i="1"/>
  <c r="D1497" i="1"/>
  <c r="B1497" i="1"/>
  <c r="A1497" i="1"/>
  <c r="N1496" i="1"/>
  <c r="L1496" i="1"/>
  <c r="J1496" i="1"/>
  <c r="H1496" i="1"/>
  <c r="G1496" i="1"/>
  <c r="E1496" i="1"/>
  <c r="D1496" i="1"/>
  <c r="B1496" i="1"/>
  <c r="A1496" i="1"/>
  <c r="N1495" i="1"/>
  <c r="L1495" i="1"/>
  <c r="J1495" i="1"/>
  <c r="H1495" i="1"/>
  <c r="G1495" i="1"/>
  <c r="E1495" i="1"/>
  <c r="D1495" i="1"/>
  <c r="B1495" i="1"/>
  <c r="A1495" i="1"/>
  <c r="O1494" i="1"/>
  <c r="N1494" i="1"/>
  <c r="M1494" i="1"/>
  <c r="L1494" i="1"/>
  <c r="K1494" i="1"/>
  <c r="J1494" i="1"/>
  <c r="I1494" i="1"/>
  <c r="H1494" i="1"/>
  <c r="G1494" i="1"/>
  <c r="E1494" i="1"/>
  <c r="D1494" i="1"/>
  <c r="B1494" i="1"/>
  <c r="A1494" i="1"/>
  <c r="N1493" i="1"/>
  <c r="L1493" i="1"/>
  <c r="H1493" i="1"/>
  <c r="G1493" i="1"/>
  <c r="E1493" i="1"/>
  <c r="D1493" i="1"/>
  <c r="B1493" i="1"/>
  <c r="A1493" i="1"/>
  <c r="O1492" i="1"/>
  <c r="N1492" i="1"/>
  <c r="M1492" i="1"/>
  <c r="L1492" i="1"/>
  <c r="K1492" i="1"/>
  <c r="J1492" i="1"/>
  <c r="H1492" i="1"/>
  <c r="G1492" i="1"/>
  <c r="F1492" i="1"/>
  <c r="E1492" i="1"/>
  <c r="D1492" i="1"/>
  <c r="B1492" i="1"/>
  <c r="A1492" i="1"/>
  <c r="N1491" i="1"/>
  <c r="L1491" i="1"/>
  <c r="J1491" i="1"/>
  <c r="H1491" i="1"/>
  <c r="G1491" i="1"/>
  <c r="F1491" i="1"/>
  <c r="E1491" i="1"/>
  <c r="D1491" i="1"/>
  <c r="B1491" i="1"/>
  <c r="A1491" i="1"/>
  <c r="O1490" i="1"/>
  <c r="N1490" i="1"/>
  <c r="L1490" i="1"/>
  <c r="J1490" i="1"/>
  <c r="H1490" i="1"/>
  <c r="G1490" i="1"/>
  <c r="F1490" i="1"/>
  <c r="E1490" i="1"/>
  <c r="D1490" i="1"/>
  <c r="B1490" i="1"/>
  <c r="A1490" i="1"/>
  <c r="N1489" i="1"/>
  <c r="M1489" i="1"/>
  <c r="L1489" i="1"/>
  <c r="K1489" i="1"/>
  <c r="J1489" i="1"/>
  <c r="I1489" i="1"/>
  <c r="H1489" i="1"/>
  <c r="G1489" i="1"/>
  <c r="F1489" i="1"/>
  <c r="E1489" i="1"/>
  <c r="D1489" i="1"/>
  <c r="B1489" i="1"/>
  <c r="A1489" i="1"/>
  <c r="N1488" i="1"/>
  <c r="L1488" i="1"/>
  <c r="J1488" i="1"/>
  <c r="H1488" i="1"/>
  <c r="G1488" i="1"/>
  <c r="F1488" i="1"/>
  <c r="E1488" i="1"/>
  <c r="D1488" i="1"/>
  <c r="B1488" i="1"/>
  <c r="A1488" i="1"/>
  <c r="O1487" i="1"/>
  <c r="N1487" i="1"/>
  <c r="L1487" i="1"/>
  <c r="J1487" i="1"/>
  <c r="I1487" i="1"/>
  <c r="H1487" i="1"/>
  <c r="G1487" i="1"/>
  <c r="F1487" i="1"/>
  <c r="E1487" i="1"/>
  <c r="D1487" i="1"/>
  <c r="B1487" i="1"/>
  <c r="A1487" i="1"/>
  <c r="O1486" i="1"/>
  <c r="N1486" i="1"/>
  <c r="L1486" i="1"/>
  <c r="H1486" i="1"/>
  <c r="G1486" i="1"/>
  <c r="F1486" i="1"/>
  <c r="E1486" i="1"/>
  <c r="D1486" i="1"/>
  <c r="B1486" i="1"/>
  <c r="A1486" i="1"/>
  <c r="N1485" i="1"/>
  <c r="L1485" i="1"/>
  <c r="H1485" i="1"/>
  <c r="G1485" i="1"/>
  <c r="F1485" i="1"/>
  <c r="E1485" i="1"/>
  <c r="D1485" i="1"/>
  <c r="C1485" i="1"/>
  <c r="B1485" i="1"/>
  <c r="A1485" i="1"/>
  <c r="O1484" i="1"/>
  <c r="N1484" i="1"/>
  <c r="M1484" i="1"/>
  <c r="L1484" i="1"/>
  <c r="I1484" i="1"/>
  <c r="H1484" i="1"/>
  <c r="G1484" i="1"/>
  <c r="F1484" i="1"/>
  <c r="E1484" i="1"/>
  <c r="D1484" i="1"/>
  <c r="C1484" i="1"/>
  <c r="B1484" i="1"/>
  <c r="A1484" i="1"/>
  <c r="N1483" i="1"/>
  <c r="L1483" i="1"/>
  <c r="J1483" i="1"/>
  <c r="I1483" i="1"/>
  <c r="H1483" i="1"/>
  <c r="G1483" i="1"/>
  <c r="F1483" i="1"/>
  <c r="E1483" i="1"/>
  <c r="D1483" i="1"/>
  <c r="B1483" i="1"/>
  <c r="A1483" i="1"/>
  <c r="N1482" i="1"/>
  <c r="L1482" i="1"/>
  <c r="J1482" i="1"/>
  <c r="H1482" i="1"/>
  <c r="G1482" i="1"/>
  <c r="F1482" i="1"/>
  <c r="E1482" i="1"/>
  <c r="D1482" i="1"/>
  <c r="B1482" i="1"/>
  <c r="A1482" i="1"/>
  <c r="N1481" i="1"/>
  <c r="L1481" i="1"/>
  <c r="J1481" i="1"/>
  <c r="H1481" i="1"/>
  <c r="G1481" i="1"/>
  <c r="F1481" i="1"/>
  <c r="E1481" i="1"/>
  <c r="D1481" i="1"/>
  <c r="B1481" i="1"/>
  <c r="A1481" i="1"/>
  <c r="N1480" i="1"/>
  <c r="L1480" i="1"/>
  <c r="J1480" i="1"/>
  <c r="H1480" i="1"/>
  <c r="G1480" i="1"/>
  <c r="F1480" i="1"/>
  <c r="E1480" i="1"/>
  <c r="D1480" i="1"/>
  <c r="B1480" i="1"/>
  <c r="A1480" i="1"/>
  <c r="N1479" i="1"/>
  <c r="L1479" i="1"/>
  <c r="J1479" i="1"/>
  <c r="H1479" i="1"/>
  <c r="G1479" i="1"/>
  <c r="F1479" i="1"/>
  <c r="E1479" i="1"/>
  <c r="D1479" i="1"/>
  <c r="B1479" i="1"/>
  <c r="A1479" i="1"/>
  <c r="N1478" i="1"/>
  <c r="L1478" i="1"/>
  <c r="J1478" i="1"/>
  <c r="H1478" i="1"/>
  <c r="G1478" i="1"/>
  <c r="F1478" i="1"/>
  <c r="E1478" i="1"/>
  <c r="D1478" i="1"/>
  <c r="B1478" i="1"/>
  <c r="A1478" i="1"/>
  <c r="N1477" i="1"/>
  <c r="L1477" i="1"/>
  <c r="J1477" i="1"/>
  <c r="H1477" i="1"/>
  <c r="G1477" i="1"/>
  <c r="F1477" i="1"/>
  <c r="E1477" i="1"/>
  <c r="D1477" i="1"/>
  <c r="B1477" i="1"/>
  <c r="A1477" i="1"/>
  <c r="N1476" i="1"/>
  <c r="L1476" i="1"/>
  <c r="J1476" i="1"/>
  <c r="H1476" i="1"/>
  <c r="G1476" i="1"/>
  <c r="F1476" i="1"/>
  <c r="E1476" i="1"/>
  <c r="D1476" i="1"/>
  <c r="B1476" i="1"/>
  <c r="A1476" i="1"/>
  <c r="N1475" i="1"/>
  <c r="L1475" i="1"/>
  <c r="J1475" i="1"/>
  <c r="H1475" i="1"/>
  <c r="G1475" i="1"/>
  <c r="F1475" i="1"/>
  <c r="E1475" i="1"/>
  <c r="D1475" i="1"/>
  <c r="B1475" i="1"/>
  <c r="A1475" i="1"/>
  <c r="N1474" i="1"/>
  <c r="L1474" i="1"/>
  <c r="J1474" i="1"/>
  <c r="H1474" i="1"/>
  <c r="G1474" i="1"/>
  <c r="F1474" i="1"/>
  <c r="E1474" i="1"/>
  <c r="D1474" i="1"/>
  <c r="B1474" i="1"/>
  <c r="A1474" i="1"/>
  <c r="O1473" i="1"/>
  <c r="N1473" i="1"/>
  <c r="L1473" i="1"/>
  <c r="H1473" i="1"/>
  <c r="G1473" i="1"/>
  <c r="F1473" i="1"/>
  <c r="E1473" i="1"/>
  <c r="D1473" i="1"/>
  <c r="B1473" i="1"/>
  <c r="A1473" i="1"/>
  <c r="N1472" i="1"/>
  <c r="L1472" i="1"/>
  <c r="J1472" i="1"/>
  <c r="H1472" i="1"/>
  <c r="G1472" i="1"/>
  <c r="F1472" i="1"/>
  <c r="E1472" i="1"/>
  <c r="D1472" i="1"/>
  <c r="B1472" i="1"/>
  <c r="A1472" i="1"/>
  <c r="N1471" i="1"/>
  <c r="L1471" i="1"/>
  <c r="J1471" i="1"/>
  <c r="I1471" i="1"/>
  <c r="H1471" i="1"/>
  <c r="G1471" i="1"/>
  <c r="F1471" i="1"/>
  <c r="E1471" i="1"/>
  <c r="D1471" i="1"/>
  <c r="B1471" i="1"/>
  <c r="A1471" i="1"/>
  <c r="N1470" i="1"/>
  <c r="L1470" i="1"/>
  <c r="K1470" i="1"/>
  <c r="J1470" i="1"/>
  <c r="H1470" i="1"/>
  <c r="G1470" i="1"/>
  <c r="F1470" i="1"/>
  <c r="E1470" i="1"/>
  <c r="D1470" i="1"/>
  <c r="C1470" i="1"/>
  <c r="B1470" i="1"/>
  <c r="A1470" i="1"/>
  <c r="O1469" i="1"/>
  <c r="N1469" i="1"/>
  <c r="M1469" i="1"/>
  <c r="L1469" i="1"/>
  <c r="K1469" i="1"/>
  <c r="J1469" i="1"/>
  <c r="H1469" i="1"/>
  <c r="G1469" i="1"/>
  <c r="F1469" i="1"/>
  <c r="E1469" i="1"/>
  <c r="D1469" i="1"/>
  <c r="B1469" i="1"/>
  <c r="A1469" i="1"/>
  <c r="O1468" i="1"/>
  <c r="N1468" i="1"/>
  <c r="L1468" i="1"/>
  <c r="K1468" i="1"/>
  <c r="J1468" i="1"/>
  <c r="I1468" i="1"/>
  <c r="H1468" i="1"/>
  <c r="G1468" i="1"/>
  <c r="E1468" i="1"/>
  <c r="D1468" i="1"/>
  <c r="B1468" i="1"/>
  <c r="A1468" i="1"/>
  <c r="O1467" i="1"/>
  <c r="N1467" i="1"/>
  <c r="L1467" i="1"/>
  <c r="K1467" i="1"/>
  <c r="J1467" i="1"/>
  <c r="I1467" i="1"/>
  <c r="H1467" i="1"/>
  <c r="G1467" i="1"/>
  <c r="F1467" i="1"/>
  <c r="E1467" i="1"/>
  <c r="D1467" i="1"/>
  <c r="B1467" i="1"/>
  <c r="A1467" i="1"/>
  <c r="N1466" i="1"/>
  <c r="M1466" i="1"/>
  <c r="L1466" i="1"/>
  <c r="K1466" i="1"/>
  <c r="J1466" i="1"/>
  <c r="I1466" i="1"/>
  <c r="H1466" i="1"/>
  <c r="G1466" i="1"/>
  <c r="F1466" i="1"/>
  <c r="E1466" i="1"/>
  <c r="D1466" i="1"/>
  <c r="B1466" i="1"/>
  <c r="A1466" i="1"/>
  <c r="N1465" i="1"/>
  <c r="M1465" i="1"/>
  <c r="L1465" i="1"/>
  <c r="H1465" i="1"/>
  <c r="G1465" i="1"/>
  <c r="E1465" i="1"/>
  <c r="D1465" i="1"/>
  <c r="C1465" i="1"/>
  <c r="B1465" i="1"/>
  <c r="A1465" i="1"/>
  <c r="N1464" i="1"/>
  <c r="L1464" i="1"/>
  <c r="H1464" i="1"/>
  <c r="G1464" i="1"/>
  <c r="F1464" i="1"/>
  <c r="E1464" i="1"/>
  <c r="D1464" i="1"/>
  <c r="C1464" i="1"/>
  <c r="B1464" i="1"/>
  <c r="A1464" i="1"/>
  <c r="O1463" i="1"/>
  <c r="N1463" i="1"/>
  <c r="M1463" i="1"/>
  <c r="L1463" i="1"/>
  <c r="K1463" i="1"/>
  <c r="J1463" i="1"/>
  <c r="H1463" i="1"/>
  <c r="G1463" i="1"/>
  <c r="F1463" i="1"/>
  <c r="E1463" i="1"/>
  <c r="D1463" i="1"/>
  <c r="B1463" i="1"/>
  <c r="A1463" i="1"/>
  <c r="O1462" i="1"/>
  <c r="N1462" i="1"/>
  <c r="M1462" i="1"/>
  <c r="L1462" i="1"/>
  <c r="K1462" i="1"/>
  <c r="J1462" i="1"/>
  <c r="I1462" i="1"/>
  <c r="H1462" i="1"/>
  <c r="G1462" i="1"/>
  <c r="F1462" i="1"/>
  <c r="E1462" i="1"/>
  <c r="D1462" i="1"/>
  <c r="B1462" i="1"/>
  <c r="A1462" i="1"/>
  <c r="O1461" i="1"/>
  <c r="N1461" i="1"/>
  <c r="L1461" i="1"/>
  <c r="I1461" i="1"/>
  <c r="H1461" i="1"/>
  <c r="G1461" i="1"/>
  <c r="E1461" i="1"/>
  <c r="D1461" i="1"/>
  <c r="B1461" i="1"/>
  <c r="A1461" i="1"/>
  <c r="N1460" i="1"/>
  <c r="L1460" i="1"/>
  <c r="I1460" i="1"/>
  <c r="H1460" i="1"/>
  <c r="G1460" i="1"/>
  <c r="E1460" i="1"/>
  <c r="D1460" i="1"/>
  <c r="B1460" i="1"/>
  <c r="A1460" i="1"/>
  <c r="N1459" i="1"/>
  <c r="L1459" i="1"/>
  <c r="H1459" i="1"/>
  <c r="G1459" i="1"/>
  <c r="E1459" i="1"/>
  <c r="D1459" i="1"/>
  <c r="B1459" i="1"/>
  <c r="A1459" i="1"/>
  <c r="N1458" i="1"/>
  <c r="M1458" i="1"/>
  <c r="L1458" i="1"/>
  <c r="K1458" i="1"/>
  <c r="J1458" i="1"/>
  <c r="H1458" i="1"/>
  <c r="G1458" i="1"/>
  <c r="F1458" i="1"/>
  <c r="E1458" i="1"/>
  <c r="D1458" i="1"/>
  <c r="C1458" i="1"/>
  <c r="B1458" i="1"/>
  <c r="A1458" i="1"/>
  <c r="N1457" i="1"/>
  <c r="L1457" i="1"/>
  <c r="I1457" i="1"/>
  <c r="H1457" i="1"/>
  <c r="G1457" i="1"/>
  <c r="E1457" i="1"/>
  <c r="D1457" i="1"/>
  <c r="B1457" i="1"/>
  <c r="A1457" i="1"/>
  <c r="O1456" i="1"/>
  <c r="N1456" i="1"/>
  <c r="M1456" i="1"/>
  <c r="L1456" i="1"/>
  <c r="J1456" i="1"/>
  <c r="H1456" i="1"/>
  <c r="G1456" i="1"/>
  <c r="F1456" i="1"/>
  <c r="E1456" i="1"/>
  <c r="D1456" i="1"/>
  <c r="B1456" i="1"/>
  <c r="A1456" i="1"/>
  <c r="N1455" i="1"/>
  <c r="L1455" i="1"/>
  <c r="H1455" i="1"/>
  <c r="G1455" i="1"/>
  <c r="E1455" i="1"/>
  <c r="D1455" i="1"/>
  <c r="B1455" i="1"/>
  <c r="A1455" i="1"/>
  <c r="N1454" i="1"/>
  <c r="M1454" i="1"/>
  <c r="L1454" i="1"/>
  <c r="K1454" i="1"/>
  <c r="J1454" i="1"/>
  <c r="H1454" i="1"/>
  <c r="G1454" i="1"/>
  <c r="F1454" i="1"/>
  <c r="E1454" i="1"/>
  <c r="D1454" i="1"/>
  <c r="C1454" i="1"/>
  <c r="B1454" i="1"/>
  <c r="A1454" i="1"/>
  <c r="N1453" i="1"/>
  <c r="L1453" i="1"/>
  <c r="K1453" i="1"/>
  <c r="J1453" i="1"/>
  <c r="I1453" i="1"/>
  <c r="H1453" i="1"/>
  <c r="G1453" i="1"/>
  <c r="E1453" i="1"/>
  <c r="D1453" i="1"/>
  <c r="B1453" i="1"/>
  <c r="A1453" i="1"/>
  <c r="O1452" i="1"/>
  <c r="N1452" i="1"/>
  <c r="M1452" i="1"/>
  <c r="L1452" i="1"/>
  <c r="K1452" i="1"/>
  <c r="J1452" i="1"/>
  <c r="I1452" i="1"/>
  <c r="H1452" i="1"/>
  <c r="G1452" i="1"/>
  <c r="E1452" i="1"/>
  <c r="D1452" i="1"/>
  <c r="C1452" i="1"/>
  <c r="B1452" i="1"/>
  <c r="A1452" i="1"/>
  <c r="N1451" i="1"/>
  <c r="L1451" i="1"/>
  <c r="H1451" i="1"/>
  <c r="G1451" i="1"/>
  <c r="E1451" i="1"/>
  <c r="D1451" i="1"/>
  <c r="B1451" i="1"/>
  <c r="A1451" i="1"/>
  <c r="N1450" i="1"/>
  <c r="L1450" i="1"/>
  <c r="H1450" i="1"/>
  <c r="G1450" i="1"/>
  <c r="E1450" i="1"/>
  <c r="D1450" i="1"/>
  <c r="B1450" i="1"/>
  <c r="A1450" i="1"/>
  <c r="O1449" i="1"/>
  <c r="N1449" i="1"/>
  <c r="L1449" i="1"/>
  <c r="H1449" i="1"/>
  <c r="G1449" i="1"/>
  <c r="E1449" i="1"/>
  <c r="D1449" i="1"/>
  <c r="B1449" i="1"/>
  <c r="A1449" i="1"/>
  <c r="N1448" i="1"/>
  <c r="L1448" i="1"/>
  <c r="J1448" i="1"/>
  <c r="H1448" i="1"/>
  <c r="G1448" i="1"/>
  <c r="F1448" i="1"/>
  <c r="E1448" i="1"/>
  <c r="D1448" i="1"/>
  <c r="B1448" i="1"/>
  <c r="A1448" i="1"/>
  <c r="N1447" i="1"/>
  <c r="L1447" i="1"/>
  <c r="J1447" i="1"/>
  <c r="I1447" i="1"/>
  <c r="H1447" i="1"/>
  <c r="G1447" i="1"/>
  <c r="F1447" i="1"/>
  <c r="E1447" i="1"/>
  <c r="D1447" i="1"/>
  <c r="B1447" i="1"/>
  <c r="A1447" i="1"/>
  <c r="N1446" i="1"/>
  <c r="M1446" i="1"/>
  <c r="L1446" i="1"/>
  <c r="I1446" i="1"/>
  <c r="H1446" i="1"/>
  <c r="G1446" i="1"/>
  <c r="E1446" i="1"/>
  <c r="D1446" i="1"/>
  <c r="B1446" i="1"/>
  <c r="A1446" i="1"/>
  <c r="N1445" i="1"/>
  <c r="L1445" i="1"/>
  <c r="H1445" i="1"/>
  <c r="G1445" i="1"/>
  <c r="E1445" i="1"/>
  <c r="D1445" i="1"/>
  <c r="B1445" i="1"/>
  <c r="A1445" i="1"/>
  <c r="N1444" i="1"/>
  <c r="L1444" i="1"/>
  <c r="J1444" i="1"/>
  <c r="I1444" i="1"/>
  <c r="H1444" i="1"/>
  <c r="G1444" i="1"/>
  <c r="D1444" i="1"/>
  <c r="B1444" i="1"/>
  <c r="A1444" i="1"/>
  <c r="O1443" i="1"/>
  <c r="N1443" i="1"/>
  <c r="L1443" i="1"/>
  <c r="J1443" i="1"/>
  <c r="H1443" i="1"/>
  <c r="G1443" i="1"/>
  <c r="E1443" i="1"/>
  <c r="D1443" i="1"/>
  <c r="B1443" i="1"/>
  <c r="A1443" i="1"/>
  <c r="O1442" i="1"/>
  <c r="N1442" i="1"/>
  <c r="L1442" i="1"/>
  <c r="J1442" i="1"/>
  <c r="I1442" i="1"/>
  <c r="H1442" i="1"/>
  <c r="G1442" i="1"/>
  <c r="E1442" i="1"/>
  <c r="D1442" i="1"/>
  <c r="B1442" i="1"/>
  <c r="A1442" i="1"/>
  <c r="O1441" i="1"/>
  <c r="N1441" i="1"/>
  <c r="M1441" i="1"/>
  <c r="L1441" i="1"/>
  <c r="H1441" i="1"/>
  <c r="G1441" i="1"/>
  <c r="F1441" i="1"/>
  <c r="E1441" i="1"/>
  <c r="D1441" i="1"/>
  <c r="C1441" i="1"/>
  <c r="B1441" i="1"/>
  <c r="A1441" i="1"/>
  <c r="N1440" i="1"/>
  <c r="L1440" i="1"/>
  <c r="K1440" i="1"/>
  <c r="J1440" i="1"/>
  <c r="H1440" i="1"/>
  <c r="G1440" i="1"/>
  <c r="F1440" i="1"/>
  <c r="E1440" i="1"/>
  <c r="D1440" i="1"/>
  <c r="C1440" i="1"/>
  <c r="B1440" i="1"/>
  <c r="A1440" i="1"/>
  <c r="O1439" i="1"/>
  <c r="N1439" i="1"/>
  <c r="M1439" i="1"/>
  <c r="L1439" i="1"/>
  <c r="H1439" i="1"/>
  <c r="G1439" i="1"/>
  <c r="E1439" i="1"/>
  <c r="D1439" i="1"/>
  <c r="C1439" i="1"/>
  <c r="B1439" i="1"/>
  <c r="A1439" i="1"/>
  <c r="N1438" i="1"/>
  <c r="M1438" i="1"/>
  <c r="L1438" i="1"/>
  <c r="K1438" i="1"/>
  <c r="J1438" i="1"/>
  <c r="I1438" i="1"/>
  <c r="H1438" i="1"/>
  <c r="G1438" i="1"/>
  <c r="E1438" i="1"/>
  <c r="D1438" i="1"/>
  <c r="C1438" i="1"/>
  <c r="B1438" i="1"/>
  <c r="A1438" i="1"/>
  <c r="O1437" i="1"/>
  <c r="N1437" i="1"/>
  <c r="L1437" i="1"/>
  <c r="H1437" i="1"/>
  <c r="G1437" i="1"/>
  <c r="E1437" i="1"/>
  <c r="D1437" i="1"/>
  <c r="C1437" i="1"/>
  <c r="B1437" i="1"/>
  <c r="A1437" i="1"/>
  <c r="N1436" i="1"/>
  <c r="L1436" i="1"/>
  <c r="I1436" i="1"/>
  <c r="H1436" i="1"/>
  <c r="G1436" i="1"/>
  <c r="E1436" i="1"/>
  <c r="D1436" i="1"/>
  <c r="B1436" i="1"/>
  <c r="A1436" i="1"/>
  <c r="N1435" i="1"/>
  <c r="L1435" i="1"/>
  <c r="I1435" i="1"/>
  <c r="H1435" i="1"/>
  <c r="G1435" i="1"/>
  <c r="D1435" i="1"/>
  <c r="C1435" i="1"/>
  <c r="B1435" i="1"/>
  <c r="A1435" i="1"/>
  <c r="N1434" i="1"/>
  <c r="L1434" i="1"/>
  <c r="H1434" i="1"/>
  <c r="G1434" i="1"/>
  <c r="D1434" i="1"/>
  <c r="C1434" i="1"/>
  <c r="B1434" i="1"/>
  <c r="A1434" i="1"/>
  <c r="N1433" i="1"/>
  <c r="M1433" i="1"/>
  <c r="L1433" i="1"/>
  <c r="K1433" i="1"/>
  <c r="J1433" i="1"/>
  <c r="I1433" i="1"/>
  <c r="H1433" i="1"/>
  <c r="G1433" i="1"/>
  <c r="E1433" i="1"/>
  <c r="D1433" i="1"/>
  <c r="C1433" i="1"/>
  <c r="B1433" i="1"/>
  <c r="A1433" i="1"/>
  <c r="N1432" i="1"/>
  <c r="M1432" i="1"/>
  <c r="L1432" i="1"/>
  <c r="K1432" i="1"/>
  <c r="J1432" i="1"/>
  <c r="H1432" i="1"/>
  <c r="G1432" i="1"/>
  <c r="E1432" i="1"/>
  <c r="D1432" i="1"/>
  <c r="C1432" i="1"/>
  <c r="B1432" i="1"/>
  <c r="A1432" i="1"/>
  <c r="N1431" i="1"/>
  <c r="M1431" i="1"/>
  <c r="L1431" i="1"/>
  <c r="K1431" i="1"/>
  <c r="J1431" i="1"/>
  <c r="H1431" i="1"/>
  <c r="G1431" i="1"/>
  <c r="E1431" i="1"/>
  <c r="D1431" i="1"/>
  <c r="C1431" i="1"/>
  <c r="B1431" i="1"/>
  <c r="A1431" i="1"/>
  <c r="N1430" i="1"/>
  <c r="L1430" i="1"/>
  <c r="J1430" i="1"/>
  <c r="H1430" i="1"/>
  <c r="G1430" i="1"/>
  <c r="E1430" i="1"/>
  <c r="D1430" i="1"/>
  <c r="B1430" i="1"/>
  <c r="A1430" i="1"/>
  <c r="O1429" i="1"/>
  <c r="N1429" i="1"/>
  <c r="L1429" i="1"/>
  <c r="H1429" i="1"/>
  <c r="G1429" i="1"/>
  <c r="E1429" i="1"/>
  <c r="D1429" i="1"/>
  <c r="B1429" i="1"/>
  <c r="A1429" i="1"/>
  <c r="O1428" i="1"/>
  <c r="N1428" i="1"/>
  <c r="L1428" i="1"/>
  <c r="H1428" i="1"/>
  <c r="G1428" i="1"/>
  <c r="F1428" i="1"/>
  <c r="E1428" i="1"/>
  <c r="D1428" i="1"/>
  <c r="C1428" i="1"/>
  <c r="B1428" i="1"/>
  <c r="A1428" i="1"/>
  <c r="N1427" i="1"/>
  <c r="L1427" i="1"/>
  <c r="H1427" i="1"/>
  <c r="G1427" i="1"/>
  <c r="E1427" i="1"/>
  <c r="D1427" i="1"/>
  <c r="A1427" i="1"/>
  <c r="N1426" i="1"/>
  <c r="M1426" i="1"/>
  <c r="L1426" i="1"/>
  <c r="J1426" i="1"/>
  <c r="I1426" i="1"/>
  <c r="H1426" i="1"/>
  <c r="G1426" i="1"/>
  <c r="E1426" i="1"/>
  <c r="D1426" i="1"/>
  <c r="C1426" i="1"/>
  <c r="B1426" i="1"/>
  <c r="A1426" i="1"/>
  <c r="O1425" i="1"/>
  <c r="N1425" i="1"/>
  <c r="L1425" i="1"/>
  <c r="H1425" i="1"/>
  <c r="G1425" i="1"/>
  <c r="E1425" i="1"/>
  <c r="D1425" i="1"/>
  <c r="B1425" i="1"/>
  <c r="A1425" i="1"/>
  <c r="N1424" i="1"/>
  <c r="L1424" i="1"/>
  <c r="H1424" i="1"/>
  <c r="G1424" i="1"/>
  <c r="E1424" i="1"/>
  <c r="D1424" i="1"/>
  <c r="C1424" i="1"/>
  <c r="B1424" i="1"/>
  <c r="A1424" i="1"/>
  <c r="N1423" i="1"/>
  <c r="M1423" i="1"/>
  <c r="L1423" i="1"/>
  <c r="K1423" i="1"/>
  <c r="J1423" i="1"/>
  <c r="H1423" i="1"/>
  <c r="G1423" i="1"/>
  <c r="E1423" i="1"/>
  <c r="D1423" i="1"/>
  <c r="C1423" i="1"/>
  <c r="B1423" i="1"/>
  <c r="A1423" i="1"/>
  <c r="N1422" i="1"/>
  <c r="M1422" i="1"/>
  <c r="L1422" i="1"/>
  <c r="K1422" i="1"/>
  <c r="J1422" i="1"/>
  <c r="H1422" i="1"/>
  <c r="G1422" i="1"/>
  <c r="F1422" i="1"/>
  <c r="E1422" i="1"/>
  <c r="D1422" i="1"/>
  <c r="C1422" i="1"/>
  <c r="B1422" i="1"/>
  <c r="A1422" i="1"/>
  <c r="O1421" i="1"/>
  <c r="N1421" i="1"/>
  <c r="M1421" i="1"/>
  <c r="L1421" i="1"/>
  <c r="K1421" i="1"/>
  <c r="J1421" i="1"/>
  <c r="I1421" i="1"/>
  <c r="H1421" i="1"/>
  <c r="F1421" i="1"/>
  <c r="E1421" i="1"/>
  <c r="D1421" i="1"/>
  <c r="C1421" i="1"/>
  <c r="B1421" i="1"/>
  <c r="A1421" i="1"/>
  <c r="N1420" i="1"/>
  <c r="M1420" i="1"/>
  <c r="L1420" i="1"/>
  <c r="K1420" i="1"/>
  <c r="J1420" i="1"/>
  <c r="H1420" i="1"/>
  <c r="G1420" i="1"/>
  <c r="E1420" i="1"/>
  <c r="D1420" i="1"/>
  <c r="C1420" i="1"/>
  <c r="B1420" i="1"/>
  <c r="A1420" i="1"/>
  <c r="O1419" i="1"/>
  <c r="N1419" i="1"/>
  <c r="M1419" i="1"/>
  <c r="L1419" i="1"/>
  <c r="K1419" i="1"/>
  <c r="J1419" i="1"/>
  <c r="H1419" i="1"/>
  <c r="G1419" i="1"/>
  <c r="E1419" i="1"/>
  <c r="D1419" i="1"/>
  <c r="B1419" i="1"/>
  <c r="A1419" i="1"/>
  <c r="O1418" i="1"/>
  <c r="N1418" i="1"/>
  <c r="M1418" i="1"/>
  <c r="L1418" i="1"/>
  <c r="H1418" i="1"/>
  <c r="G1418" i="1"/>
  <c r="E1418" i="1"/>
  <c r="D1418" i="1"/>
  <c r="B1418" i="1"/>
  <c r="A1418" i="1"/>
  <c r="O1417" i="1"/>
  <c r="N1417" i="1"/>
  <c r="M1417" i="1"/>
  <c r="L1417" i="1"/>
  <c r="K1417" i="1"/>
  <c r="J1417" i="1"/>
  <c r="H1417" i="1"/>
  <c r="G1417" i="1"/>
  <c r="F1417" i="1"/>
  <c r="E1417" i="1"/>
  <c r="D1417" i="1"/>
  <c r="C1417" i="1"/>
  <c r="B1417" i="1"/>
  <c r="A1417" i="1"/>
  <c r="N1416" i="1"/>
  <c r="L1416" i="1"/>
  <c r="J1416" i="1"/>
  <c r="H1416" i="1"/>
  <c r="G1416" i="1"/>
  <c r="E1416" i="1"/>
  <c r="D1416" i="1"/>
  <c r="B1416" i="1"/>
  <c r="A1416" i="1"/>
  <c r="N1415" i="1"/>
  <c r="M1415" i="1"/>
  <c r="L1415" i="1"/>
  <c r="J1415" i="1"/>
  <c r="H1415" i="1"/>
  <c r="G1415" i="1"/>
  <c r="F1415" i="1"/>
  <c r="E1415" i="1"/>
  <c r="D1415" i="1"/>
  <c r="B1415" i="1"/>
  <c r="A1415" i="1"/>
  <c r="N1414" i="1"/>
  <c r="L1414" i="1"/>
  <c r="H1414" i="1"/>
  <c r="G1414" i="1"/>
  <c r="E1414" i="1"/>
  <c r="D1414" i="1"/>
  <c r="B1414" i="1"/>
  <c r="A1414" i="1"/>
  <c r="N1413" i="1"/>
  <c r="M1413" i="1"/>
  <c r="L1413" i="1"/>
  <c r="I1413" i="1"/>
  <c r="H1413" i="1"/>
  <c r="G1413" i="1"/>
  <c r="F1413" i="1"/>
  <c r="E1413" i="1"/>
  <c r="D1413" i="1"/>
  <c r="C1413" i="1"/>
  <c r="B1413" i="1"/>
  <c r="A1413" i="1"/>
  <c r="O1412" i="1"/>
  <c r="N1412" i="1"/>
  <c r="L1412" i="1"/>
  <c r="I1412" i="1"/>
  <c r="H1412" i="1"/>
  <c r="G1412" i="1"/>
  <c r="F1412" i="1"/>
  <c r="E1412" i="1"/>
  <c r="D1412" i="1"/>
  <c r="C1412" i="1"/>
  <c r="B1412" i="1"/>
  <c r="A1412" i="1"/>
  <c r="N1411" i="1"/>
  <c r="L1411" i="1"/>
  <c r="J1411" i="1"/>
  <c r="H1411" i="1"/>
  <c r="G1411" i="1"/>
  <c r="D1411" i="1"/>
  <c r="B1411" i="1"/>
  <c r="A1411" i="1"/>
  <c r="O1410" i="1"/>
  <c r="N1410" i="1"/>
  <c r="L1410" i="1"/>
  <c r="K1410" i="1"/>
  <c r="J1410" i="1"/>
  <c r="I1410" i="1"/>
  <c r="H1410" i="1"/>
  <c r="G1410" i="1"/>
  <c r="F1410" i="1"/>
  <c r="E1410" i="1"/>
  <c r="D1410" i="1"/>
  <c r="B1410" i="1"/>
  <c r="A1410" i="1"/>
  <c r="N1409" i="1"/>
  <c r="M1409" i="1"/>
  <c r="L1409" i="1"/>
  <c r="J1409" i="1"/>
  <c r="H1409" i="1"/>
  <c r="G1409" i="1"/>
  <c r="E1409" i="1"/>
  <c r="D1409" i="1"/>
  <c r="C1409" i="1"/>
  <c r="B1409" i="1"/>
  <c r="A1409" i="1"/>
  <c r="N1408" i="1"/>
  <c r="M1408" i="1"/>
  <c r="L1408" i="1"/>
  <c r="K1408" i="1"/>
  <c r="J1408" i="1"/>
  <c r="I1408" i="1"/>
  <c r="H1408" i="1"/>
  <c r="G1408" i="1"/>
  <c r="F1408" i="1"/>
  <c r="E1408" i="1"/>
  <c r="D1408" i="1"/>
  <c r="B1408" i="1"/>
  <c r="A1408" i="1"/>
  <c r="N1407" i="1"/>
  <c r="L1407" i="1"/>
  <c r="I1407" i="1"/>
  <c r="H1407" i="1"/>
  <c r="G1407" i="1"/>
  <c r="E1407" i="1"/>
  <c r="D1407" i="1"/>
  <c r="B1407" i="1"/>
  <c r="A1407" i="1"/>
  <c r="N1406" i="1"/>
  <c r="L1406" i="1"/>
  <c r="J1406" i="1"/>
  <c r="H1406" i="1"/>
  <c r="G1406" i="1"/>
  <c r="E1406" i="1"/>
  <c r="D1406" i="1"/>
  <c r="B1406" i="1"/>
  <c r="A1406" i="1"/>
  <c r="N1405" i="1"/>
  <c r="M1405" i="1"/>
  <c r="L1405" i="1"/>
  <c r="K1405" i="1"/>
  <c r="J1405" i="1"/>
  <c r="I1405" i="1"/>
  <c r="H1405" i="1"/>
  <c r="G1405" i="1"/>
  <c r="F1405" i="1"/>
  <c r="E1405" i="1"/>
  <c r="D1405" i="1"/>
  <c r="B1405" i="1"/>
  <c r="A1405" i="1"/>
  <c r="N1404" i="1"/>
  <c r="L1404" i="1"/>
  <c r="I1404" i="1"/>
  <c r="H1404" i="1"/>
  <c r="G1404" i="1"/>
  <c r="E1404" i="1"/>
  <c r="D1404" i="1"/>
  <c r="B1404" i="1"/>
  <c r="A1404" i="1"/>
  <c r="O1403" i="1"/>
  <c r="N1403" i="1"/>
  <c r="M1403" i="1"/>
  <c r="L1403" i="1"/>
  <c r="K1403" i="1"/>
  <c r="J1403" i="1"/>
  <c r="H1403" i="1"/>
  <c r="G1403" i="1"/>
  <c r="E1403" i="1"/>
  <c r="D1403" i="1"/>
  <c r="C1403" i="1"/>
  <c r="B1403" i="1"/>
  <c r="A1403" i="1"/>
  <c r="N1402" i="1"/>
  <c r="L1402" i="1"/>
  <c r="K1402" i="1"/>
  <c r="J1402" i="1"/>
  <c r="I1402" i="1"/>
  <c r="H1402" i="1"/>
  <c r="G1402" i="1"/>
  <c r="E1402" i="1"/>
  <c r="D1402" i="1"/>
  <c r="B1402" i="1"/>
  <c r="A1402" i="1"/>
  <c r="N1401" i="1"/>
  <c r="L1401" i="1"/>
  <c r="H1401" i="1"/>
  <c r="G1401" i="1"/>
  <c r="E1401" i="1"/>
  <c r="D1401" i="1"/>
  <c r="B1401" i="1"/>
  <c r="A1401" i="1"/>
  <c r="N1400" i="1"/>
  <c r="M1400" i="1"/>
  <c r="L1400" i="1"/>
  <c r="K1400" i="1"/>
  <c r="J1400" i="1"/>
  <c r="H1400" i="1"/>
  <c r="G1400" i="1"/>
  <c r="E1400" i="1"/>
  <c r="D1400" i="1"/>
  <c r="C1400" i="1"/>
  <c r="B1400" i="1"/>
  <c r="A1400" i="1"/>
  <c r="O1399" i="1"/>
  <c r="N1399" i="1"/>
  <c r="L1399" i="1"/>
  <c r="H1399" i="1"/>
  <c r="G1399" i="1"/>
  <c r="E1399" i="1"/>
  <c r="D1399" i="1"/>
  <c r="B1399" i="1"/>
  <c r="A1399" i="1"/>
  <c r="N1398" i="1"/>
  <c r="L1398" i="1"/>
  <c r="H1398" i="1"/>
  <c r="G1398" i="1"/>
  <c r="E1398" i="1"/>
  <c r="D1398" i="1"/>
  <c r="B1398" i="1"/>
  <c r="A1398" i="1"/>
  <c r="O1397" i="1"/>
  <c r="N1397" i="1"/>
  <c r="M1397" i="1"/>
  <c r="L1397" i="1"/>
  <c r="J1397" i="1"/>
  <c r="H1397" i="1"/>
  <c r="G1397" i="1"/>
  <c r="E1397" i="1"/>
  <c r="D1397" i="1"/>
  <c r="C1397" i="1"/>
  <c r="B1397" i="1"/>
  <c r="A1397" i="1"/>
  <c r="O1396" i="1"/>
  <c r="N1396" i="1"/>
  <c r="M1396" i="1"/>
  <c r="L1396" i="1"/>
  <c r="K1396" i="1"/>
  <c r="J1396" i="1"/>
  <c r="H1396" i="1"/>
  <c r="G1396" i="1"/>
  <c r="E1396" i="1"/>
  <c r="D1396" i="1"/>
  <c r="C1396" i="1"/>
  <c r="B1396" i="1"/>
  <c r="A1396" i="1"/>
  <c r="O1395" i="1"/>
  <c r="N1395" i="1"/>
  <c r="L1395" i="1"/>
  <c r="I1395" i="1"/>
  <c r="H1395" i="1"/>
  <c r="G1395" i="1"/>
  <c r="D1395" i="1"/>
  <c r="B1395" i="1"/>
  <c r="A1395" i="1"/>
  <c r="N1394" i="1"/>
  <c r="M1394" i="1"/>
  <c r="L1394" i="1"/>
  <c r="K1394" i="1"/>
  <c r="J1394" i="1"/>
  <c r="H1394" i="1"/>
  <c r="G1394" i="1"/>
  <c r="E1394" i="1"/>
  <c r="D1394" i="1"/>
  <c r="C1394" i="1"/>
  <c r="B1394" i="1"/>
  <c r="A1394" i="1"/>
  <c r="N1393" i="1"/>
  <c r="M1393" i="1"/>
  <c r="L1393" i="1"/>
  <c r="H1393" i="1"/>
  <c r="G1393" i="1"/>
  <c r="E1393" i="1"/>
  <c r="D1393" i="1"/>
  <c r="B1393" i="1"/>
  <c r="A1393" i="1"/>
  <c r="N1392" i="1"/>
  <c r="M1392" i="1"/>
  <c r="L1392" i="1"/>
  <c r="K1392" i="1"/>
  <c r="J1392" i="1"/>
  <c r="H1392" i="1"/>
  <c r="G1392" i="1"/>
  <c r="E1392" i="1"/>
  <c r="D1392" i="1"/>
  <c r="C1392" i="1"/>
  <c r="B1392" i="1"/>
  <c r="A1392" i="1"/>
  <c r="N1391" i="1"/>
  <c r="M1391" i="1"/>
  <c r="L1391" i="1"/>
  <c r="K1391" i="1"/>
  <c r="J1391" i="1"/>
  <c r="I1391" i="1"/>
  <c r="H1391" i="1"/>
  <c r="G1391" i="1"/>
  <c r="E1391" i="1"/>
  <c r="D1391" i="1"/>
  <c r="C1391" i="1"/>
  <c r="B1391" i="1"/>
  <c r="A1391" i="1"/>
  <c r="N1390" i="1"/>
  <c r="M1390" i="1"/>
  <c r="L1390" i="1"/>
  <c r="K1390" i="1"/>
  <c r="J1390" i="1"/>
  <c r="I1390" i="1"/>
  <c r="H1390" i="1"/>
  <c r="G1390" i="1"/>
  <c r="E1390" i="1"/>
  <c r="D1390" i="1"/>
  <c r="A1390" i="1"/>
  <c r="O1389" i="1"/>
  <c r="N1389" i="1"/>
  <c r="M1389" i="1"/>
  <c r="L1389" i="1"/>
  <c r="J1389" i="1"/>
  <c r="H1389" i="1"/>
  <c r="G1389" i="1"/>
  <c r="E1389" i="1"/>
  <c r="D1389" i="1"/>
  <c r="C1389" i="1"/>
  <c r="B1389" i="1"/>
  <c r="A1389" i="1"/>
  <c r="N1388" i="1"/>
  <c r="J1388" i="1"/>
  <c r="H1388" i="1"/>
  <c r="G1388" i="1"/>
  <c r="E1388" i="1"/>
  <c r="D1388" i="1"/>
  <c r="A1388" i="1"/>
  <c r="O1387" i="1"/>
  <c r="N1387" i="1"/>
  <c r="L1387" i="1"/>
  <c r="H1387" i="1"/>
  <c r="G1387" i="1"/>
  <c r="E1387" i="1"/>
  <c r="D1387" i="1"/>
  <c r="C1387" i="1"/>
  <c r="B1387" i="1"/>
  <c r="A1387" i="1"/>
  <c r="N1386" i="1"/>
  <c r="L1386" i="1"/>
  <c r="H1386" i="1"/>
  <c r="G1386" i="1"/>
  <c r="E1386" i="1"/>
  <c r="D1386" i="1"/>
  <c r="C1386" i="1"/>
  <c r="B1386" i="1"/>
  <c r="A1386" i="1"/>
  <c r="O1385" i="1"/>
  <c r="N1385" i="1"/>
  <c r="M1385" i="1"/>
  <c r="L1385" i="1"/>
  <c r="K1385" i="1"/>
  <c r="J1385" i="1"/>
  <c r="H1385" i="1"/>
  <c r="G1385" i="1"/>
  <c r="E1385" i="1"/>
  <c r="D1385" i="1"/>
  <c r="C1385" i="1"/>
  <c r="B1385" i="1"/>
  <c r="A1385" i="1"/>
  <c r="O1384" i="1"/>
  <c r="N1384" i="1"/>
  <c r="M1384" i="1"/>
  <c r="L1384" i="1"/>
  <c r="K1384" i="1"/>
  <c r="J1384" i="1"/>
  <c r="H1384" i="1"/>
  <c r="G1384" i="1"/>
  <c r="E1384" i="1"/>
  <c r="D1384" i="1"/>
  <c r="B1384" i="1"/>
  <c r="A1384" i="1"/>
  <c r="O1383" i="1"/>
  <c r="N1383" i="1"/>
  <c r="L1383" i="1"/>
  <c r="I1383" i="1"/>
  <c r="H1383" i="1"/>
  <c r="G1383" i="1"/>
  <c r="F1383" i="1"/>
  <c r="E1383" i="1"/>
  <c r="D1383" i="1"/>
  <c r="B1383" i="1"/>
  <c r="A1383" i="1"/>
  <c r="N1382" i="1"/>
  <c r="L1382" i="1"/>
  <c r="H1382" i="1"/>
  <c r="G1382" i="1"/>
  <c r="E1382" i="1"/>
  <c r="D1382" i="1"/>
  <c r="A1382" i="1"/>
  <c r="N1381" i="1"/>
  <c r="L1381" i="1"/>
  <c r="H1381" i="1"/>
  <c r="G1381" i="1"/>
  <c r="E1381" i="1"/>
  <c r="D1381" i="1"/>
  <c r="A1381" i="1"/>
  <c r="N1380" i="1"/>
  <c r="H1380" i="1"/>
  <c r="G1380" i="1"/>
  <c r="F1380" i="1"/>
  <c r="E1380" i="1"/>
  <c r="D1380" i="1"/>
  <c r="B1380" i="1"/>
  <c r="A1380" i="1"/>
  <c r="N1379" i="1"/>
  <c r="M1379" i="1"/>
  <c r="L1379" i="1"/>
  <c r="K1379" i="1"/>
  <c r="J1379" i="1"/>
  <c r="H1379" i="1"/>
  <c r="G1379" i="1"/>
  <c r="F1379" i="1"/>
  <c r="E1379" i="1"/>
  <c r="D1379" i="1"/>
  <c r="B1379" i="1"/>
  <c r="A1379" i="1"/>
  <c r="N1378" i="1"/>
  <c r="M1378" i="1"/>
  <c r="L1378" i="1"/>
  <c r="K1378" i="1"/>
  <c r="J1378" i="1"/>
  <c r="I1378" i="1"/>
  <c r="H1378" i="1"/>
  <c r="G1378" i="1"/>
  <c r="E1378" i="1"/>
  <c r="D1378" i="1"/>
  <c r="B1378" i="1"/>
  <c r="A1378" i="1"/>
  <c r="N1377" i="1"/>
  <c r="M1377" i="1"/>
  <c r="L1377" i="1"/>
  <c r="H1377" i="1"/>
  <c r="G1377" i="1"/>
  <c r="E1377" i="1"/>
  <c r="D1377" i="1"/>
  <c r="B1377" i="1"/>
  <c r="A1377" i="1"/>
  <c r="N1376" i="1"/>
  <c r="M1376" i="1"/>
  <c r="L1376" i="1"/>
  <c r="K1376" i="1"/>
  <c r="J1376" i="1"/>
  <c r="H1376" i="1"/>
  <c r="G1376" i="1"/>
  <c r="E1376" i="1"/>
  <c r="D1376" i="1"/>
  <c r="C1376" i="1"/>
  <c r="B1376" i="1"/>
  <c r="A1376" i="1"/>
  <c r="N1375" i="1"/>
  <c r="M1375" i="1"/>
  <c r="H1375" i="1"/>
  <c r="G1375" i="1"/>
  <c r="E1375" i="1"/>
  <c r="D1375" i="1"/>
  <c r="B1375" i="1"/>
  <c r="A1375" i="1"/>
  <c r="O1374" i="1"/>
  <c r="N1374" i="1"/>
  <c r="M1374" i="1"/>
  <c r="L1374" i="1"/>
  <c r="J1374" i="1"/>
  <c r="I1374" i="1"/>
  <c r="H1374" i="1"/>
  <c r="G1374" i="1"/>
  <c r="E1374" i="1"/>
  <c r="D1374" i="1"/>
  <c r="C1374" i="1"/>
  <c r="B1374" i="1"/>
  <c r="A1374" i="1"/>
  <c r="N1373" i="1"/>
  <c r="M1373" i="1"/>
  <c r="L1373" i="1"/>
  <c r="K1373" i="1"/>
  <c r="J1373" i="1"/>
  <c r="I1373" i="1"/>
  <c r="H1373" i="1"/>
  <c r="G1373" i="1"/>
  <c r="F1373" i="1"/>
  <c r="E1373" i="1"/>
  <c r="D1373" i="1"/>
  <c r="B1373" i="1"/>
  <c r="A1373" i="1"/>
  <c r="O1372" i="1"/>
  <c r="N1372" i="1"/>
  <c r="L1372" i="1"/>
  <c r="I1372" i="1"/>
  <c r="H1372" i="1"/>
  <c r="G1372" i="1"/>
  <c r="D1372" i="1"/>
  <c r="B1372" i="1"/>
  <c r="A1372" i="1"/>
  <c r="N1371" i="1"/>
  <c r="L1371" i="1"/>
  <c r="I1371" i="1"/>
  <c r="H1371" i="1"/>
  <c r="G1371" i="1"/>
  <c r="D1371" i="1"/>
  <c r="B1371" i="1"/>
  <c r="A1371" i="1"/>
  <c r="N1370" i="1"/>
  <c r="L1370" i="1"/>
  <c r="K1370" i="1"/>
  <c r="J1370" i="1"/>
  <c r="I1370" i="1"/>
  <c r="H1370" i="1"/>
  <c r="G1370" i="1"/>
  <c r="E1370" i="1"/>
  <c r="D1370" i="1"/>
  <c r="C1370" i="1"/>
  <c r="B1370" i="1"/>
  <c r="A1370" i="1"/>
  <c r="N1369" i="1"/>
  <c r="M1369" i="1"/>
  <c r="L1369" i="1"/>
  <c r="J1369" i="1"/>
  <c r="I1369" i="1"/>
  <c r="H1369" i="1"/>
  <c r="G1369" i="1"/>
  <c r="E1369" i="1"/>
  <c r="D1369" i="1"/>
  <c r="C1369" i="1"/>
  <c r="B1369" i="1"/>
  <c r="A1369" i="1"/>
  <c r="O1368" i="1"/>
  <c r="N1368" i="1"/>
  <c r="M1368" i="1"/>
  <c r="L1368" i="1"/>
  <c r="J1368" i="1"/>
  <c r="I1368" i="1"/>
  <c r="H1368" i="1"/>
  <c r="G1368" i="1"/>
  <c r="E1368" i="1"/>
  <c r="D1368" i="1"/>
  <c r="C1368" i="1"/>
  <c r="B1368" i="1"/>
  <c r="A1368" i="1"/>
  <c r="N1367" i="1"/>
  <c r="M1367" i="1"/>
  <c r="L1367" i="1"/>
  <c r="J1367" i="1"/>
  <c r="I1367" i="1"/>
  <c r="H1367" i="1"/>
  <c r="G1367" i="1"/>
  <c r="F1367" i="1"/>
  <c r="E1367" i="1"/>
  <c r="D1367" i="1"/>
  <c r="C1367" i="1"/>
  <c r="B1367" i="1"/>
  <c r="A1367" i="1"/>
  <c r="O1366" i="1"/>
  <c r="N1366" i="1"/>
  <c r="M1366" i="1"/>
  <c r="L1366" i="1"/>
  <c r="K1366" i="1"/>
  <c r="J1366" i="1"/>
  <c r="I1366" i="1"/>
  <c r="H1366" i="1"/>
  <c r="G1366" i="1"/>
  <c r="E1366" i="1"/>
  <c r="D1366" i="1"/>
  <c r="C1366" i="1"/>
  <c r="B1366" i="1"/>
  <c r="A1366" i="1"/>
  <c r="N1365" i="1"/>
  <c r="M1365" i="1"/>
  <c r="L1365" i="1"/>
  <c r="K1365" i="1"/>
  <c r="J1365" i="1"/>
  <c r="H1365" i="1"/>
  <c r="G1365" i="1"/>
  <c r="E1365" i="1"/>
  <c r="D1365" i="1"/>
  <c r="B1365" i="1"/>
  <c r="A1365" i="1"/>
  <c r="O1364" i="1"/>
  <c r="N1364" i="1"/>
  <c r="L1364" i="1"/>
  <c r="H1364" i="1"/>
  <c r="G1364" i="1"/>
  <c r="E1364" i="1"/>
  <c r="D1364" i="1"/>
  <c r="B1364" i="1"/>
  <c r="A1364" i="1"/>
  <c r="O1363" i="1"/>
  <c r="N1363" i="1"/>
  <c r="L1363" i="1"/>
  <c r="I1363" i="1"/>
  <c r="H1363" i="1"/>
  <c r="G1363" i="1"/>
  <c r="E1363" i="1"/>
  <c r="D1363" i="1"/>
  <c r="B1363" i="1"/>
  <c r="A1363" i="1"/>
  <c r="O1362" i="1"/>
  <c r="N1362" i="1"/>
  <c r="L1362" i="1"/>
  <c r="I1362" i="1"/>
  <c r="H1362" i="1"/>
  <c r="G1362" i="1"/>
  <c r="E1362" i="1"/>
  <c r="D1362" i="1"/>
  <c r="B1362" i="1"/>
  <c r="A1362" i="1"/>
  <c r="N1361" i="1"/>
  <c r="L1361" i="1"/>
  <c r="H1361" i="1"/>
  <c r="G1361" i="1"/>
  <c r="E1361" i="1"/>
  <c r="D1361" i="1"/>
  <c r="B1361" i="1"/>
  <c r="A1361" i="1"/>
  <c r="O1360" i="1"/>
  <c r="N1360" i="1"/>
  <c r="M1360" i="1"/>
  <c r="L1360" i="1"/>
  <c r="I1360" i="1"/>
  <c r="H1360" i="1"/>
  <c r="G1360" i="1"/>
  <c r="E1360" i="1"/>
  <c r="D1360" i="1"/>
  <c r="B1360" i="1"/>
  <c r="A1360" i="1"/>
  <c r="N1359" i="1"/>
  <c r="M1359" i="1"/>
  <c r="L1359" i="1"/>
  <c r="J1359" i="1"/>
  <c r="I1359" i="1"/>
  <c r="H1359" i="1"/>
  <c r="G1359" i="1"/>
  <c r="E1359" i="1"/>
  <c r="D1359" i="1"/>
  <c r="C1359" i="1"/>
  <c r="B1359" i="1"/>
  <c r="A1359" i="1"/>
  <c r="O1358" i="1"/>
  <c r="N1358" i="1"/>
  <c r="M1358" i="1"/>
  <c r="L1358" i="1"/>
  <c r="K1358" i="1"/>
  <c r="J1358" i="1"/>
  <c r="I1358" i="1"/>
  <c r="H1358" i="1"/>
  <c r="G1358" i="1"/>
  <c r="E1358" i="1"/>
  <c r="D1358" i="1"/>
  <c r="C1358" i="1"/>
  <c r="B1358" i="1"/>
  <c r="A1358" i="1"/>
  <c r="O1357" i="1"/>
  <c r="N1357" i="1"/>
  <c r="M1357" i="1"/>
  <c r="L1357" i="1"/>
  <c r="K1357" i="1"/>
  <c r="J1357" i="1"/>
  <c r="I1357" i="1"/>
  <c r="H1357" i="1"/>
  <c r="G1357" i="1"/>
  <c r="E1357" i="1"/>
  <c r="D1357" i="1"/>
  <c r="C1357" i="1"/>
  <c r="B1357" i="1"/>
  <c r="A1357" i="1"/>
  <c r="O1356" i="1"/>
  <c r="N1356" i="1"/>
  <c r="M1356" i="1"/>
  <c r="L1356" i="1"/>
  <c r="I1356" i="1"/>
  <c r="H1356" i="1"/>
  <c r="G1356" i="1"/>
  <c r="E1356" i="1"/>
  <c r="D1356" i="1"/>
  <c r="B1356" i="1"/>
  <c r="A1356" i="1"/>
  <c r="O1355" i="1"/>
  <c r="N1355" i="1"/>
  <c r="M1355" i="1"/>
  <c r="L1355" i="1"/>
  <c r="I1355" i="1"/>
  <c r="H1355" i="1"/>
  <c r="G1355" i="1"/>
  <c r="E1355" i="1"/>
  <c r="D1355" i="1"/>
  <c r="B1355" i="1"/>
  <c r="A1355" i="1"/>
  <c r="N1354" i="1"/>
  <c r="M1354" i="1"/>
  <c r="L1354" i="1"/>
  <c r="K1354" i="1"/>
  <c r="J1354" i="1"/>
  <c r="I1354" i="1"/>
  <c r="H1354" i="1"/>
  <c r="G1354" i="1"/>
  <c r="E1354" i="1"/>
  <c r="D1354" i="1"/>
  <c r="C1354" i="1"/>
  <c r="B1354" i="1"/>
  <c r="A1354" i="1"/>
  <c r="O1353" i="1"/>
  <c r="N1353" i="1"/>
  <c r="M1353" i="1"/>
  <c r="L1353" i="1"/>
  <c r="I1353" i="1"/>
  <c r="H1353" i="1"/>
  <c r="G1353" i="1"/>
  <c r="E1353" i="1"/>
  <c r="D1353" i="1"/>
  <c r="B1353" i="1"/>
  <c r="A1353" i="1"/>
  <c r="N1352" i="1"/>
  <c r="M1352" i="1"/>
  <c r="L1352" i="1"/>
  <c r="K1352" i="1"/>
  <c r="J1352" i="1"/>
  <c r="I1352" i="1"/>
  <c r="H1352" i="1"/>
  <c r="G1352" i="1"/>
  <c r="E1352" i="1"/>
  <c r="D1352" i="1"/>
  <c r="C1352" i="1"/>
  <c r="B1352" i="1"/>
  <c r="A1352" i="1"/>
  <c r="O1351" i="1"/>
  <c r="N1351" i="1"/>
  <c r="M1351" i="1"/>
  <c r="L1351" i="1"/>
  <c r="I1351" i="1"/>
  <c r="H1351" i="1"/>
  <c r="G1351" i="1"/>
  <c r="E1351" i="1"/>
  <c r="D1351" i="1"/>
  <c r="B1351" i="1"/>
  <c r="A1351" i="1"/>
  <c r="N1350" i="1"/>
  <c r="M1350" i="1"/>
  <c r="L1350" i="1"/>
  <c r="K1350" i="1"/>
  <c r="J1350" i="1"/>
  <c r="H1350" i="1"/>
  <c r="G1350" i="1"/>
  <c r="E1350" i="1"/>
  <c r="D1350" i="1"/>
  <c r="C1350" i="1"/>
  <c r="B1350" i="1"/>
  <c r="A1350" i="1"/>
  <c r="N1349" i="1"/>
  <c r="M1349" i="1"/>
  <c r="L1349" i="1"/>
  <c r="K1349" i="1"/>
  <c r="J1349" i="1"/>
  <c r="I1349" i="1"/>
  <c r="H1349" i="1"/>
  <c r="G1349" i="1"/>
  <c r="E1349" i="1"/>
  <c r="D1349" i="1"/>
  <c r="C1349" i="1"/>
  <c r="B1349" i="1"/>
  <c r="A1349" i="1"/>
  <c r="N1348" i="1"/>
  <c r="L1348" i="1"/>
  <c r="I1348" i="1"/>
  <c r="H1348" i="1"/>
  <c r="G1348" i="1"/>
  <c r="E1348" i="1"/>
  <c r="D1348" i="1"/>
  <c r="B1348" i="1"/>
  <c r="A1348" i="1"/>
  <c r="O1347" i="1"/>
  <c r="N1347" i="1"/>
  <c r="M1347" i="1"/>
  <c r="L1347" i="1"/>
  <c r="K1347" i="1"/>
  <c r="J1347" i="1"/>
  <c r="I1347" i="1"/>
  <c r="H1347" i="1"/>
  <c r="G1347" i="1"/>
  <c r="E1347" i="1"/>
  <c r="D1347" i="1"/>
  <c r="B1347" i="1"/>
  <c r="A1347" i="1"/>
  <c r="N1346" i="1"/>
  <c r="M1346" i="1"/>
  <c r="L1346" i="1"/>
  <c r="J1346" i="1"/>
  <c r="I1346" i="1"/>
  <c r="H1346" i="1"/>
  <c r="G1346" i="1"/>
  <c r="E1346" i="1"/>
  <c r="D1346" i="1"/>
  <c r="B1346" i="1"/>
  <c r="A1346" i="1"/>
  <c r="O1345" i="1"/>
  <c r="N1345" i="1"/>
  <c r="M1345" i="1"/>
  <c r="L1345" i="1"/>
  <c r="I1345" i="1"/>
  <c r="H1345" i="1"/>
  <c r="G1345" i="1"/>
  <c r="E1345" i="1"/>
  <c r="D1345" i="1"/>
  <c r="C1345" i="1"/>
  <c r="B1345" i="1"/>
  <c r="A1345" i="1"/>
  <c r="O1344" i="1"/>
  <c r="N1344" i="1"/>
  <c r="M1344" i="1"/>
  <c r="L1344" i="1"/>
  <c r="J1344" i="1"/>
  <c r="I1344" i="1"/>
  <c r="H1344" i="1"/>
  <c r="G1344" i="1"/>
  <c r="F1344" i="1"/>
  <c r="E1344" i="1"/>
  <c r="D1344" i="1"/>
  <c r="C1344" i="1"/>
  <c r="B1344" i="1"/>
  <c r="A1344" i="1"/>
  <c r="N1343" i="1"/>
  <c r="M1343" i="1"/>
  <c r="L1343" i="1"/>
  <c r="I1343" i="1"/>
  <c r="H1343" i="1"/>
  <c r="G1343" i="1"/>
  <c r="E1343" i="1"/>
  <c r="D1343" i="1"/>
  <c r="C1343" i="1"/>
  <c r="B1343" i="1"/>
  <c r="A1343" i="1"/>
  <c r="N1342" i="1"/>
  <c r="M1342" i="1"/>
  <c r="L1342" i="1"/>
  <c r="I1342" i="1"/>
  <c r="H1342" i="1"/>
  <c r="G1342" i="1"/>
  <c r="F1342" i="1"/>
  <c r="E1342" i="1"/>
  <c r="D1342" i="1"/>
  <c r="C1342" i="1"/>
  <c r="B1342" i="1"/>
  <c r="A1342" i="1"/>
  <c r="N1341" i="1"/>
  <c r="M1341" i="1"/>
  <c r="L1341" i="1"/>
  <c r="K1341" i="1"/>
  <c r="J1341" i="1"/>
  <c r="I1341" i="1"/>
  <c r="H1341" i="1"/>
  <c r="G1341" i="1"/>
  <c r="F1341" i="1"/>
  <c r="E1341" i="1"/>
  <c r="D1341" i="1"/>
  <c r="C1341" i="1"/>
  <c r="B1341" i="1"/>
  <c r="A1341" i="1"/>
  <c r="N1340" i="1"/>
  <c r="M1340" i="1"/>
  <c r="L1340" i="1"/>
  <c r="K1340" i="1"/>
  <c r="J1340" i="1"/>
  <c r="I1340" i="1"/>
  <c r="H1340" i="1"/>
  <c r="G1340" i="1"/>
  <c r="F1340" i="1"/>
  <c r="E1340" i="1"/>
  <c r="D1340" i="1"/>
  <c r="C1340" i="1"/>
  <c r="B1340" i="1"/>
  <c r="A1340" i="1"/>
  <c r="O1339" i="1"/>
  <c r="N1339" i="1"/>
  <c r="L1339" i="1"/>
  <c r="I1339" i="1"/>
  <c r="H1339" i="1"/>
  <c r="G1339" i="1"/>
  <c r="F1339" i="1"/>
  <c r="E1339" i="1"/>
  <c r="D1339" i="1"/>
  <c r="B1339" i="1"/>
  <c r="A1339" i="1"/>
  <c r="O1338" i="1"/>
  <c r="N1338" i="1"/>
  <c r="M1338" i="1"/>
  <c r="L1338" i="1"/>
  <c r="J1338" i="1"/>
  <c r="I1338" i="1"/>
  <c r="H1338" i="1"/>
  <c r="G1338" i="1"/>
  <c r="E1338" i="1"/>
  <c r="D1338" i="1"/>
  <c r="B1338" i="1"/>
  <c r="A1338" i="1"/>
  <c r="N1337" i="1"/>
  <c r="M1337" i="1"/>
  <c r="L1337" i="1"/>
  <c r="K1337" i="1"/>
  <c r="J1337" i="1"/>
  <c r="I1337" i="1"/>
  <c r="H1337" i="1"/>
  <c r="G1337" i="1"/>
  <c r="E1337" i="1"/>
  <c r="D1337" i="1"/>
  <c r="C1337" i="1"/>
  <c r="B1337" i="1"/>
  <c r="A1337" i="1"/>
  <c r="N1336" i="1"/>
  <c r="M1336" i="1"/>
  <c r="L1336" i="1"/>
  <c r="K1336" i="1"/>
  <c r="J1336" i="1"/>
  <c r="I1336" i="1"/>
  <c r="H1336" i="1"/>
  <c r="G1336" i="1"/>
  <c r="E1336" i="1"/>
  <c r="D1336" i="1"/>
  <c r="C1336" i="1"/>
  <c r="B1336" i="1"/>
  <c r="A1336" i="1"/>
  <c r="N1335" i="1"/>
  <c r="M1335" i="1"/>
  <c r="L1335" i="1"/>
  <c r="K1335" i="1"/>
  <c r="J1335" i="1"/>
  <c r="I1335" i="1"/>
  <c r="H1335" i="1"/>
  <c r="G1335" i="1"/>
  <c r="E1335" i="1"/>
  <c r="D1335" i="1"/>
  <c r="C1335" i="1"/>
  <c r="B1335" i="1"/>
  <c r="A1335" i="1"/>
  <c r="O1334" i="1"/>
  <c r="N1334" i="1"/>
  <c r="M1334" i="1"/>
  <c r="L1334" i="1"/>
  <c r="J1334" i="1"/>
  <c r="I1334" i="1"/>
  <c r="H1334" i="1"/>
  <c r="G1334" i="1"/>
  <c r="F1334" i="1"/>
  <c r="E1334" i="1"/>
  <c r="D1334" i="1"/>
  <c r="B1334" i="1"/>
  <c r="A1334" i="1"/>
  <c r="N1333" i="1"/>
  <c r="M1333" i="1"/>
  <c r="L1333" i="1"/>
  <c r="K1333" i="1"/>
  <c r="J1333" i="1"/>
  <c r="I1333" i="1"/>
  <c r="H1333" i="1"/>
  <c r="G1333" i="1"/>
  <c r="E1333" i="1"/>
  <c r="D1333" i="1"/>
  <c r="B1333" i="1"/>
  <c r="A1333" i="1"/>
  <c r="O1332" i="1"/>
  <c r="N1332" i="1"/>
  <c r="L1332" i="1"/>
  <c r="K1332" i="1"/>
  <c r="J1332" i="1"/>
  <c r="I1332" i="1"/>
  <c r="H1332" i="1"/>
  <c r="G1332" i="1"/>
  <c r="F1332" i="1"/>
  <c r="E1332" i="1"/>
  <c r="D1332" i="1"/>
  <c r="B1332" i="1"/>
  <c r="A1332" i="1"/>
  <c r="N1331" i="1"/>
  <c r="M1331" i="1"/>
  <c r="L1331" i="1"/>
  <c r="K1331" i="1"/>
  <c r="J1331" i="1"/>
  <c r="H1331" i="1"/>
  <c r="G1331" i="1"/>
  <c r="E1331" i="1"/>
  <c r="D1331" i="1"/>
  <c r="B1331" i="1"/>
  <c r="A1331" i="1"/>
  <c r="N1330" i="1"/>
  <c r="M1330" i="1"/>
  <c r="L1330" i="1"/>
  <c r="K1330" i="1"/>
  <c r="J1330" i="1"/>
  <c r="H1330" i="1"/>
  <c r="G1330" i="1"/>
  <c r="E1330" i="1"/>
  <c r="D1330" i="1"/>
  <c r="B1330" i="1"/>
  <c r="A1330" i="1"/>
  <c r="N1329" i="1"/>
  <c r="M1329" i="1"/>
  <c r="L1329" i="1"/>
  <c r="K1329" i="1"/>
  <c r="J1329" i="1"/>
  <c r="H1329" i="1"/>
  <c r="G1329" i="1"/>
  <c r="E1329" i="1"/>
  <c r="D1329" i="1"/>
  <c r="B1329" i="1"/>
  <c r="A1329" i="1"/>
  <c r="N1328" i="1"/>
  <c r="M1328" i="1"/>
  <c r="L1328" i="1"/>
  <c r="K1328" i="1"/>
  <c r="J1328" i="1"/>
  <c r="H1328" i="1"/>
  <c r="G1328" i="1"/>
  <c r="E1328" i="1"/>
  <c r="D1328" i="1"/>
  <c r="B1328" i="1"/>
  <c r="A1328" i="1"/>
  <c r="N1327" i="1"/>
  <c r="L1327" i="1"/>
  <c r="K1327" i="1"/>
  <c r="J1327" i="1"/>
  <c r="I1327" i="1"/>
  <c r="H1327" i="1"/>
  <c r="G1327" i="1"/>
  <c r="E1327" i="1"/>
  <c r="D1327" i="1"/>
  <c r="B1327" i="1"/>
  <c r="A1327" i="1"/>
  <c r="O1326" i="1"/>
  <c r="N1326" i="1"/>
  <c r="M1326" i="1"/>
  <c r="L1326" i="1"/>
  <c r="K1326" i="1"/>
  <c r="J1326" i="1"/>
  <c r="H1326" i="1"/>
  <c r="G1326" i="1"/>
  <c r="E1326" i="1"/>
  <c r="D1326" i="1"/>
  <c r="B1326" i="1"/>
  <c r="A1326" i="1"/>
  <c r="N1325" i="1"/>
  <c r="M1325" i="1"/>
  <c r="L1325" i="1"/>
  <c r="K1325" i="1"/>
  <c r="J1325" i="1"/>
  <c r="H1325" i="1"/>
  <c r="G1325" i="1"/>
  <c r="E1325" i="1"/>
  <c r="D1325" i="1"/>
  <c r="B1325" i="1"/>
  <c r="A1325" i="1"/>
  <c r="N1324" i="1"/>
  <c r="M1324" i="1"/>
  <c r="L1324" i="1"/>
  <c r="K1324" i="1"/>
  <c r="J1324" i="1"/>
  <c r="H1324" i="1"/>
  <c r="G1324" i="1"/>
  <c r="E1324" i="1"/>
  <c r="D1324" i="1"/>
  <c r="C1324" i="1"/>
  <c r="B1324" i="1"/>
  <c r="A1324" i="1"/>
  <c r="O1323" i="1"/>
  <c r="N1323" i="1"/>
  <c r="M1323" i="1"/>
  <c r="L1323" i="1"/>
  <c r="H1323" i="1"/>
  <c r="G1323" i="1"/>
  <c r="E1323" i="1"/>
  <c r="D1323" i="1"/>
  <c r="C1323" i="1"/>
  <c r="B1323" i="1"/>
  <c r="A1323" i="1"/>
  <c r="O1322" i="1"/>
  <c r="N1322" i="1"/>
  <c r="M1322" i="1"/>
  <c r="L1322" i="1"/>
  <c r="H1322" i="1"/>
  <c r="G1322" i="1"/>
  <c r="E1322" i="1"/>
  <c r="D1322" i="1"/>
  <c r="C1322" i="1"/>
  <c r="B1322" i="1"/>
  <c r="A1322" i="1"/>
  <c r="N1321" i="1"/>
  <c r="M1321" i="1"/>
  <c r="L1321" i="1"/>
  <c r="K1321" i="1"/>
  <c r="J1321" i="1"/>
  <c r="H1321" i="1"/>
  <c r="G1321" i="1"/>
  <c r="D1321" i="1"/>
  <c r="B1321" i="1"/>
  <c r="A1321" i="1"/>
  <c r="O1320" i="1"/>
  <c r="N1320" i="1"/>
  <c r="M1320" i="1"/>
  <c r="L1320" i="1"/>
  <c r="K1320" i="1"/>
  <c r="J1320" i="1"/>
  <c r="H1320" i="1"/>
  <c r="G1320" i="1"/>
  <c r="F1320" i="1"/>
  <c r="E1320" i="1"/>
  <c r="D1320" i="1"/>
  <c r="C1320" i="1"/>
  <c r="B1320" i="1"/>
  <c r="A1320" i="1"/>
  <c r="O1319" i="1"/>
  <c r="N1319" i="1"/>
  <c r="M1319" i="1"/>
  <c r="L1319" i="1"/>
  <c r="K1319" i="1"/>
  <c r="J1319" i="1"/>
  <c r="H1319" i="1"/>
  <c r="G1319" i="1"/>
  <c r="F1319" i="1"/>
  <c r="E1319" i="1"/>
  <c r="D1319" i="1"/>
  <c r="C1319" i="1"/>
  <c r="B1319" i="1"/>
  <c r="A1319" i="1"/>
  <c r="N1318" i="1"/>
  <c r="L1318" i="1"/>
  <c r="H1318" i="1"/>
  <c r="G1318" i="1"/>
  <c r="E1318" i="1"/>
  <c r="D1318" i="1"/>
  <c r="B1318" i="1"/>
  <c r="A1318" i="1"/>
  <c r="N1317" i="1"/>
  <c r="M1317" i="1"/>
  <c r="L1317" i="1"/>
  <c r="K1317" i="1"/>
  <c r="J1317" i="1"/>
  <c r="I1317" i="1"/>
  <c r="H1317" i="1"/>
  <c r="G1317" i="1"/>
  <c r="F1317" i="1"/>
  <c r="E1317" i="1"/>
  <c r="D1317" i="1"/>
  <c r="B1317" i="1"/>
  <c r="A1317" i="1"/>
  <c r="N1316" i="1"/>
  <c r="M1316" i="1"/>
  <c r="L1316" i="1"/>
  <c r="J1316" i="1"/>
  <c r="H1316" i="1"/>
  <c r="G1316" i="1"/>
  <c r="F1316" i="1"/>
  <c r="E1316" i="1"/>
  <c r="D1316" i="1"/>
  <c r="C1316" i="1"/>
  <c r="B1316" i="1"/>
  <c r="A1316" i="1"/>
  <c r="N1315" i="1"/>
  <c r="M1315" i="1"/>
  <c r="L1315" i="1"/>
  <c r="J1315" i="1"/>
  <c r="H1315" i="1"/>
  <c r="G1315" i="1"/>
  <c r="F1315" i="1"/>
  <c r="E1315" i="1"/>
  <c r="D1315" i="1"/>
  <c r="C1315" i="1"/>
  <c r="B1315" i="1"/>
  <c r="A1315" i="1"/>
  <c r="O1314" i="1"/>
  <c r="N1314" i="1"/>
  <c r="L1314" i="1"/>
  <c r="I1314" i="1"/>
  <c r="H1314" i="1"/>
  <c r="G1314" i="1"/>
  <c r="E1314" i="1"/>
  <c r="D1314" i="1"/>
  <c r="B1314" i="1"/>
  <c r="A1314" i="1"/>
  <c r="N1313" i="1"/>
  <c r="M1313" i="1"/>
  <c r="L1313" i="1"/>
  <c r="K1313" i="1"/>
  <c r="J1313" i="1"/>
  <c r="I1313" i="1"/>
  <c r="H1313" i="1"/>
  <c r="G1313" i="1"/>
  <c r="E1313" i="1"/>
  <c r="D1313" i="1"/>
  <c r="C1313" i="1"/>
  <c r="B1313" i="1"/>
  <c r="A1313" i="1"/>
  <c r="N1312" i="1"/>
  <c r="M1312" i="1"/>
  <c r="L1312" i="1"/>
  <c r="K1312" i="1"/>
  <c r="J1312" i="1"/>
  <c r="H1312" i="1"/>
  <c r="G1312" i="1"/>
  <c r="E1312" i="1"/>
  <c r="D1312" i="1"/>
  <c r="B1312" i="1"/>
  <c r="A1312" i="1"/>
  <c r="N1311" i="1"/>
  <c r="M1311" i="1"/>
  <c r="L1311" i="1"/>
  <c r="K1311" i="1"/>
  <c r="J1311" i="1"/>
  <c r="I1311" i="1"/>
  <c r="H1311" i="1"/>
  <c r="G1311" i="1"/>
  <c r="E1311" i="1"/>
  <c r="D1311" i="1"/>
  <c r="B1311" i="1"/>
  <c r="A1311" i="1"/>
  <c r="N1310" i="1"/>
  <c r="M1310" i="1"/>
  <c r="L1310" i="1"/>
  <c r="H1310" i="1"/>
  <c r="G1310" i="1"/>
  <c r="E1310" i="1"/>
  <c r="D1310" i="1"/>
  <c r="B1310" i="1"/>
  <c r="A1310" i="1"/>
  <c r="N1309" i="1"/>
  <c r="M1309" i="1"/>
  <c r="L1309" i="1"/>
  <c r="H1309" i="1"/>
  <c r="G1309" i="1"/>
  <c r="E1309" i="1"/>
  <c r="D1309" i="1"/>
  <c r="B1309" i="1"/>
  <c r="A1309" i="1"/>
  <c r="N1308" i="1"/>
  <c r="M1308" i="1"/>
  <c r="L1308" i="1"/>
  <c r="H1308" i="1"/>
  <c r="G1308" i="1"/>
  <c r="E1308" i="1"/>
  <c r="D1308" i="1"/>
  <c r="B1308" i="1"/>
  <c r="A1308" i="1"/>
  <c r="N1307" i="1"/>
  <c r="M1307" i="1"/>
  <c r="L1307" i="1"/>
  <c r="H1307" i="1"/>
  <c r="G1307" i="1"/>
  <c r="E1307" i="1"/>
  <c r="D1307" i="1"/>
  <c r="B1307" i="1"/>
  <c r="A1307" i="1"/>
  <c r="N1306" i="1"/>
  <c r="M1306" i="1"/>
  <c r="L1306" i="1"/>
  <c r="K1306" i="1"/>
  <c r="J1306" i="1"/>
  <c r="H1306" i="1"/>
  <c r="G1306" i="1"/>
  <c r="E1306" i="1"/>
  <c r="D1306" i="1"/>
  <c r="B1306" i="1"/>
  <c r="A1306" i="1"/>
  <c r="N1305" i="1"/>
  <c r="M1305" i="1"/>
  <c r="L1305" i="1"/>
  <c r="H1305" i="1"/>
  <c r="G1305" i="1"/>
  <c r="E1305" i="1"/>
  <c r="D1305" i="1"/>
  <c r="B1305" i="1"/>
  <c r="A1305" i="1"/>
  <c r="N1304" i="1"/>
  <c r="M1304" i="1"/>
  <c r="L1304" i="1"/>
  <c r="H1304" i="1"/>
  <c r="G1304" i="1"/>
  <c r="E1304" i="1"/>
  <c r="D1304" i="1"/>
  <c r="B1304" i="1"/>
  <c r="A1304" i="1"/>
  <c r="N1303" i="1"/>
  <c r="M1303" i="1"/>
  <c r="L1303" i="1"/>
  <c r="H1303" i="1"/>
  <c r="G1303" i="1"/>
  <c r="E1303" i="1"/>
  <c r="D1303" i="1"/>
  <c r="B1303" i="1"/>
  <c r="A1303" i="1"/>
  <c r="N1302" i="1"/>
  <c r="M1302" i="1"/>
  <c r="L1302" i="1"/>
  <c r="K1302" i="1"/>
  <c r="J1302" i="1"/>
  <c r="H1302" i="1"/>
  <c r="G1302" i="1"/>
  <c r="E1302" i="1"/>
  <c r="D1302" i="1"/>
  <c r="B1302" i="1"/>
  <c r="A1302" i="1"/>
  <c r="N1301" i="1"/>
  <c r="M1301" i="1"/>
  <c r="L1301" i="1"/>
  <c r="H1301" i="1"/>
  <c r="G1301" i="1"/>
  <c r="E1301" i="1"/>
  <c r="D1301" i="1"/>
  <c r="B1301" i="1"/>
  <c r="A1301" i="1"/>
  <c r="N1300" i="1"/>
  <c r="M1300" i="1"/>
  <c r="L1300" i="1"/>
  <c r="H1300" i="1"/>
  <c r="G1300" i="1"/>
  <c r="E1300" i="1"/>
  <c r="D1300" i="1"/>
  <c r="B1300" i="1"/>
  <c r="A1300" i="1"/>
  <c r="O1299" i="1"/>
  <c r="N1299" i="1"/>
  <c r="M1299" i="1"/>
  <c r="L1299" i="1"/>
  <c r="I1299" i="1"/>
  <c r="H1299" i="1"/>
  <c r="G1299" i="1"/>
  <c r="D1299" i="1"/>
  <c r="B1299" i="1"/>
  <c r="A1299" i="1"/>
  <c r="N1298" i="1"/>
  <c r="M1298" i="1"/>
  <c r="L1298" i="1"/>
  <c r="K1298" i="1"/>
  <c r="J1298" i="1"/>
  <c r="H1298" i="1"/>
  <c r="G1298" i="1"/>
  <c r="F1298" i="1"/>
  <c r="E1298" i="1"/>
  <c r="D1298" i="1"/>
  <c r="B1298" i="1"/>
  <c r="A1298" i="1"/>
  <c r="N1297" i="1"/>
  <c r="L1297" i="1"/>
  <c r="J1297" i="1"/>
  <c r="I1297" i="1"/>
  <c r="H1297" i="1"/>
  <c r="G1297" i="1"/>
  <c r="E1297" i="1"/>
  <c r="D1297" i="1"/>
  <c r="B1297" i="1"/>
  <c r="A1297" i="1"/>
  <c r="N1296" i="1"/>
  <c r="M1296" i="1"/>
  <c r="L1296" i="1"/>
  <c r="K1296" i="1"/>
  <c r="J1296" i="1"/>
  <c r="H1296" i="1"/>
  <c r="G1296" i="1"/>
  <c r="F1296" i="1"/>
  <c r="E1296" i="1"/>
  <c r="D1296" i="1"/>
  <c r="B1296" i="1"/>
  <c r="A1296" i="1"/>
  <c r="N1295" i="1"/>
  <c r="M1295" i="1"/>
  <c r="L1295" i="1"/>
  <c r="K1295" i="1"/>
  <c r="J1295" i="1"/>
  <c r="I1295" i="1"/>
  <c r="H1295" i="1"/>
  <c r="G1295" i="1"/>
  <c r="E1295" i="1"/>
  <c r="D1295" i="1"/>
  <c r="B1295" i="1"/>
  <c r="A1295" i="1"/>
  <c r="N1294" i="1"/>
  <c r="M1294" i="1"/>
  <c r="L1294" i="1"/>
  <c r="J1294" i="1"/>
  <c r="H1294" i="1"/>
  <c r="G1294" i="1"/>
  <c r="E1294" i="1"/>
  <c r="D1294" i="1"/>
  <c r="C1294" i="1"/>
  <c r="B1294" i="1"/>
  <c r="A1294" i="1"/>
  <c r="N1293" i="1"/>
  <c r="M1293" i="1"/>
  <c r="L1293" i="1"/>
  <c r="K1293" i="1"/>
  <c r="J1293" i="1"/>
  <c r="I1293" i="1"/>
  <c r="H1293" i="1"/>
  <c r="G1293" i="1"/>
  <c r="E1293" i="1"/>
  <c r="D1293" i="1"/>
  <c r="B1293" i="1"/>
  <c r="A1293" i="1"/>
  <c r="N1292" i="1"/>
  <c r="M1292" i="1"/>
  <c r="L1292" i="1"/>
  <c r="H1292" i="1"/>
  <c r="G1292" i="1"/>
  <c r="E1292" i="1"/>
  <c r="D1292" i="1"/>
  <c r="C1292" i="1"/>
  <c r="B1292" i="1"/>
  <c r="A1292" i="1"/>
  <c r="N1291" i="1"/>
  <c r="M1291" i="1"/>
  <c r="L1291" i="1"/>
  <c r="K1291" i="1"/>
  <c r="J1291" i="1"/>
  <c r="I1291" i="1"/>
  <c r="H1291" i="1"/>
  <c r="G1291" i="1"/>
  <c r="E1291" i="1"/>
  <c r="D1291" i="1"/>
  <c r="C1291" i="1"/>
  <c r="B1291" i="1"/>
  <c r="A1291" i="1"/>
  <c r="N1290" i="1"/>
  <c r="M1290" i="1"/>
  <c r="L1290" i="1"/>
  <c r="K1290" i="1"/>
  <c r="J1290" i="1"/>
  <c r="H1290" i="1"/>
  <c r="G1290" i="1"/>
  <c r="E1290" i="1"/>
  <c r="D1290" i="1"/>
  <c r="C1290" i="1"/>
  <c r="B1290" i="1"/>
  <c r="A1290" i="1"/>
  <c r="N1289" i="1"/>
  <c r="L1289" i="1"/>
  <c r="J1289" i="1"/>
  <c r="I1289" i="1"/>
  <c r="H1289" i="1"/>
  <c r="G1289" i="1"/>
  <c r="E1289" i="1"/>
  <c r="D1289" i="1"/>
  <c r="B1289" i="1"/>
  <c r="A1289" i="1"/>
  <c r="O1288" i="1"/>
  <c r="N1288" i="1"/>
  <c r="M1288" i="1"/>
  <c r="L1288" i="1"/>
  <c r="K1288" i="1"/>
  <c r="J1288" i="1"/>
  <c r="H1288" i="1"/>
  <c r="G1288" i="1"/>
  <c r="F1288" i="1"/>
  <c r="E1288" i="1"/>
  <c r="D1288" i="1"/>
  <c r="C1288" i="1"/>
  <c r="B1288" i="1"/>
  <c r="A1288" i="1"/>
  <c r="N1287" i="1"/>
  <c r="M1287" i="1"/>
  <c r="L1287" i="1"/>
  <c r="J1287" i="1"/>
  <c r="H1287" i="1"/>
  <c r="G1287" i="1"/>
  <c r="E1287" i="1"/>
  <c r="D1287" i="1"/>
  <c r="B1287" i="1"/>
  <c r="A1287" i="1"/>
  <c r="O1286" i="1"/>
  <c r="N1286" i="1"/>
  <c r="M1286" i="1"/>
  <c r="L1286" i="1"/>
  <c r="J1286" i="1"/>
  <c r="H1286" i="1"/>
  <c r="G1286" i="1"/>
  <c r="D1286" i="1"/>
  <c r="B1286" i="1"/>
  <c r="A1286" i="1"/>
  <c r="N1285" i="1"/>
  <c r="M1285" i="1"/>
  <c r="L1285" i="1"/>
  <c r="K1285" i="1"/>
  <c r="J1285" i="1"/>
  <c r="H1285" i="1"/>
  <c r="G1285" i="1"/>
  <c r="F1285" i="1"/>
  <c r="E1285" i="1"/>
  <c r="D1285" i="1"/>
  <c r="B1285" i="1"/>
  <c r="A1285" i="1"/>
  <c r="N1284" i="1"/>
  <c r="M1284" i="1"/>
  <c r="L1284" i="1"/>
  <c r="H1284" i="1"/>
  <c r="G1284" i="1"/>
  <c r="F1284" i="1"/>
  <c r="E1284" i="1"/>
  <c r="D1284" i="1"/>
  <c r="B1284" i="1"/>
  <c r="A1284" i="1"/>
  <c r="N1283" i="1"/>
  <c r="M1283" i="1"/>
  <c r="L1283" i="1"/>
  <c r="I1283" i="1"/>
  <c r="H1283" i="1"/>
  <c r="G1283" i="1"/>
  <c r="F1283" i="1"/>
  <c r="E1283" i="1"/>
  <c r="D1283" i="1"/>
  <c r="B1283" i="1"/>
  <c r="A1283" i="1"/>
  <c r="N1282" i="1"/>
  <c r="M1282" i="1"/>
  <c r="L1282" i="1"/>
  <c r="J1282" i="1"/>
  <c r="H1282" i="1"/>
  <c r="G1282" i="1"/>
  <c r="D1282" i="1"/>
  <c r="B1282" i="1"/>
  <c r="A1282" i="1"/>
  <c r="N1281" i="1"/>
  <c r="M1281" i="1"/>
  <c r="L1281" i="1"/>
  <c r="K1281" i="1"/>
  <c r="J1281" i="1"/>
  <c r="H1281" i="1"/>
  <c r="G1281" i="1"/>
  <c r="F1281" i="1"/>
  <c r="E1281" i="1"/>
  <c r="D1281" i="1"/>
  <c r="B1281" i="1"/>
  <c r="A1281" i="1"/>
  <c r="N1280" i="1"/>
  <c r="M1280" i="1"/>
  <c r="L1280" i="1"/>
  <c r="K1280" i="1"/>
  <c r="J1280" i="1"/>
  <c r="H1280" i="1"/>
  <c r="G1280" i="1"/>
  <c r="F1280" i="1"/>
  <c r="E1280" i="1"/>
  <c r="D1280" i="1"/>
  <c r="B1280" i="1"/>
  <c r="A1280" i="1"/>
  <c r="N1279" i="1"/>
  <c r="M1279" i="1"/>
  <c r="L1279" i="1"/>
  <c r="J1279" i="1"/>
  <c r="H1279" i="1"/>
  <c r="G1279" i="1"/>
  <c r="D1279" i="1"/>
  <c r="B1279" i="1"/>
  <c r="A1279" i="1"/>
  <c r="N1278" i="1"/>
  <c r="M1278" i="1"/>
  <c r="L1278" i="1"/>
  <c r="K1278" i="1"/>
  <c r="J1278" i="1"/>
  <c r="H1278" i="1"/>
  <c r="G1278" i="1"/>
  <c r="F1278" i="1"/>
  <c r="E1278" i="1"/>
  <c r="D1278" i="1"/>
  <c r="B1278" i="1"/>
  <c r="A1278" i="1"/>
  <c r="N1277" i="1"/>
  <c r="M1277" i="1"/>
  <c r="L1277" i="1"/>
  <c r="J1277" i="1"/>
  <c r="H1277" i="1"/>
  <c r="G1277" i="1"/>
  <c r="E1277" i="1"/>
  <c r="D1277" i="1"/>
  <c r="B1277" i="1"/>
  <c r="A1277" i="1"/>
  <c r="N1276" i="1"/>
  <c r="M1276" i="1"/>
  <c r="L1276" i="1"/>
  <c r="J1276" i="1"/>
  <c r="H1276" i="1"/>
  <c r="G1276" i="1"/>
  <c r="E1276" i="1"/>
  <c r="D1276" i="1"/>
  <c r="B1276" i="1"/>
  <c r="A1276" i="1"/>
  <c r="N1275" i="1"/>
  <c r="M1275" i="1"/>
  <c r="L1275" i="1"/>
  <c r="J1275" i="1"/>
  <c r="H1275" i="1"/>
  <c r="G1275" i="1"/>
  <c r="E1275" i="1"/>
  <c r="D1275" i="1"/>
  <c r="B1275" i="1"/>
  <c r="A1275" i="1"/>
  <c r="N1274" i="1"/>
  <c r="M1274" i="1"/>
  <c r="L1274" i="1"/>
  <c r="J1274" i="1"/>
  <c r="H1274" i="1"/>
  <c r="G1274" i="1"/>
  <c r="E1274" i="1"/>
  <c r="D1274" i="1"/>
  <c r="B1274" i="1"/>
  <c r="A1274" i="1"/>
  <c r="N1273" i="1"/>
  <c r="L1273" i="1"/>
  <c r="J1273" i="1"/>
  <c r="I1273" i="1"/>
  <c r="H1273" i="1"/>
  <c r="G1273" i="1"/>
  <c r="F1273" i="1"/>
  <c r="E1273" i="1"/>
  <c r="D1273" i="1"/>
  <c r="B1273" i="1"/>
  <c r="A1273" i="1"/>
  <c r="N1272" i="1"/>
  <c r="M1272" i="1"/>
  <c r="L1272" i="1"/>
  <c r="J1272" i="1"/>
  <c r="I1272" i="1"/>
  <c r="H1272" i="1"/>
  <c r="G1272" i="1"/>
  <c r="E1272" i="1"/>
  <c r="D1272" i="1"/>
  <c r="B1272" i="1"/>
  <c r="A1272" i="1"/>
  <c r="N1271" i="1"/>
  <c r="M1271" i="1"/>
  <c r="L1271" i="1"/>
  <c r="K1271" i="1"/>
  <c r="J1271" i="1"/>
  <c r="I1271" i="1"/>
  <c r="H1271" i="1"/>
  <c r="G1271" i="1"/>
  <c r="E1271" i="1"/>
  <c r="D1271" i="1"/>
  <c r="B1271" i="1"/>
  <c r="A1271" i="1"/>
  <c r="N1270" i="1"/>
  <c r="M1270" i="1"/>
  <c r="L1270" i="1"/>
  <c r="K1270" i="1"/>
  <c r="J1270" i="1"/>
  <c r="I1270" i="1"/>
  <c r="H1270" i="1"/>
  <c r="G1270" i="1"/>
  <c r="F1270" i="1"/>
  <c r="E1270" i="1"/>
  <c r="D1270" i="1"/>
  <c r="B1270" i="1"/>
  <c r="A1270" i="1"/>
  <c r="O1269" i="1"/>
  <c r="N1269" i="1"/>
  <c r="L1269" i="1"/>
  <c r="I1269" i="1"/>
  <c r="H1269" i="1"/>
  <c r="G1269" i="1"/>
  <c r="D1269" i="1"/>
  <c r="B1269" i="1"/>
  <c r="A1269" i="1"/>
  <c r="N1268" i="1"/>
  <c r="M1268" i="1"/>
  <c r="L1268" i="1"/>
  <c r="K1268" i="1"/>
  <c r="J1268" i="1"/>
  <c r="I1268" i="1"/>
  <c r="H1268" i="1"/>
  <c r="G1268" i="1"/>
  <c r="E1268" i="1"/>
  <c r="D1268" i="1"/>
  <c r="B1268" i="1"/>
  <c r="A1268" i="1"/>
  <c r="N1267" i="1"/>
  <c r="M1267" i="1"/>
  <c r="L1267" i="1"/>
  <c r="K1267" i="1"/>
  <c r="J1267" i="1"/>
  <c r="H1267" i="1"/>
  <c r="G1267" i="1"/>
  <c r="E1267" i="1"/>
  <c r="D1267" i="1"/>
  <c r="B1267" i="1"/>
  <c r="A1267" i="1"/>
  <c r="N1266" i="1"/>
  <c r="M1266" i="1"/>
  <c r="L1266" i="1"/>
  <c r="K1266" i="1"/>
  <c r="J1266" i="1"/>
  <c r="I1266" i="1"/>
  <c r="H1266" i="1"/>
  <c r="G1266" i="1"/>
  <c r="F1266" i="1"/>
  <c r="E1266" i="1"/>
  <c r="D1266" i="1"/>
  <c r="B1266" i="1"/>
  <c r="A1266" i="1"/>
  <c r="N1265" i="1"/>
  <c r="M1265" i="1"/>
  <c r="L1265" i="1"/>
  <c r="J1265" i="1"/>
  <c r="H1265" i="1"/>
  <c r="G1265" i="1"/>
  <c r="E1265" i="1"/>
  <c r="D1265" i="1"/>
  <c r="B1265" i="1"/>
  <c r="A1265" i="1"/>
  <c r="N1264" i="1"/>
  <c r="M1264" i="1"/>
  <c r="L1264" i="1"/>
  <c r="J1264" i="1"/>
  <c r="I1264" i="1"/>
  <c r="H1264" i="1"/>
  <c r="G1264" i="1"/>
  <c r="F1264" i="1"/>
  <c r="E1264" i="1"/>
  <c r="D1264" i="1"/>
  <c r="C1264" i="1"/>
  <c r="B1264" i="1"/>
  <c r="A1264" i="1"/>
  <c r="N1263" i="1"/>
  <c r="M1263" i="1"/>
  <c r="L1263" i="1"/>
  <c r="K1263" i="1"/>
  <c r="J1263" i="1"/>
  <c r="I1263" i="1"/>
  <c r="H1263" i="1"/>
  <c r="G1263" i="1"/>
  <c r="E1263" i="1"/>
  <c r="D1263" i="1"/>
  <c r="B1263" i="1"/>
  <c r="A1263" i="1"/>
  <c r="N1262" i="1"/>
  <c r="M1262" i="1"/>
  <c r="L1262" i="1"/>
  <c r="K1262" i="1"/>
  <c r="J1262" i="1"/>
  <c r="H1262" i="1"/>
  <c r="G1262" i="1"/>
  <c r="D1262" i="1"/>
  <c r="C1262" i="1"/>
  <c r="B1262" i="1"/>
  <c r="A1262" i="1"/>
  <c r="N1261" i="1"/>
  <c r="M1261" i="1"/>
  <c r="L1261" i="1"/>
  <c r="K1261" i="1"/>
  <c r="J1261" i="1"/>
  <c r="I1261" i="1"/>
  <c r="H1261" i="1"/>
  <c r="G1261" i="1"/>
  <c r="E1261" i="1"/>
  <c r="D1261" i="1"/>
  <c r="B1261" i="1"/>
  <c r="A1261" i="1"/>
  <c r="N1260" i="1"/>
  <c r="M1260" i="1"/>
  <c r="L1260" i="1"/>
  <c r="K1260" i="1"/>
  <c r="J1260" i="1"/>
  <c r="I1260" i="1"/>
  <c r="H1260" i="1"/>
  <c r="G1260" i="1"/>
  <c r="E1260" i="1"/>
  <c r="D1260" i="1"/>
  <c r="B1260" i="1"/>
  <c r="A1260" i="1"/>
  <c r="O1259" i="1"/>
  <c r="N1259" i="1"/>
  <c r="M1259" i="1"/>
  <c r="L1259" i="1"/>
  <c r="J1259" i="1"/>
  <c r="I1259" i="1"/>
  <c r="H1259" i="1"/>
  <c r="G1259" i="1"/>
  <c r="F1259" i="1"/>
  <c r="E1259" i="1"/>
  <c r="D1259" i="1"/>
  <c r="B1259" i="1"/>
  <c r="A1259" i="1"/>
  <c r="N1258" i="1"/>
  <c r="M1258" i="1"/>
  <c r="L1258" i="1"/>
  <c r="K1258" i="1"/>
  <c r="J1258" i="1"/>
  <c r="H1258" i="1"/>
  <c r="G1258" i="1"/>
  <c r="E1258" i="1"/>
  <c r="D1258" i="1"/>
  <c r="B1258" i="1"/>
  <c r="A1258" i="1"/>
  <c r="N1257" i="1"/>
  <c r="M1257" i="1"/>
  <c r="L1257" i="1"/>
  <c r="K1257" i="1"/>
  <c r="J1257" i="1"/>
  <c r="H1257" i="1"/>
  <c r="G1257" i="1"/>
  <c r="E1257" i="1"/>
  <c r="D1257" i="1"/>
  <c r="C1257" i="1"/>
  <c r="B1257" i="1"/>
  <c r="A1257" i="1"/>
  <c r="N1256" i="1"/>
  <c r="M1256" i="1"/>
  <c r="L1256" i="1"/>
  <c r="H1256" i="1"/>
  <c r="G1256" i="1"/>
  <c r="E1256" i="1"/>
  <c r="D1256" i="1"/>
  <c r="C1256" i="1"/>
  <c r="B1256" i="1"/>
  <c r="A1256" i="1"/>
  <c r="N1255" i="1"/>
  <c r="L1255" i="1"/>
  <c r="J1255" i="1"/>
  <c r="I1255" i="1"/>
  <c r="H1255" i="1"/>
  <c r="G1255" i="1"/>
  <c r="F1255" i="1"/>
  <c r="E1255" i="1"/>
  <c r="D1255" i="1"/>
  <c r="B1255" i="1"/>
  <c r="A1255" i="1"/>
  <c r="O1254" i="1"/>
  <c r="N1254" i="1"/>
  <c r="M1254" i="1"/>
  <c r="L1254" i="1"/>
  <c r="K1254" i="1"/>
  <c r="J1254" i="1"/>
  <c r="H1254" i="1"/>
  <c r="G1254" i="1"/>
  <c r="E1254" i="1"/>
  <c r="D1254" i="1"/>
  <c r="B1254" i="1"/>
  <c r="A1254" i="1"/>
  <c r="O1253" i="1"/>
  <c r="N1253" i="1"/>
  <c r="M1253" i="1"/>
  <c r="L1253" i="1"/>
  <c r="H1253" i="1"/>
  <c r="G1253" i="1"/>
  <c r="F1253" i="1"/>
  <c r="E1253" i="1"/>
  <c r="D1253" i="1"/>
  <c r="C1253" i="1"/>
  <c r="B1253" i="1"/>
  <c r="A1253" i="1"/>
  <c r="N1252" i="1"/>
  <c r="M1252" i="1"/>
  <c r="L1252" i="1"/>
  <c r="K1252" i="1"/>
  <c r="J1252" i="1"/>
  <c r="I1252" i="1"/>
  <c r="H1252" i="1"/>
  <c r="G1252" i="1"/>
  <c r="E1252" i="1"/>
  <c r="D1252" i="1"/>
  <c r="C1252" i="1"/>
  <c r="B1252" i="1"/>
  <c r="A1252" i="1"/>
  <c r="N1251" i="1"/>
  <c r="M1251" i="1"/>
  <c r="L1251" i="1"/>
  <c r="K1251" i="1"/>
  <c r="J1251" i="1"/>
  <c r="I1251" i="1"/>
  <c r="H1251" i="1"/>
  <c r="G1251" i="1"/>
  <c r="E1251" i="1"/>
  <c r="D1251" i="1"/>
  <c r="C1251" i="1"/>
  <c r="B1251" i="1"/>
  <c r="A1251" i="1"/>
  <c r="O1250" i="1"/>
  <c r="N1250" i="1"/>
  <c r="M1250" i="1"/>
  <c r="L1250" i="1"/>
  <c r="K1250" i="1"/>
  <c r="J1250" i="1"/>
  <c r="I1250" i="1"/>
  <c r="H1250" i="1"/>
  <c r="G1250" i="1"/>
  <c r="E1250" i="1"/>
  <c r="D1250" i="1"/>
  <c r="C1250" i="1"/>
  <c r="B1250" i="1"/>
  <c r="A1250" i="1"/>
  <c r="N1249" i="1"/>
  <c r="M1249" i="1"/>
  <c r="L1249" i="1"/>
  <c r="K1249" i="1"/>
  <c r="J1249" i="1"/>
  <c r="H1249" i="1"/>
  <c r="G1249" i="1"/>
  <c r="E1249" i="1"/>
  <c r="D1249" i="1"/>
  <c r="C1249" i="1"/>
  <c r="B1249" i="1"/>
  <c r="A1249" i="1"/>
  <c r="N1248" i="1"/>
  <c r="M1248" i="1"/>
  <c r="L1248" i="1"/>
  <c r="K1248" i="1"/>
  <c r="J1248" i="1"/>
  <c r="H1248" i="1"/>
  <c r="G1248" i="1"/>
  <c r="E1248" i="1"/>
  <c r="D1248" i="1"/>
  <c r="C1248" i="1"/>
  <c r="B1248" i="1"/>
  <c r="A1248" i="1"/>
  <c r="N1247" i="1"/>
  <c r="M1247" i="1"/>
  <c r="L1247" i="1"/>
  <c r="K1247" i="1"/>
  <c r="J1247" i="1"/>
  <c r="H1247" i="1"/>
  <c r="G1247" i="1"/>
  <c r="E1247" i="1"/>
  <c r="D1247" i="1"/>
  <c r="C1247" i="1"/>
  <c r="B1247" i="1"/>
  <c r="A1247" i="1"/>
  <c r="N1246" i="1"/>
  <c r="M1246" i="1"/>
  <c r="L1246" i="1"/>
  <c r="K1246" i="1"/>
  <c r="J1246" i="1"/>
  <c r="H1246" i="1"/>
  <c r="G1246" i="1"/>
  <c r="E1246" i="1"/>
  <c r="D1246" i="1"/>
  <c r="C1246" i="1"/>
  <c r="B1246" i="1"/>
  <c r="A1246" i="1"/>
  <c r="N1245" i="1"/>
  <c r="M1245" i="1"/>
  <c r="L1245" i="1"/>
  <c r="K1245" i="1"/>
  <c r="J1245" i="1"/>
  <c r="H1245" i="1"/>
  <c r="G1245" i="1"/>
  <c r="E1245" i="1"/>
  <c r="D1245" i="1"/>
  <c r="C1245" i="1"/>
  <c r="B1245" i="1"/>
  <c r="A1245" i="1"/>
  <c r="N1244" i="1"/>
  <c r="M1244" i="1"/>
  <c r="L1244" i="1"/>
  <c r="K1244" i="1"/>
  <c r="J1244" i="1"/>
  <c r="H1244" i="1"/>
  <c r="G1244" i="1"/>
  <c r="E1244" i="1"/>
  <c r="D1244" i="1"/>
  <c r="C1244" i="1"/>
  <c r="B1244" i="1"/>
  <c r="A1244" i="1"/>
  <c r="N1243" i="1"/>
  <c r="M1243" i="1"/>
  <c r="L1243" i="1"/>
  <c r="K1243" i="1"/>
  <c r="J1243" i="1"/>
  <c r="I1243" i="1"/>
  <c r="H1243" i="1"/>
  <c r="G1243" i="1"/>
  <c r="E1243" i="1"/>
  <c r="D1243" i="1"/>
  <c r="C1243" i="1"/>
  <c r="B1243" i="1"/>
  <c r="A1243" i="1"/>
  <c r="O1242" i="1"/>
  <c r="N1242" i="1"/>
  <c r="M1242" i="1"/>
  <c r="L1242" i="1"/>
  <c r="J1242" i="1"/>
  <c r="I1242" i="1"/>
  <c r="H1242" i="1"/>
  <c r="G1242" i="1"/>
  <c r="E1242" i="1"/>
  <c r="D1242" i="1"/>
  <c r="B1242" i="1"/>
  <c r="A1242" i="1"/>
  <c r="N1241" i="1"/>
  <c r="M1241" i="1"/>
  <c r="L1241" i="1"/>
  <c r="H1241" i="1"/>
  <c r="G1241" i="1"/>
  <c r="F1241" i="1"/>
  <c r="E1241" i="1"/>
  <c r="D1241" i="1"/>
  <c r="C1241" i="1"/>
  <c r="B1241" i="1"/>
  <c r="A1241" i="1"/>
  <c r="O1240" i="1"/>
  <c r="N1240" i="1"/>
  <c r="M1240" i="1"/>
  <c r="L1240" i="1"/>
  <c r="K1240" i="1"/>
  <c r="J1240" i="1"/>
  <c r="H1240" i="1"/>
  <c r="G1240" i="1"/>
  <c r="F1240" i="1"/>
  <c r="E1240" i="1"/>
  <c r="D1240" i="1"/>
  <c r="C1240" i="1"/>
  <c r="B1240" i="1"/>
  <c r="A1240" i="1"/>
  <c r="O1239" i="1"/>
  <c r="N1239" i="1"/>
  <c r="M1239" i="1"/>
  <c r="L1239" i="1"/>
  <c r="H1239" i="1"/>
  <c r="G1239" i="1"/>
  <c r="E1239" i="1"/>
  <c r="D1239" i="1"/>
  <c r="C1239" i="1"/>
  <c r="B1239" i="1"/>
  <c r="A1239" i="1"/>
  <c r="O1238" i="1"/>
  <c r="N1238" i="1"/>
  <c r="M1238" i="1"/>
  <c r="L1238" i="1"/>
  <c r="H1238" i="1"/>
  <c r="G1238" i="1"/>
  <c r="F1238" i="1"/>
  <c r="E1238" i="1"/>
  <c r="D1238" i="1"/>
  <c r="C1238" i="1"/>
  <c r="B1238" i="1"/>
  <c r="A1238" i="1"/>
  <c r="O1237" i="1"/>
  <c r="N1237" i="1"/>
  <c r="M1237" i="1"/>
  <c r="L1237" i="1"/>
  <c r="H1237" i="1"/>
  <c r="G1237" i="1"/>
  <c r="E1237" i="1"/>
  <c r="D1237" i="1"/>
  <c r="C1237" i="1"/>
  <c r="B1237" i="1"/>
  <c r="A1237" i="1"/>
  <c r="O1236" i="1"/>
  <c r="N1236" i="1"/>
  <c r="M1236" i="1"/>
  <c r="L1236" i="1"/>
  <c r="H1236" i="1"/>
  <c r="G1236" i="1"/>
  <c r="E1236" i="1"/>
  <c r="D1236" i="1"/>
  <c r="C1236" i="1"/>
  <c r="B1236" i="1"/>
  <c r="A1236" i="1"/>
  <c r="O1235" i="1"/>
  <c r="N1235" i="1"/>
  <c r="M1235" i="1"/>
  <c r="L1235" i="1"/>
  <c r="K1235" i="1"/>
  <c r="J1235" i="1"/>
  <c r="I1235" i="1"/>
  <c r="H1235" i="1"/>
  <c r="G1235" i="1"/>
  <c r="E1235" i="1"/>
  <c r="D1235" i="1"/>
  <c r="C1235" i="1"/>
  <c r="B1235" i="1"/>
  <c r="A1235" i="1"/>
  <c r="O1234" i="1"/>
  <c r="N1234" i="1"/>
  <c r="M1234" i="1"/>
  <c r="L1234" i="1"/>
  <c r="K1234" i="1"/>
  <c r="J1234" i="1"/>
  <c r="H1234" i="1"/>
  <c r="G1234" i="1"/>
  <c r="E1234" i="1"/>
  <c r="D1234" i="1"/>
  <c r="C1234" i="1"/>
  <c r="B1234" i="1"/>
  <c r="A1234" i="1"/>
  <c r="O1233" i="1"/>
  <c r="N1233" i="1"/>
  <c r="M1233" i="1"/>
  <c r="L1233" i="1"/>
  <c r="K1233" i="1"/>
  <c r="J1233" i="1"/>
  <c r="I1233" i="1"/>
  <c r="H1233" i="1"/>
  <c r="G1233" i="1"/>
  <c r="E1233" i="1"/>
  <c r="D1233" i="1"/>
  <c r="C1233" i="1"/>
  <c r="B1233" i="1"/>
  <c r="A1233" i="1"/>
  <c r="N1232" i="1"/>
  <c r="M1232" i="1"/>
  <c r="L1232" i="1"/>
  <c r="K1232" i="1"/>
  <c r="J1232" i="1"/>
  <c r="H1232" i="1"/>
  <c r="G1232" i="1"/>
  <c r="E1232" i="1"/>
  <c r="D1232" i="1"/>
  <c r="C1232" i="1"/>
  <c r="B1232" i="1"/>
  <c r="A1232" i="1"/>
  <c r="O1231" i="1"/>
  <c r="N1231" i="1"/>
  <c r="M1231" i="1"/>
  <c r="L1231" i="1"/>
  <c r="K1231" i="1"/>
  <c r="J1231" i="1"/>
  <c r="H1231" i="1"/>
  <c r="G1231" i="1"/>
  <c r="F1231" i="1"/>
  <c r="E1231" i="1"/>
  <c r="D1231" i="1"/>
  <c r="C1231" i="1"/>
  <c r="B1231" i="1"/>
  <c r="A1231" i="1"/>
  <c r="N1230" i="1"/>
  <c r="M1230" i="1"/>
  <c r="L1230" i="1"/>
  <c r="K1230" i="1"/>
  <c r="J1230" i="1"/>
  <c r="H1230" i="1"/>
  <c r="G1230" i="1"/>
  <c r="E1230" i="1"/>
  <c r="D1230" i="1"/>
  <c r="C1230" i="1"/>
  <c r="B1230" i="1"/>
  <c r="A1230" i="1"/>
  <c r="N1229" i="1"/>
  <c r="M1229" i="1"/>
  <c r="L1229" i="1"/>
  <c r="K1229" i="1"/>
  <c r="J1229" i="1"/>
  <c r="H1229" i="1"/>
  <c r="G1229" i="1"/>
  <c r="E1229" i="1"/>
  <c r="D1229" i="1"/>
  <c r="C1229" i="1"/>
  <c r="B1229" i="1"/>
  <c r="A1229" i="1"/>
  <c r="N1228" i="1"/>
  <c r="M1228" i="1"/>
  <c r="L1228" i="1"/>
  <c r="K1228" i="1"/>
  <c r="J1228" i="1"/>
  <c r="I1228" i="1"/>
  <c r="H1228" i="1"/>
  <c r="G1228" i="1"/>
  <c r="E1228" i="1"/>
  <c r="D1228" i="1"/>
  <c r="C1228" i="1"/>
  <c r="B1228" i="1"/>
  <c r="A1228" i="1"/>
  <c r="N1227" i="1"/>
  <c r="M1227" i="1"/>
  <c r="L1227" i="1"/>
  <c r="K1227" i="1"/>
  <c r="J1227" i="1"/>
  <c r="I1227" i="1"/>
  <c r="H1227" i="1"/>
  <c r="G1227" i="1"/>
  <c r="E1227" i="1"/>
  <c r="D1227" i="1"/>
  <c r="C1227" i="1"/>
  <c r="B1227" i="1"/>
  <c r="A1227" i="1"/>
  <c r="N1226" i="1"/>
  <c r="M1226" i="1"/>
  <c r="L1226" i="1"/>
  <c r="K1226" i="1"/>
  <c r="J1226" i="1"/>
  <c r="I1226" i="1"/>
  <c r="H1226" i="1"/>
  <c r="G1226" i="1"/>
  <c r="E1226" i="1"/>
  <c r="D1226" i="1"/>
  <c r="C1226" i="1"/>
  <c r="B1226" i="1"/>
  <c r="A1226" i="1"/>
  <c r="N1225" i="1"/>
  <c r="M1225" i="1"/>
  <c r="L1225" i="1"/>
  <c r="K1225" i="1"/>
  <c r="J1225" i="1"/>
  <c r="H1225" i="1"/>
  <c r="G1225" i="1"/>
  <c r="E1225" i="1"/>
  <c r="D1225" i="1"/>
  <c r="C1225" i="1"/>
  <c r="B1225" i="1"/>
  <c r="A1225" i="1"/>
  <c r="N1224" i="1"/>
  <c r="M1224" i="1"/>
  <c r="L1224" i="1"/>
  <c r="K1224" i="1"/>
  <c r="J1224" i="1"/>
  <c r="H1224" i="1"/>
  <c r="G1224" i="1"/>
  <c r="E1224" i="1"/>
  <c r="D1224" i="1"/>
  <c r="C1224" i="1"/>
  <c r="B1224" i="1"/>
  <c r="A1224" i="1"/>
  <c r="N1223" i="1"/>
  <c r="M1223" i="1"/>
  <c r="L1223" i="1"/>
  <c r="K1223" i="1"/>
  <c r="J1223" i="1"/>
  <c r="I1223" i="1"/>
  <c r="H1223" i="1"/>
  <c r="G1223" i="1"/>
  <c r="F1223" i="1"/>
  <c r="E1223" i="1"/>
  <c r="D1223" i="1"/>
  <c r="C1223" i="1"/>
  <c r="B1223" i="1"/>
  <c r="A1223" i="1"/>
  <c r="N1222" i="1"/>
  <c r="M1222" i="1"/>
  <c r="L1222" i="1"/>
  <c r="J1222" i="1"/>
  <c r="I1222" i="1"/>
  <c r="H1222" i="1"/>
  <c r="G1222" i="1"/>
  <c r="E1222" i="1"/>
  <c r="D1222" i="1"/>
  <c r="C1222" i="1"/>
  <c r="B1222" i="1"/>
  <c r="A1222" i="1"/>
  <c r="N1221" i="1"/>
  <c r="M1221" i="1"/>
  <c r="L1221" i="1"/>
  <c r="K1221" i="1"/>
  <c r="J1221" i="1"/>
  <c r="I1221" i="1"/>
  <c r="H1221" i="1"/>
  <c r="G1221" i="1"/>
  <c r="E1221" i="1"/>
  <c r="D1221" i="1"/>
  <c r="C1221" i="1"/>
  <c r="B1221" i="1"/>
  <c r="A1221" i="1"/>
  <c r="N1220" i="1"/>
  <c r="M1220" i="1"/>
  <c r="L1220" i="1"/>
  <c r="K1220" i="1"/>
  <c r="J1220" i="1"/>
  <c r="I1220" i="1"/>
  <c r="H1220" i="1"/>
  <c r="G1220" i="1"/>
  <c r="F1220" i="1"/>
  <c r="E1220" i="1"/>
  <c r="D1220" i="1"/>
  <c r="C1220" i="1"/>
  <c r="B1220" i="1"/>
  <c r="A1220" i="1"/>
  <c r="O1219" i="1"/>
  <c r="N1219" i="1"/>
  <c r="M1219" i="1"/>
  <c r="L1219" i="1"/>
  <c r="K1219" i="1"/>
  <c r="J1219" i="1"/>
  <c r="I1219" i="1"/>
  <c r="H1219" i="1"/>
  <c r="G1219" i="1"/>
  <c r="E1219" i="1"/>
  <c r="D1219" i="1"/>
  <c r="C1219" i="1"/>
  <c r="B1219" i="1"/>
  <c r="A1219" i="1"/>
  <c r="N1218" i="1"/>
  <c r="M1218" i="1"/>
  <c r="L1218" i="1"/>
  <c r="K1218" i="1"/>
  <c r="J1218" i="1"/>
  <c r="H1218" i="1"/>
  <c r="G1218" i="1"/>
  <c r="E1218" i="1"/>
  <c r="D1218" i="1"/>
  <c r="C1218" i="1"/>
  <c r="B1218" i="1"/>
  <c r="A1218" i="1"/>
  <c r="O1217" i="1"/>
  <c r="N1217" i="1"/>
  <c r="M1217" i="1"/>
  <c r="L1217" i="1"/>
  <c r="K1217" i="1"/>
  <c r="J1217" i="1"/>
  <c r="I1217" i="1"/>
  <c r="H1217" i="1"/>
  <c r="G1217" i="1"/>
  <c r="F1217" i="1"/>
  <c r="E1217" i="1"/>
  <c r="D1217" i="1"/>
  <c r="C1217" i="1"/>
  <c r="B1217" i="1"/>
  <c r="A1217" i="1"/>
  <c r="N1216" i="1"/>
  <c r="M1216" i="1"/>
  <c r="L1216" i="1"/>
  <c r="K1216" i="1"/>
  <c r="J1216" i="1"/>
  <c r="H1216" i="1"/>
  <c r="G1216" i="1"/>
  <c r="F1216" i="1"/>
  <c r="E1216" i="1"/>
  <c r="D1216" i="1"/>
  <c r="C1216" i="1"/>
  <c r="B1216" i="1"/>
  <c r="A1216" i="1"/>
  <c r="N1215" i="1"/>
  <c r="M1215" i="1"/>
  <c r="L1215" i="1"/>
  <c r="K1215" i="1"/>
  <c r="J1215" i="1"/>
  <c r="H1215" i="1"/>
  <c r="G1215" i="1"/>
  <c r="E1215" i="1"/>
  <c r="D1215" i="1"/>
  <c r="C1215" i="1"/>
  <c r="B1215" i="1"/>
  <c r="A1215" i="1"/>
  <c r="N1214" i="1"/>
  <c r="M1214" i="1"/>
  <c r="L1214" i="1"/>
  <c r="K1214" i="1"/>
  <c r="J1214" i="1"/>
  <c r="H1214" i="1"/>
  <c r="G1214" i="1"/>
  <c r="E1214" i="1"/>
  <c r="D1214" i="1"/>
  <c r="C1214" i="1"/>
  <c r="B1214" i="1"/>
  <c r="A1214" i="1"/>
  <c r="N1213" i="1"/>
  <c r="M1213" i="1"/>
  <c r="L1213" i="1"/>
  <c r="K1213" i="1"/>
  <c r="J1213" i="1"/>
  <c r="I1213" i="1"/>
  <c r="H1213" i="1"/>
  <c r="G1213" i="1"/>
  <c r="F1213" i="1"/>
  <c r="E1213" i="1"/>
  <c r="D1213" i="1"/>
  <c r="C1213" i="1"/>
  <c r="B1213" i="1"/>
  <c r="A1213" i="1"/>
  <c r="N1212" i="1"/>
  <c r="M1212" i="1"/>
  <c r="L1212" i="1"/>
  <c r="K1212" i="1"/>
  <c r="J1212" i="1"/>
  <c r="I1212" i="1"/>
  <c r="H1212" i="1"/>
  <c r="G1212" i="1"/>
  <c r="F1212" i="1"/>
  <c r="E1212" i="1"/>
  <c r="D1212" i="1"/>
  <c r="C1212" i="1"/>
  <c r="B1212" i="1"/>
  <c r="A1212" i="1"/>
  <c r="N1211" i="1"/>
  <c r="M1211" i="1"/>
  <c r="L1211" i="1"/>
  <c r="K1211" i="1"/>
  <c r="J1211" i="1"/>
  <c r="H1211" i="1"/>
  <c r="G1211" i="1"/>
  <c r="F1211" i="1"/>
  <c r="E1211" i="1"/>
  <c r="D1211" i="1"/>
  <c r="C1211" i="1"/>
  <c r="B1211" i="1"/>
  <c r="A1211" i="1"/>
  <c r="O1210" i="1"/>
  <c r="N1210" i="1"/>
  <c r="M1210" i="1"/>
  <c r="L1210" i="1"/>
  <c r="J1210" i="1"/>
  <c r="I1210" i="1"/>
  <c r="H1210" i="1"/>
  <c r="G1210" i="1"/>
  <c r="E1210" i="1"/>
  <c r="D1210" i="1"/>
  <c r="C1210" i="1"/>
  <c r="B1210" i="1"/>
  <c r="A1210" i="1"/>
  <c r="O1209" i="1"/>
  <c r="N1209" i="1"/>
  <c r="M1209" i="1"/>
  <c r="L1209" i="1"/>
  <c r="J1209" i="1"/>
  <c r="I1209" i="1"/>
  <c r="H1209" i="1"/>
  <c r="G1209" i="1"/>
  <c r="F1209" i="1"/>
  <c r="E1209" i="1"/>
  <c r="D1209" i="1"/>
  <c r="C1209" i="1"/>
  <c r="B1209" i="1"/>
  <c r="A1209" i="1"/>
  <c r="O1208" i="1"/>
  <c r="N1208" i="1"/>
  <c r="M1208" i="1"/>
  <c r="L1208" i="1"/>
  <c r="K1208" i="1"/>
  <c r="J1208" i="1"/>
  <c r="I1208" i="1"/>
  <c r="H1208" i="1"/>
  <c r="G1208" i="1"/>
  <c r="F1208" i="1"/>
  <c r="E1208" i="1"/>
  <c r="D1208" i="1"/>
  <c r="C1208" i="1"/>
  <c r="B1208" i="1"/>
  <c r="A1208" i="1"/>
  <c r="O1207" i="1"/>
  <c r="N1207" i="1"/>
  <c r="M1207" i="1"/>
  <c r="L1207" i="1"/>
  <c r="K1207" i="1"/>
  <c r="J1207" i="1"/>
  <c r="I1207" i="1"/>
  <c r="H1207" i="1"/>
  <c r="G1207" i="1"/>
  <c r="F1207" i="1"/>
  <c r="E1207" i="1"/>
  <c r="D1207" i="1"/>
  <c r="C1207" i="1"/>
  <c r="B1207" i="1"/>
  <c r="A1207" i="1"/>
  <c r="O1206" i="1"/>
  <c r="N1206" i="1"/>
  <c r="M1206" i="1"/>
  <c r="L1206" i="1"/>
  <c r="K1206" i="1"/>
  <c r="J1206" i="1"/>
  <c r="I1206" i="1"/>
  <c r="H1206" i="1"/>
  <c r="G1206" i="1"/>
  <c r="E1206" i="1"/>
  <c r="D1206" i="1"/>
  <c r="C1206" i="1"/>
  <c r="B1206" i="1"/>
  <c r="A1206" i="1"/>
  <c r="O1205" i="1"/>
  <c r="N1205" i="1"/>
  <c r="M1205" i="1"/>
  <c r="L1205" i="1"/>
  <c r="K1205" i="1"/>
  <c r="J1205" i="1"/>
  <c r="I1205" i="1"/>
  <c r="H1205" i="1"/>
  <c r="G1205" i="1"/>
  <c r="F1205" i="1"/>
  <c r="E1205" i="1"/>
  <c r="D1205" i="1"/>
  <c r="C1205" i="1"/>
  <c r="B1205" i="1"/>
  <c r="A1205" i="1"/>
  <c r="O1204" i="1"/>
  <c r="N1204" i="1"/>
  <c r="M1204" i="1"/>
  <c r="L1204" i="1"/>
  <c r="K1204" i="1"/>
  <c r="J1204" i="1"/>
  <c r="I1204" i="1"/>
  <c r="H1204" i="1"/>
  <c r="G1204" i="1"/>
  <c r="F1204" i="1"/>
  <c r="E1204" i="1"/>
  <c r="D1204" i="1"/>
  <c r="C1204" i="1"/>
  <c r="B1204" i="1"/>
  <c r="A1204" i="1"/>
  <c r="O1203" i="1"/>
  <c r="N1203" i="1"/>
  <c r="M1203" i="1"/>
  <c r="L1203" i="1"/>
  <c r="K1203" i="1"/>
  <c r="J1203" i="1"/>
  <c r="H1203" i="1"/>
  <c r="G1203" i="1"/>
  <c r="F1203" i="1"/>
  <c r="E1203" i="1"/>
  <c r="D1203" i="1"/>
  <c r="C1203" i="1"/>
  <c r="B1203" i="1"/>
  <c r="A1203" i="1"/>
  <c r="N1202" i="1"/>
  <c r="M1202" i="1"/>
  <c r="L1202" i="1"/>
  <c r="K1202" i="1"/>
  <c r="J1202" i="1"/>
  <c r="I1202" i="1"/>
  <c r="H1202" i="1"/>
  <c r="G1202" i="1"/>
  <c r="F1202" i="1"/>
  <c r="E1202" i="1"/>
  <c r="D1202" i="1"/>
  <c r="C1202" i="1"/>
  <c r="B1202" i="1"/>
  <c r="A1202" i="1"/>
  <c r="N1201" i="1"/>
  <c r="M1201" i="1"/>
  <c r="L1201" i="1"/>
  <c r="K1201" i="1"/>
  <c r="J1201" i="1"/>
  <c r="H1201" i="1"/>
  <c r="G1201" i="1"/>
  <c r="E1201" i="1"/>
  <c r="D1201" i="1"/>
  <c r="C1201" i="1"/>
  <c r="B1201" i="1"/>
  <c r="A1201" i="1"/>
  <c r="N1200" i="1"/>
  <c r="M1200" i="1"/>
  <c r="L1200" i="1"/>
  <c r="K1200" i="1"/>
  <c r="J1200" i="1"/>
  <c r="I1200" i="1"/>
  <c r="H1200" i="1"/>
  <c r="G1200" i="1"/>
  <c r="E1200" i="1"/>
  <c r="D1200" i="1"/>
  <c r="C1200" i="1"/>
  <c r="B1200" i="1"/>
  <c r="A1200" i="1"/>
  <c r="N1199" i="1"/>
  <c r="M1199" i="1"/>
  <c r="L1199" i="1"/>
  <c r="K1199" i="1"/>
  <c r="J1199" i="1"/>
  <c r="H1199" i="1"/>
  <c r="G1199" i="1"/>
  <c r="E1199" i="1"/>
  <c r="D1199" i="1"/>
  <c r="C1199" i="1"/>
  <c r="B1199" i="1"/>
  <c r="A1199" i="1"/>
  <c r="O1198" i="1"/>
  <c r="N1198" i="1"/>
  <c r="M1198" i="1"/>
  <c r="L1198" i="1"/>
  <c r="J1198" i="1"/>
  <c r="I1198" i="1"/>
  <c r="H1198" i="1"/>
  <c r="G1198" i="1"/>
  <c r="E1198" i="1"/>
  <c r="D1198" i="1"/>
  <c r="B1198" i="1"/>
  <c r="A1198" i="1"/>
  <c r="N1197" i="1"/>
  <c r="M1197" i="1"/>
  <c r="L1197" i="1"/>
  <c r="K1197" i="1"/>
  <c r="J1197" i="1"/>
  <c r="I1197" i="1"/>
  <c r="H1197" i="1"/>
  <c r="G1197" i="1"/>
  <c r="E1197" i="1"/>
  <c r="D1197" i="1"/>
  <c r="C1197" i="1"/>
  <c r="B1197" i="1"/>
  <c r="A1197" i="1"/>
  <c r="N1196" i="1"/>
  <c r="M1196" i="1"/>
  <c r="L1196" i="1"/>
  <c r="K1196" i="1"/>
  <c r="J1196" i="1"/>
  <c r="H1196" i="1"/>
  <c r="G1196" i="1"/>
  <c r="E1196" i="1"/>
  <c r="D1196" i="1"/>
  <c r="C1196" i="1"/>
  <c r="B1196" i="1"/>
  <c r="A1196" i="1"/>
  <c r="N1195" i="1"/>
  <c r="M1195" i="1"/>
  <c r="L1195" i="1"/>
  <c r="K1195" i="1"/>
  <c r="J1195" i="1"/>
  <c r="H1195" i="1"/>
  <c r="G1195" i="1"/>
  <c r="E1195" i="1"/>
  <c r="D1195" i="1"/>
  <c r="C1195" i="1"/>
  <c r="B1195" i="1"/>
  <c r="A1195" i="1"/>
  <c r="N1194" i="1"/>
  <c r="M1194" i="1"/>
  <c r="L1194" i="1"/>
  <c r="K1194" i="1"/>
  <c r="J1194" i="1"/>
  <c r="H1194" i="1"/>
  <c r="G1194" i="1"/>
  <c r="F1194" i="1"/>
  <c r="E1194" i="1"/>
  <c r="D1194" i="1"/>
  <c r="C1194" i="1"/>
  <c r="B1194" i="1"/>
  <c r="A1194" i="1"/>
  <c r="N1193" i="1"/>
  <c r="M1193" i="1"/>
  <c r="L1193" i="1"/>
  <c r="K1193" i="1"/>
  <c r="J1193" i="1"/>
  <c r="I1193" i="1"/>
  <c r="H1193" i="1"/>
  <c r="G1193" i="1"/>
  <c r="E1193" i="1"/>
  <c r="D1193" i="1"/>
  <c r="C1193" i="1"/>
  <c r="B1193" i="1"/>
  <c r="A1193" i="1"/>
  <c r="O1192" i="1"/>
  <c r="N1192" i="1"/>
  <c r="M1192" i="1"/>
  <c r="L1192" i="1"/>
  <c r="J1192" i="1"/>
  <c r="H1192" i="1"/>
  <c r="G1192" i="1"/>
  <c r="E1192" i="1"/>
  <c r="D1192" i="1"/>
  <c r="B1192" i="1"/>
  <c r="A1192" i="1"/>
  <c r="N1191" i="1"/>
  <c r="M1191" i="1"/>
  <c r="L1191" i="1"/>
  <c r="K1191" i="1"/>
  <c r="J1191" i="1"/>
  <c r="I1191" i="1"/>
  <c r="H1191" i="1"/>
  <c r="G1191" i="1"/>
  <c r="E1191" i="1"/>
  <c r="D1191" i="1"/>
  <c r="B1191" i="1"/>
  <c r="A1191" i="1"/>
  <c r="N1190" i="1"/>
  <c r="M1190" i="1"/>
  <c r="L1190" i="1"/>
  <c r="J1190" i="1"/>
  <c r="I1190" i="1"/>
  <c r="H1190" i="1"/>
  <c r="G1190" i="1"/>
  <c r="E1190" i="1"/>
  <c r="D1190" i="1"/>
  <c r="C1190" i="1"/>
  <c r="B1190" i="1"/>
  <c r="A1190" i="1"/>
  <c r="N1189" i="1"/>
  <c r="M1189" i="1"/>
  <c r="L1189" i="1"/>
  <c r="J1189" i="1"/>
  <c r="H1189" i="1"/>
  <c r="G1189" i="1"/>
  <c r="E1189" i="1"/>
  <c r="D1189" i="1"/>
  <c r="C1189" i="1"/>
  <c r="B1189" i="1"/>
  <c r="A1189" i="1"/>
  <c r="N1188" i="1"/>
  <c r="M1188" i="1"/>
  <c r="L1188" i="1"/>
  <c r="H1188" i="1"/>
  <c r="G1188" i="1"/>
  <c r="E1188" i="1"/>
  <c r="D1188" i="1"/>
  <c r="B1188" i="1"/>
  <c r="A1188" i="1"/>
  <c r="O1187" i="1"/>
  <c r="N1187" i="1"/>
  <c r="M1187" i="1"/>
  <c r="L1187" i="1"/>
  <c r="K1187" i="1"/>
  <c r="J1187" i="1"/>
  <c r="I1187" i="1"/>
  <c r="H1187" i="1"/>
  <c r="G1187" i="1"/>
  <c r="E1187" i="1"/>
  <c r="D1187" i="1"/>
  <c r="C1187" i="1"/>
  <c r="B1187" i="1"/>
  <c r="A1187" i="1"/>
  <c r="N1186" i="1"/>
  <c r="M1186" i="1"/>
  <c r="L1186" i="1"/>
  <c r="K1186" i="1"/>
  <c r="J1186" i="1"/>
  <c r="H1186" i="1"/>
  <c r="G1186" i="1"/>
  <c r="E1186" i="1"/>
  <c r="D1186" i="1"/>
  <c r="C1186" i="1"/>
  <c r="B1186" i="1"/>
  <c r="A1186" i="1"/>
  <c r="O1185" i="1"/>
  <c r="N1185" i="1"/>
  <c r="M1185" i="1"/>
  <c r="L1185" i="1"/>
  <c r="K1185" i="1"/>
  <c r="J1185" i="1"/>
  <c r="I1185" i="1"/>
  <c r="H1185" i="1"/>
  <c r="G1185" i="1"/>
  <c r="F1185" i="1"/>
  <c r="E1185" i="1"/>
  <c r="D1185" i="1"/>
  <c r="C1185" i="1"/>
  <c r="B1185" i="1"/>
  <c r="A1185" i="1"/>
  <c r="N1184" i="1"/>
  <c r="M1184" i="1"/>
  <c r="L1184" i="1"/>
  <c r="K1184" i="1"/>
  <c r="J1184" i="1"/>
  <c r="H1184" i="1"/>
  <c r="G1184" i="1"/>
  <c r="F1184" i="1"/>
  <c r="E1184" i="1"/>
  <c r="D1184" i="1"/>
  <c r="B1184" i="1"/>
  <c r="A1184" i="1"/>
  <c r="N1183" i="1"/>
  <c r="M1183" i="1"/>
  <c r="L1183" i="1"/>
  <c r="K1183" i="1"/>
  <c r="J1183" i="1"/>
  <c r="H1183" i="1"/>
  <c r="G1183" i="1"/>
  <c r="E1183" i="1"/>
  <c r="D1183" i="1"/>
  <c r="B1183" i="1"/>
  <c r="A1183" i="1"/>
  <c r="O1182" i="1"/>
  <c r="N1182" i="1"/>
  <c r="M1182" i="1"/>
  <c r="L1182" i="1"/>
  <c r="J1182" i="1"/>
  <c r="I1182" i="1"/>
  <c r="H1182" i="1"/>
  <c r="G1182" i="1"/>
  <c r="E1182" i="1"/>
  <c r="D1182" i="1"/>
  <c r="C1182" i="1"/>
  <c r="B1182" i="1"/>
  <c r="A1182" i="1"/>
  <c r="O1181" i="1"/>
  <c r="N1181" i="1"/>
  <c r="M1181" i="1"/>
  <c r="L1181" i="1"/>
  <c r="J1181" i="1"/>
  <c r="I1181" i="1"/>
  <c r="H1181" i="1"/>
  <c r="G1181" i="1"/>
  <c r="E1181" i="1"/>
  <c r="D1181" i="1"/>
  <c r="C1181" i="1"/>
  <c r="B1181" i="1"/>
  <c r="A1181" i="1"/>
  <c r="N1180" i="1"/>
  <c r="M1180" i="1"/>
  <c r="L1180" i="1"/>
  <c r="J1180" i="1"/>
  <c r="I1180" i="1"/>
  <c r="H1180" i="1"/>
  <c r="G1180" i="1"/>
  <c r="E1180" i="1"/>
  <c r="D1180" i="1"/>
  <c r="C1180" i="1"/>
  <c r="B1180" i="1"/>
  <c r="A1180" i="1"/>
  <c r="O1179" i="1"/>
  <c r="N1179" i="1"/>
  <c r="M1179" i="1"/>
  <c r="L1179" i="1"/>
  <c r="K1179" i="1"/>
  <c r="J1179" i="1"/>
  <c r="I1179" i="1"/>
  <c r="H1179" i="1"/>
  <c r="G1179" i="1"/>
  <c r="E1179" i="1"/>
  <c r="D1179" i="1"/>
  <c r="C1179" i="1"/>
  <c r="B1179" i="1"/>
  <c r="A1179" i="1"/>
  <c r="N1178" i="1"/>
  <c r="M1178" i="1"/>
  <c r="L1178" i="1"/>
  <c r="H1178" i="1"/>
  <c r="G1178" i="1"/>
  <c r="E1178" i="1"/>
  <c r="D1178" i="1"/>
  <c r="C1178" i="1"/>
  <c r="B1178" i="1"/>
  <c r="A1178" i="1"/>
  <c r="N1177" i="1"/>
  <c r="M1177" i="1"/>
  <c r="L1177" i="1"/>
  <c r="K1177" i="1"/>
  <c r="J1177" i="1"/>
  <c r="H1177" i="1"/>
  <c r="G1177" i="1"/>
  <c r="F1177" i="1"/>
  <c r="D1177" i="1"/>
  <c r="A1177" i="1"/>
  <c r="N1176" i="1"/>
  <c r="M1176" i="1"/>
  <c r="L1176" i="1"/>
  <c r="J1176" i="1"/>
  <c r="I1176" i="1"/>
  <c r="H1176" i="1"/>
  <c r="G1176" i="1"/>
  <c r="F1176" i="1"/>
  <c r="E1176" i="1"/>
  <c r="D1176" i="1"/>
  <c r="C1176" i="1"/>
  <c r="B1176" i="1"/>
  <c r="A1176" i="1"/>
  <c r="N1175" i="1"/>
  <c r="M1175" i="1"/>
  <c r="L1175" i="1"/>
  <c r="J1175" i="1"/>
  <c r="H1175" i="1"/>
  <c r="G1175" i="1"/>
  <c r="F1175" i="1"/>
  <c r="E1175" i="1"/>
  <c r="D1175" i="1"/>
  <c r="B1175" i="1"/>
  <c r="A1175" i="1"/>
  <c r="N1174" i="1"/>
  <c r="M1174" i="1"/>
  <c r="L1174" i="1"/>
  <c r="K1174" i="1"/>
  <c r="J1174" i="1"/>
  <c r="H1174" i="1"/>
  <c r="G1174" i="1"/>
  <c r="F1174" i="1"/>
  <c r="E1174" i="1"/>
  <c r="D1174" i="1"/>
  <c r="C1174" i="1"/>
  <c r="B1174" i="1"/>
  <c r="A1174" i="1"/>
  <c r="N1173" i="1"/>
  <c r="M1173" i="1"/>
  <c r="L1173" i="1"/>
  <c r="J1173" i="1"/>
  <c r="I1173" i="1"/>
  <c r="H1173" i="1"/>
  <c r="G1173" i="1"/>
  <c r="F1173" i="1"/>
  <c r="E1173" i="1"/>
  <c r="D1173" i="1"/>
  <c r="C1173" i="1"/>
  <c r="B1173" i="1"/>
  <c r="A1173" i="1"/>
  <c r="N1172" i="1"/>
  <c r="M1172" i="1"/>
  <c r="L1172" i="1"/>
  <c r="K1172" i="1"/>
  <c r="J1172" i="1"/>
  <c r="I1172" i="1"/>
  <c r="H1172" i="1"/>
  <c r="G1172" i="1"/>
  <c r="F1172" i="1"/>
  <c r="E1172" i="1"/>
  <c r="D1172" i="1"/>
  <c r="C1172" i="1"/>
  <c r="B1172" i="1"/>
  <c r="A1172" i="1"/>
  <c r="N1171" i="1"/>
  <c r="M1171" i="1"/>
  <c r="L1171" i="1"/>
  <c r="K1171" i="1"/>
  <c r="J1171" i="1"/>
  <c r="I1171" i="1"/>
  <c r="H1171" i="1"/>
  <c r="G1171" i="1"/>
  <c r="E1171" i="1"/>
  <c r="D1171" i="1"/>
  <c r="C1171" i="1"/>
  <c r="B1171" i="1"/>
  <c r="A1171" i="1"/>
  <c r="O1170" i="1"/>
  <c r="N1170" i="1"/>
  <c r="M1170" i="1"/>
  <c r="L1170" i="1"/>
  <c r="J1170" i="1"/>
  <c r="I1170" i="1"/>
  <c r="H1170" i="1"/>
  <c r="G1170" i="1"/>
  <c r="E1170" i="1"/>
  <c r="D1170" i="1"/>
  <c r="C1170" i="1"/>
  <c r="B1170" i="1"/>
  <c r="A1170" i="1"/>
  <c r="N1169" i="1"/>
  <c r="M1169" i="1"/>
  <c r="L1169" i="1"/>
  <c r="J1169" i="1"/>
  <c r="I1169" i="1"/>
  <c r="H1169" i="1"/>
  <c r="G1169" i="1"/>
  <c r="E1169" i="1"/>
  <c r="D1169" i="1"/>
  <c r="C1169" i="1"/>
  <c r="B1169" i="1"/>
  <c r="A1169" i="1"/>
  <c r="N1168" i="1"/>
  <c r="M1168" i="1"/>
  <c r="L1168" i="1"/>
  <c r="K1168" i="1"/>
  <c r="J1168" i="1"/>
  <c r="I1168" i="1"/>
  <c r="H1168" i="1"/>
  <c r="G1168" i="1"/>
  <c r="E1168" i="1"/>
  <c r="D1168" i="1"/>
  <c r="C1168" i="1"/>
  <c r="B1168" i="1"/>
  <c r="A1168" i="1"/>
  <c r="O1167" i="1"/>
  <c r="N1167" i="1"/>
  <c r="M1167" i="1"/>
  <c r="L1167" i="1"/>
  <c r="K1167" i="1"/>
  <c r="J1167" i="1"/>
  <c r="I1167" i="1"/>
  <c r="H1167" i="1"/>
  <c r="G1167" i="1"/>
  <c r="E1167" i="1"/>
  <c r="D1167" i="1"/>
  <c r="B1167" i="1"/>
  <c r="A1167" i="1"/>
  <c r="N1166" i="1"/>
  <c r="M1166" i="1"/>
  <c r="L1166" i="1"/>
  <c r="J1166" i="1"/>
  <c r="I1166" i="1"/>
  <c r="H1166" i="1"/>
  <c r="G1166" i="1"/>
  <c r="E1166" i="1"/>
  <c r="D1166" i="1"/>
  <c r="C1166" i="1"/>
  <c r="B1166" i="1"/>
  <c r="A1166" i="1"/>
  <c r="N1165" i="1"/>
  <c r="M1165" i="1"/>
  <c r="L1165" i="1"/>
  <c r="J1165" i="1"/>
  <c r="I1165" i="1"/>
  <c r="H1165" i="1"/>
  <c r="G1165" i="1"/>
  <c r="E1165" i="1"/>
  <c r="D1165" i="1"/>
  <c r="C1165" i="1"/>
  <c r="B1165" i="1"/>
  <c r="A1165" i="1"/>
  <c r="N1164" i="1"/>
  <c r="M1164" i="1"/>
  <c r="L1164" i="1"/>
  <c r="K1164" i="1"/>
  <c r="J1164" i="1"/>
  <c r="I1164" i="1"/>
  <c r="H1164" i="1"/>
  <c r="G1164" i="1"/>
  <c r="E1164" i="1"/>
  <c r="D1164" i="1"/>
  <c r="C1164" i="1"/>
  <c r="B1164" i="1"/>
  <c r="A1164" i="1"/>
  <c r="N1163" i="1"/>
  <c r="M1163" i="1"/>
  <c r="L1163" i="1"/>
  <c r="K1163" i="1"/>
  <c r="J1163" i="1"/>
  <c r="I1163" i="1"/>
  <c r="H1163" i="1"/>
  <c r="G1163" i="1"/>
  <c r="E1163" i="1"/>
  <c r="D1163" i="1"/>
  <c r="C1163" i="1"/>
  <c r="B1163" i="1"/>
  <c r="A1163" i="1"/>
  <c r="N1162" i="1"/>
  <c r="M1162" i="1"/>
  <c r="L1162" i="1"/>
  <c r="K1162" i="1"/>
  <c r="J1162" i="1"/>
  <c r="I1162" i="1"/>
  <c r="H1162" i="1"/>
  <c r="G1162" i="1"/>
  <c r="E1162" i="1"/>
  <c r="D1162" i="1"/>
  <c r="C1162" i="1"/>
  <c r="B1162" i="1"/>
  <c r="A1162" i="1"/>
  <c r="O1161" i="1"/>
  <c r="N1161" i="1"/>
  <c r="M1161" i="1"/>
  <c r="L1161" i="1"/>
  <c r="K1161" i="1"/>
  <c r="J1161" i="1"/>
  <c r="I1161" i="1"/>
  <c r="H1161" i="1"/>
  <c r="G1161" i="1"/>
  <c r="E1161" i="1"/>
  <c r="D1161" i="1"/>
  <c r="B1161" i="1"/>
  <c r="A1161" i="1"/>
  <c r="N1160" i="1"/>
  <c r="M1160" i="1"/>
  <c r="L1160" i="1"/>
  <c r="K1160" i="1"/>
  <c r="J1160" i="1"/>
  <c r="I1160" i="1"/>
  <c r="H1160" i="1"/>
  <c r="G1160" i="1"/>
  <c r="E1160" i="1"/>
  <c r="D1160" i="1"/>
  <c r="C1160" i="1"/>
  <c r="B1160" i="1"/>
  <c r="A1160" i="1"/>
  <c r="N1159" i="1"/>
  <c r="M1159" i="1"/>
  <c r="L1159" i="1"/>
  <c r="K1159" i="1"/>
  <c r="J1159" i="1"/>
  <c r="I1159" i="1"/>
  <c r="H1159" i="1"/>
  <c r="G1159" i="1"/>
  <c r="E1159" i="1"/>
  <c r="D1159" i="1"/>
  <c r="C1159" i="1"/>
  <c r="B1159" i="1"/>
  <c r="A1159" i="1"/>
  <c r="N1158" i="1"/>
  <c r="M1158" i="1"/>
  <c r="L1158" i="1"/>
  <c r="J1158" i="1"/>
  <c r="I1158" i="1"/>
  <c r="H1158" i="1"/>
  <c r="G1158" i="1"/>
  <c r="E1158" i="1"/>
  <c r="D1158" i="1"/>
  <c r="B1158" i="1"/>
  <c r="A1158" i="1"/>
  <c r="N1157" i="1"/>
  <c r="M1157" i="1"/>
  <c r="L1157" i="1"/>
  <c r="K1157" i="1"/>
  <c r="J1157" i="1"/>
  <c r="I1157" i="1"/>
  <c r="H1157" i="1"/>
  <c r="G1157" i="1"/>
  <c r="E1157" i="1"/>
  <c r="D1157" i="1"/>
  <c r="B1157" i="1"/>
  <c r="A1157" i="1"/>
  <c r="O1156" i="1"/>
  <c r="N1156" i="1"/>
  <c r="M1156" i="1"/>
  <c r="L1156" i="1"/>
  <c r="K1156" i="1"/>
  <c r="J1156" i="1"/>
  <c r="I1156" i="1"/>
  <c r="H1156" i="1"/>
  <c r="G1156" i="1"/>
  <c r="E1156" i="1"/>
  <c r="D1156" i="1"/>
  <c r="B1156" i="1"/>
  <c r="A1156" i="1"/>
  <c r="O1155" i="1"/>
  <c r="N1155" i="1"/>
  <c r="L1155" i="1"/>
  <c r="I1155" i="1"/>
  <c r="H1155" i="1"/>
  <c r="G1155" i="1"/>
  <c r="E1155" i="1"/>
  <c r="D1155" i="1"/>
  <c r="B1155" i="1"/>
  <c r="A1155" i="1"/>
  <c r="N1154" i="1"/>
  <c r="M1154" i="1"/>
  <c r="L1154" i="1"/>
  <c r="J1154" i="1"/>
  <c r="I1154" i="1"/>
  <c r="H1154" i="1"/>
  <c r="G1154" i="1"/>
  <c r="E1154" i="1"/>
  <c r="D1154" i="1"/>
  <c r="C1154" i="1"/>
  <c r="B1154" i="1"/>
  <c r="A1154" i="1"/>
  <c r="N1153" i="1"/>
  <c r="M1153" i="1"/>
  <c r="L1153" i="1"/>
  <c r="J1153" i="1"/>
  <c r="I1153" i="1"/>
  <c r="H1153" i="1"/>
  <c r="G1153" i="1"/>
  <c r="E1153" i="1"/>
  <c r="D1153" i="1"/>
  <c r="B1153" i="1"/>
  <c r="A1153" i="1"/>
  <c r="N1152" i="1"/>
  <c r="M1152" i="1"/>
  <c r="L1152" i="1"/>
  <c r="K1152" i="1"/>
  <c r="J1152" i="1"/>
  <c r="I1152" i="1"/>
  <c r="H1152" i="1"/>
  <c r="G1152" i="1"/>
  <c r="E1152" i="1"/>
  <c r="D1152" i="1"/>
  <c r="B1152" i="1"/>
  <c r="A1152" i="1"/>
  <c r="N1151" i="1"/>
  <c r="M1151" i="1"/>
  <c r="L1151" i="1"/>
  <c r="K1151" i="1"/>
  <c r="J1151" i="1"/>
  <c r="I1151" i="1"/>
  <c r="H1151" i="1"/>
  <c r="G1151" i="1"/>
  <c r="E1151" i="1"/>
  <c r="D1151" i="1"/>
  <c r="C1151" i="1"/>
  <c r="B1151" i="1"/>
  <c r="A1151" i="1"/>
  <c r="N1150" i="1"/>
  <c r="M1150" i="1"/>
  <c r="L1150" i="1"/>
  <c r="K1150" i="1"/>
  <c r="J1150" i="1"/>
  <c r="I1150" i="1"/>
  <c r="H1150" i="1"/>
  <c r="G1150" i="1"/>
  <c r="E1150" i="1"/>
  <c r="D1150" i="1"/>
  <c r="B1150" i="1"/>
  <c r="A1150" i="1"/>
  <c r="O1149" i="1"/>
  <c r="N1149" i="1"/>
  <c r="M1149" i="1"/>
  <c r="L1149" i="1"/>
  <c r="K1149" i="1"/>
  <c r="J1149" i="1"/>
  <c r="I1149" i="1"/>
  <c r="H1149" i="1"/>
  <c r="G1149" i="1"/>
  <c r="E1149" i="1"/>
  <c r="D1149" i="1"/>
  <c r="C1149" i="1"/>
  <c r="B1149" i="1"/>
  <c r="A1149" i="1"/>
  <c r="N1148" i="1"/>
  <c r="M1148" i="1"/>
  <c r="L1148" i="1"/>
  <c r="K1148" i="1"/>
  <c r="J1148" i="1"/>
  <c r="I1148" i="1"/>
  <c r="H1148" i="1"/>
  <c r="G1148" i="1"/>
  <c r="E1148" i="1"/>
  <c r="D1148" i="1"/>
  <c r="C1148" i="1"/>
  <c r="B1148" i="1"/>
  <c r="A1148" i="1"/>
  <c r="O1147" i="1"/>
  <c r="N1147" i="1"/>
  <c r="M1147" i="1"/>
  <c r="L1147" i="1"/>
  <c r="J1147" i="1"/>
  <c r="I1147" i="1"/>
  <c r="H1147" i="1"/>
  <c r="G1147" i="1"/>
  <c r="E1147" i="1"/>
  <c r="D1147" i="1"/>
  <c r="B1147" i="1"/>
  <c r="A1147" i="1"/>
  <c r="N1146" i="1"/>
  <c r="M1146" i="1"/>
  <c r="L1146" i="1"/>
  <c r="H1146" i="1"/>
  <c r="G1146" i="1"/>
  <c r="F1146" i="1"/>
  <c r="E1146" i="1"/>
  <c r="D1146" i="1"/>
  <c r="C1146" i="1"/>
  <c r="B1146" i="1"/>
  <c r="A1146" i="1"/>
  <c r="O1145" i="1"/>
  <c r="N1145" i="1"/>
  <c r="M1145" i="1"/>
  <c r="L1145" i="1"/>
  <c r="K1145" i="1"/>
  <c r="J1145" i="1"/>
  <c r="I1145" i="1"/>
  <c r="H1145" i="1"/>
  <c r="G1145" i="1"/>
  <c r="E1145" i="1"/>
  <c r="D1145" i="1"/>
  <c r="B1145" i="1"/>
  <c r="A1145" i="1"/>
  <c r="O1144" i="1"/>
  <c r="N1144" i="1"/>
  <c r="M1144" i="1"/>
  <c r="L1144" i="1"/>
  <c r="I1144" i="1"/>
  <c r="H1144" i="1"/>
  <c r="G1144" i="1"/>
  <c r="F1144" i="1"/>
  <c r="E1144" i="1"/>
  <c r="D1144" i="1"/>
  <c r="B1144" i="1"/>
  <c r="A1144" i="1"/>
  <c r="O1143" i="1"/>
  <c r="N1143" i="1"/>
  <c r="M1143" i="1"/>
  <c r="L1143" i="1"/>
  <c r="J1143" i="1"/>
  <c r="I1143" i="1"/>
  <c r="H1143" i="1"/>
  <c r="G1143" i="1"/>
  <c r="E1143" i="1"/>
  <c r="D1143" i="1"/>
  <c r="C1143" i="1"/>
  <c r="B1143" i="1"/>
  <c r="A1143" i="1"/>
  <c r="N1142" i="1"/>
  <c r="M1142" i="1"/>
  <c r="L1142" i="1"/>
  <c r="K1142" i="1"/>
  <c r="J1142" i="1"/>
  <c r="I1142" i="1"/>
  <c r="H1142" i="1"/>
  <c r="G1142" i="1"/>
  <c r="E1142" i="1"/>
  <c r="D1142" i="1"/>
  <c r="C1142" i="1"/>
  <c r="B1142" i="1"/>
  <c r="A1142" i="1"/>
  <c r="N1141" i="1"/>
  <c r="M1141" i="1"/>
  <c r="L1141" i="1"/>
  <c r="K1141" i="1"/>
  <c r="J1141" i="1"/>
  <c r="I1141" i="1"/>
  <c r="H1141" i="1"/>
  <c r="G1141" i="1"/>
  <c r="E1141" i="1"/>
  <c r="D1141" i="1"/>
  <c r="C1141" i="1"/>
  <c r="B1141" i="1"/>
  <c r="A1141" i="1"/>
  <c r="N1140" i="1"/>
  <c r="M1140" i="1"/>
  <c r="L1140" i="1"/>
  <c r="K1140" i="1"/>
  <c r="J1140" i="1"/>
  <c r="I1140" i="1"/>
  <c r="H1140" i="1"/>
  <c r="G1140" i="1"/>
  <c r="E1140" i="1"/>
  <c r="D1140" i="1"/>
  <c r="B1140" i="1"/>
  <c r="A1140" i="1"/>
  <c r="N1139" i="1"/>
  <c r="M1139" i="1"/>
  <c r="L1139" i="1"/>
  <c r="J1139" i="1"/>
  <c r="I1139" i="1"/>
  <c r="H1139" i="1"/>
  <c r="G1139" i="1"/>
  <c r="E1139" i="1"/>
  <c r="D1139" i="1"/>
  <c r="B1139" i="1"/>
  <c r="A1139" i="1"/>
  <c r="N1138" i="1"/>
  <c r="M1138" i="1"/>
  <c r="L1138" i="1"/>
  <c r="J1138" i="1"/>
  <c r="I1138" i="1"/>
  <c r="H1138" i="1"/>
  <c r="G1138" i="1"/>
  <c r="E1138" i="1"/>
  <c r="D1138" i="1"/>
  <c r="C1138" i="1"/>
  <c r="B1138" i="1"/>
  <c r="A1138" i="1"/>
  <c r="N1137" i="1"/>
  <c r="M1137" i="1"/>
  <c r="L1137" i="1"/>
  <c r="J1137" i="1"/>
  <c r="I1137" i="1"/>
  <c r="H1137" i="1"/>
  <c r="G1137" i="1"/>
  <c r="E1137" i="1"/>
  <c r="D1137" i="1"/>
  <c r="B1137" i="1"/>
  <c r="A1137" i="1"/>
  <c r="N1136" i="1"/>
  <c r="L1136" i="1"/>
  <c r="K1136" i="1"/>
  <c r="J1136" i="1"/>
  <c r="I1136" i="1"/>
  <c r="H1136" i="1"/>
  <c r="G1136" i="1"/>
  <c r="E1136" i="1"/>
  <c r="D1136" i="1"/>
  <c r="C1136" i="1"/>
  <c r="B1136" i="1"/>
  <c r="A1136" i="1"/>
  <c r="N1135" i="1"/>
  <c r="M1135" i="1"/>
  <c r="L1135" i="1"/>
  <c r="J1135" i="1"/>
  <c r="I1135" i="1"/>
  <c r="H1135" i="1"/>
  <c r="G1135" i="1"/>
  <c r="E1135" i="1"/>
  <c r="D1135" i="1"/>
  <c r="B1135" i="1"/>
  <c r="A1135" i="1"/>
  <c r="N1134" i="1"/>
  <c r="M1134" i="1"/>
  <c r="L1134" i="1"/>
  <c r="J1134" i="1"/>
  <c r="I1134" i="1"/>
  <c r="H1134" i="1"/>
  <c r="G1134" i="1"/>
  <c r="E1134" i="1"/>
  <c r="D1134" i="1"/>
  <c r="B1134" i="1"/>
  <c r="A1134" i="1"/>
  <c r="N1133" i="1"/>
  <c r="M1133" i="1"/>
  <c r="L1133" i="1"/>
  <c r="J1133" i="1"/>
  <c r="I1133" i="1"/>
  <c r="H1133" i="1"/>
  <c r="G1133" i="1"/>
  <c r="E1133" i="1"/>
  <c r="D1133" i="1"/>
  <c r="B1133" i="1"/>
  <c r="A1133" i="1"/>
  <c r="N1132" i="1"/>
  <c r="M1132" i="1"/>
  <c r="L1132" i="1"/>
  <c r="J1132" i="1"/>
  <c r="I1132" i="1"/>
  <c r="H1132" i="1"/>
  <c r="G1132" i="1"/>
  <c r="E1132" i="1"/>
  <c r="D1132" i="1"/>
  <c r="B1132" i="1"/>
  <c r="A1132" i="1"/>
  <c r="O1131" i="1"/>
  <c r="N1131" i="1"/>
  <c r="M1131" i="1"/>
  <c r="L1131" i="1"/>
  <c r="J1131" i="1"/>
  <c r="I1131" i="1"/>
  <c r="H1131" i="1"/>
  <c r="G1131" i="1"/>
  <c r="E1131" i="1"/>
  <c r="D1131" i="1"/>
  <c r="B1131" i="1"/>
  <c r="A1131" i="1"/>
  <c r="N1130" i="1"/>
  <c r="M1130" i="1"/>
  <c r="L1130" i="1"/>
  <c r="J1130" i="1"/>
  <c r="I1130" i="1"/>
  <c r="H1130" i="1"/>
  <c r="G1130" i="1"/>
  <c r="E1130" i="1"/>
  <c r="D1130" i="1"/>
  <c r="B1130" i="1"/>
  <c r="A1130" i="1"/>
  <c r="O1129" i="1"/>
  <c r="N1129" i="1"/>
  <c r="L1129" i="1"/>
  <c r="K1129" i="1"/>
  <c r="J1129" i="1"/>
  <c r="I1129" i="1"/>
  <c r="H1129" i="1"/>
  <c r="G1129" i="1"/>
  <c r="E1129" i="1"/>
  <c r="D1129" i="1"/>
  <c r="C1129" i="1"/>
  <c r="B1129" i="1"/>
  <c r="A1129" i="1"/>
  <c r="N1128" i="1"/>
  <c r="M1128" i="1"/>
  <c r="L1128" i="1"/>
  <c r="K1128" i="1"/>
  <c r="J1128" i="1"/>
  <c r="I1128" i="1"/>
  <c r="H1128" i="1"/>
  <c r="G1128" i="1"/>
  <c r="E1128" i="1"/>
  <c r="D1128" i="1"/>
  <c r="C1128" i="1"/>
  <c r="B1128" i="1"/>
  <c r="A1128" i="1"/>
  <c r="N1127" i="1"/>
  <c r="M1127" i="1"/>
  <c r="L1127" i="1"/>
  <c r="K1127" i="1"/>
  <c r="J1127" i="1"/>
  <c r="I1127" i="1"/>
  <c r="H1127" i="1"/>
  <c r="G1127" i="1"/>
  <c r="E1127" i="1"/>
  <c r="D1127" i="1"/>
  <c r="C1127" i="1"/>
  <c r="B1127" i="1"/>
  <c r="A1127" i="1"/>
  <c r="O1126" i="1"/>
  <c r="N1126" i="1"/>
  <c r="M1126" i="1"/>
  <c r="L1126" i="1"/>
  <c r="J1126" i="1"/>
  <c r="I1126" i="1"/>
  <c r="H1126" i="1"/>
  <c r="G1126" i="1"/>
  <c r="E1126" i="1"/>
  <c r="D1126" i="1"/>
  <c r="B1126" i="1"/>
  <c r="A1126" i="1"/>
  <c r="N1125" i="1"/>
  <c r="M1125" i="1"/>
  <c r="L1125" i="1"/>
  <c r="K1125" i="1"/>
  <c r="J1125" i="1"/>
  <c r="I1125" i="1"/>
  <c r="H1125" i="1"/>
  <c r="G1125" i="1"/>
  <c r="E1125" i="1"/>
  <c r="D1125" i="1"/>
  <c r="C1125" i="1"/>
  <c r="B1125" i="1"/>
  <c r="A1125" i="1"/>
  <c r="N1124" i="1"/>
  <c r="M1124" i="1"/>
  <c r="L1124" i="1"/>
  <c r="K1124" i="1"/>
  <c r="J1124" i="1"/>
  <c r="I1124" i="1"/>
  <c r="H1124" i="1"/>
  <c r="G1124" i="1"/>
  <c r="E1124" i="1"/>
  <c r="D1124" i="1"/>
  <c r="C1124" i="1"/>
  <c r="B1124" i="1"/>
  <c r="A1124" i="1"/>
  <c r="N1123" i="1"/>
  <c r="M1123" i="1"/>
  <c r="L1123" i="1"/>
  <c r="K1123" i="1"/>
  <c r="J1123" i="1"/>
  <c r="I1123" i="1"/>
  <c r="H1123" i="1"/>
  <c r="G1123" i="1"/>
  <c r="E1123" i="1"/>
  <c r="D1123" i="1"/>
  <c r="C1123" i="1"/>
  <c r="B1123" i="1"/>
  <c r="A1123" i="1"/>
  <c r="O1122" i="1"/>
  <c r="N1122" i="1"/>
  <c r="M1122" i="1"/>
  <c r="L1122" i="1"/>
  <c r="J1122" i="1"/>
  <c r="I1122" i="1"/>
  <c r="H1122" i="1"/>
  <c r="G1122" i="1"/>
  <c r="E1122" i="1"/>
  <c r="D1122" i="1"/>
  <c r="B1122" i="1"/>
  <c r="A1122" i="1"/>
  <c r="N1121" i="1"/>
  <c r="M1121" i="1"/>
  <c r="L1121" i="1"/>
  <c r="K1121" i="1"/>
  <c r="J1121" i="1"/>
  <c r="I1121" i="1"/>
  <c r="H1121" i="1"/>
  <c r="G1121" i="1"/>
  <c r="E1121" i="1"/>
  <c r="D1121" i="1"/>
  <c r="C1121" i="1"/>
  <c r="B1121" i="1"/>
  <c r="A1121" i="1"/>
  <c r="N1120" i="1"/>
  <c r="M1120" i="1"/>
  <c r="L1120" i="1"/>
  <c r="J1120" i="1"/>
  <c r="I1120" i="1"/>
  <c r="H1120" i="1"/>
  <c r="G1120" i="1"/>
  <c r="E1120" i="1"/>
  <c r="D1120" i="1"/>
  <c r="B1120" i="1"/>
  <c r="A1120" i="1"/>
  <c r="O1119" i="1"/>
  <c r="N1119" i="1"/>
  <c r="L1119" i="1"/>
  <c r="I1119" i="1"/>
  <c r="H1119" i="1"/>
  <c r="G1119" i="1"/>
  <c r="F1119" i="1"/>
  <c r="E1119" i="1"/>
  <c r="D1119" i="1"/>
  <c r="B1119" i="1"/>
  <c r="A1119" i="1"/>
  <c r="O1118" i="1"/>
  <c r="N1118" i="1"/>
  <c r="L1118" i="1"/>
  <c r="H1118" i="1"/>
  <c r="G1118" i="1"/>
  <c r="F1118" i="1"/>
  <c r="E1118" i="1"/>
  <c r="D1118" i="1"/>
  <c r="B1118" i="1"/>
  <c r="A1118" i="1"/>
  <c r="O1117" i="1"/>
  <c r="N1117" i="1"/>
  <c r="M1117" i="1"/>
  <c r="L1117" i="1"/>
  <c r="J1117" i="1"/>
  <c r="I1117" i="1"/>
  <c r="H1117" i="1"/>
  <c r="G1117" i="1"/>
  <c r="E1117" i="1"/>
  <c r="D1117" i="1"/>
  <c r="B1117" i="1"/>
  <c r="A1117" i="1"/>
  <c r="O1116" i="1"/>
  <c r="N1116" i="1"/>
  <c r="M1116" i="1"/>
  <c r="L1116" i="1"/>
  <c r="J1116" i="1"/>
  <c r="I1116" i="1"/>
  <c r="H1116" i="1"/>
  <c r="G1116" i="1"/>
  <c r="F1116" i="1"/>
  <c r="E1116" i="1"/>
  <c r="D1116" i="1"/>
  <c r="B1116" i="1"/>
  <c r="A1116" i="1"/>
  <c r="N1115" i="1"/>
  <c r="M1115" i="1"/>
  <c r="L1115" i="1"/>
  <c r="K1115" i="1"/>
  <c r="J1115" i="1"/>
  <c r="I1115" i="1"/>
  <c r="H1115" i="1"/>
  <c r="G1115" i="1"/>
  <c r="F1115" i="1"/>
  <c r="E1115" i="1"/>
  <c r="D1115" i="1"/>
  <c r="C1115" i="1"/>
  <c r="B1115" i="1"/>
  <c r="A1115" i="1"/>
  <c r="O1114" i="1"/>
  <c r="N1114" i="1"/>
  <c r="L1114" i="1"/>
  <c r="I1114" i="1"/>
  <c r="H1114" i="1"/>
  <c r="G1114" i="1"/>
  <c r="F1114" i="1"/>
  <c r="E1114" i="1"/>
  <c r="D1114" i="1"/>
  <c r="B1114" i="1"/>
  <c r="A1114" i="1"/>
  <c r="N1113" i="1"/>
  <c r="M1113" i="1"/>
  <c r="L1113" i="1"/>
  <c r="K1113" i="1"/>
  <c r="J1113" i="1"/>
  <c r="H1113" i="1"/>
  <c r="G1113" i="1"/>
  <c r="E1113" i="1"/>
  <c r="D1113" i="1"/>
  <c r="C1113" i="1"/>
  <c r="B1113" i="1"/>
  <c r="A1113" i="1"/>
  <c r="N1112" i="1"/>
  <c r="M1112" i="1"/>
  <c r="L1112" i="1"/>
  <c r="K1112" i="1"/>
  <c r="J1112" i="1"/>
  <c r="I1112" i="1"/>
  <c r="H1112" i="1"/>
  <c r="G1112" i="1"/>
  <c r="E1112" i="1"/>
  <c r="D1112" i="1"/>
  <c r="C1112" i="1"/>
  <c r="B1112" i="1"/>
  <c r="A1112" i="1"/>
  <c r="N1111" i="1"/>
  <c r="M1111" i="1"/>
  <c r="L1111" i="1"/>
  <c r="J1111" i="1"/>
  <c r="I1111" i="1"/>
  <c r="H1111" i="1"/>
  <c r="G1111" i="1"/>
  <c r="E1111" i="1"/>
  <c r="D1111" i="1"/>
  <c r="C1111" i="1"/>
  <c r="B1111" i="1"/>
  <c r="A1111" i="1"/>
  <c r="N1110" i="1"/>
  <c r="M1110" i="1"/>
  <c r="L1110" i="1"/>
  <c r="K1110" i="1"/>
  <c r="J1110" i="1"/>
  <c r="I1110" i="1"/>
  <c r="H1110" i="1"/>
  <c r="G1110" i="1"/>
  <c r="E1110" i="1"/>
  <c r="D1110" i="1"/>
  <c r="B1110" i="1"/>
  <c r="A1110" i="1"/>
  <c r="N1109" i="1"/>
  <c r="M1109" i="1"/>
  <c r="L1109" i="1"/>
  <c r="K1109" i="1"/>
  <c r="J1109" i="1"/>
  <c r="I1109" i="1"/>
  <c r="H1109" i="1"/>
  <c r="G1109" i="1"/>
  <c r="E1109" i="1"/>
  <c r="D1109" i="1"/>
  <c r="B1109" i="1"/>
  <c r="A1109" i="1"/>
  <c r="O1108" i="1"/>
  <c r="N1108" i="1"/>
  <c r="M1108" i="1"/>
  <c r="L1108" i="1"/>
  <c r="K1108" i="1"/>
  <c r="J1108" i="1"/>
  <c r="I1108" i="1"/>
  <c r="H1108" i="1"/>
  <c r="G1108" i="1"/>
  <c r="E1108" i="1"/>
  <c r="D1108" i="1"/>
  <c r="B1108" i="1"/>
  <c r="A1108" i="1"/>
  <c r="N1107" i="1"/>
  <c r="M1107" i="1"/>
  <c r="L1107" i="1"/>
  <c r="J1107" i="1"/>
  <c r="I1107" i="1"/>
  <c r="H1107" i="1"/>
  <c r="G1107" i="1"/>
  <c r="E1107" i="1"/>
  <c r="D1107" i="1"/>
  <c r="B1107" i="1"/>
  <c r="A1107" i="1"/>
  <c r="O1106" i="1"/>
  <c r="N1106" i="1"/>
  <c r="M1106" i="1"/>
  <c r="L1106" i="1"/>
  <c r="K1106" i="1"/>
  <c r="J1106" i="1"/>
  <c r="I1106" i="1"/>
  <c r="H1106" i="1"/>
  <c r="G1106" i="1"/>
  <c r="E1106" i="1"/>
  <c r="D1106" i="1"/>
  <c r="B1106" i="1"/>
  <c r="A1106" i="1"/>
  <c r="O1105" i="1"/>
  <c r="N1105" i="1"/>
  <c r="L1105" i="1"/>
  <c r="H1105" i="1"/>
  <c r="G1105" i="1"/>
  <c r="E1105" i="1"/>
  <c r="D1105" i="1"/>
  <c r="B1105" i="1"/>
  <c r="A1105" i="1"/>
  <c r="N1104" i="1"/>
  <c r="M1104" i="1"/>
  <c r="L1104" i="1"/>
  <c r="K1104" i="1"/>
  <c r="J1104" i="1"/>
  <c r="I1104" i="1"/>
  <c r="H1104" i="1"/>
  <c r="G1104" i="1"/>
  <c r="E1104" i="1"/>
  <c r="D1104" i="1"/>
  <c r="C1104" i="1"/>
  <c r="B1104" i="1"/>
  <c r="A1104" i="1"/>
  <c r="N1103" i="1"/>
  <c r="M1103" i="1"/>
  <c r="L1103" i="1"/>
  <c r="K1103" i="1"/>
  <c r="J1103" i="1"/>
  <c r="I1103" i="1"/>
  <c r="H1103" i="1"/>
  <c r="G1103" i="1"/>
  <c r="E1103" i="1"/>
  <c r="D1103" i="1"/>
  <c r="C1103" i="1"/>
  <c r="B1103" i="1"/>
  <c r="A1103" i="1"/>
  <c r="N1102" i="1"/>
  <c r="M1102" i="1"/>
  <c r="L1102" i="1"/>
  <c r="J1102" i="1"/>
  <c r="I1102" i="1"/>
  <c r="H1102" i="1"/>
  <c r="G1102" i="1"/>
  <c r="E1102" i="1"/>
  <c r="D1102" i="1"/>
  <c r="B1102" i="1"/>
  <c r="A1102" i="1"/>
  <c r="N1101" i="1"/>
  <c r="M1101" i="1"/>
  <c r="L1101" i="1"/>
  <c r="J1101" i="1"/>
  <c r="I1101" i="1"/>
  <c r="H1101" i="1"/>
  <c r="G1101" i="1"/>
  <c r="E1101" i="1"/>
  <c r="D1101" i="1"/>
  <c r="B1101" i="1"/>
  <c r="A1101" i="1"/>
  <c r="N1100" i="1"/>
  <c r="M1100" i="1"/>
  <c r="L1100" i="1"/>
  <c r="J1100" i="1"/>
  <c r="I1100" i="1"/>
  <c r="H1100" i="1"/>
  <c r="G1100" i="1"/>
  <c r="E1100" i="1"/>
  <c r="D1100" i="1"/>
  <c r="B1100" i="1"/>
  <c r="A1100" i="1"/>
  <c r="N1099" i="1"/>
  <c r="M1099" i="1"/>
  <c r="L1099" i="1"/>
  <c r="J1099" i="1"/>
  <c r="I1099" i="1"/>
  <c r="H1099" i="1"/>
  <c r="G1099" i="1"/>
  <c r="E1099" i="1"/>
  <c r="D1099" i="1"/>
  <c r="B1099" i="1"/>
  <c r="A1099" i="1"/>
  <c r="N1098" i="1"/>
  <c r="M1098" i="1"/>
  <c r="L1098" i="1"/>
  <c r="K1098" i="1"/>
  <c r="J1098" i="1"/>
  <c r="I1098" i="1"/>
  <c r="H1098" i="1"/>
  <c r="G1098" i="1"/>
  <c r="E1098" i="1"/>
  <c r="D1098" i="1"/>
  <c r="C1098" i="1"/>
  <c r="B1098" i="1"/>
  <c r="A1098" i="1"/>
  <c r="N1097" i="1"/>
  <c r="M1097" i="1"/>
  <c r="L1097" i="1"/>
  <c r="K1097" i="1"/>
  <c r="J1097" i="1"/>
  <c r="I1097" i="1"/>
  <c r="H1097" i="1"/>
  <c r="G1097" i="1"/>
  <c r="E1097" i="1"/>
  <c r="D1097" i="1"/>
  <c r="B1097" i="1"/>
  <c r="A1097" i="1"/>
  <c r="O1096" i="1"/>
  <c r="N1096" i="1"/>
  <c r="M1096" i="1"/>
  <c r="L1096" i="1"/>
  <c r="J1096" i="1"/>
  <c r="I1096" i="1"/>
  <c r="H1096" i="1"/>
  <c r="G1096" i="1"/>
  <c r="E1096" i="1"/>
  <c r="D1096" i="1"/>
  <c r="B1096" i="1"/>
  <c r="A1096" i="1"/>
  <c r="N1095" i="1"/>
  <c r="M1095" i="1"/>
  <c r="L1095" i="1"/>
  <c r="J1095" i="1"/>
  <c r="I1095" i="1"/>
  <c r="H1095" i="1"/>
  <c r="G1095" i="1"/>
  <c r="E1095" i="1"/>
  <c r="D1095" i="1"/>
  <c r="C1095" i="1"/>
  <c r="B1095" i="1"/>
  <c r="A1095" i="1"/>
  <c r="O1094" i="1"/>
  <c r="N1094" i="1"/>
  <c r="M1094" i="1"/>
  <c r="L1094" i="1"/>
  <c r="K1094" i="1"/>
  <c r="J1094" i="1"/>
  <c r="I1094" i="1"/>
  <c r="H1094" i="1"/>
  <c r="G1094" i="1"/>
  <c r="E1094" i="1"/>
  <c r="D1094" i="1"/>
  <c r="C1094" i="1"/>
  <c r="B1094" i="1"/>
  <c r="A1094" i="1"/>
  <c r="N1093" i="1"/>
  <c r="M1093" i="1"/>
  <c r="L1093" i="1"/>
  <c r="K1093" i="1"/>
  <c r="J1093" i="1"/>
  <c r="H1093" i="1"/>
  <c r="G1093" i="1"/>
  <c r="F1093" i="1"/>
  <c r="E1093" i="1"/>
  <c r="D1093" i="1"/>
  <c r="C1093" i="1"/>
  <c r="B1093" i="1"/>
  <c r="A1093" i="1"/>
  <c r="N1092" i="1"/>
  <c r="M1092" i="1"/>
  <c r="L1092" i="1"/>
  <c r="K1092" i="1"/>
  <c r="J1092" i="1"/>
  <c r="I1092" i="1"/>
  <c r="H1092" i="1"/>
  <c r="G1092" i="1"/>
  <c r="E1092" i="1"/>
  <c r="D1092" i="1"/>
  <c r="C1092" i="1"/>
  <c r="B1092" i="1"/>
  <c r="A1092" i="1"/>
  <c r="N1091" i="1"/>
  <c r="M1091" i="1"/>
  <c r="L1091" i="1"/>
  <c r="K1091" i="1"/>
  <c r="J1091" i="1"/>
  <c r="I1091" i="1"/>
  <c r="H1091" i="1"/>
  <c r="G1091" i="1"/>
  <c r="E1091" i="1"/>
  <c r="D1091" i="1"/>
  <c r="B1091" i="1"/>
  <c r="A1091" i="1"/>
  <c r="N1090" i="1"/>
  <c r="M1090" i="1"/>
  <c r="L1090" i="1"/>
  <c r="J1090" i="1"/>
  <c r="I1090" i="1"/>
  <c r="H1090" i="1"/>
  <c r="G1090" i="1"/>
  <c r="E1090" i="1"/>
  <c r="D1090" i="1"/>
  <c r="B1090" i="1"/>
  <c r="A1090" i="1"/>
  <c r="N1089" i="1"/>
  <c r="M1089" i="1"/>
  <c r="L1089" i="1"/>
  <c r="J1089" i="1"/>
  <c r="I1089" i="1"/>
  <c r="H1089" i="1"/>
  <c r="G1089" i="1"/>
  <c r="E1089" i="1"/>
  <c r="D1089" i="1"/>
  <c r="B1089" i="1"/>
  <c r="A1089" i="1"/>
  <c r="N1088" i="1"/>
  <c r="M1088" i="1"/>
  <c r="L1088" i="1"/>
  <c r="J1088" i="1"/>
  <c r="I1088" i="1"/>
  <c r="H1088" i="1"/>
  <c r="G1088" i="1"/>
  <c r="E1088" i="1"/>
  <c r="D1088" i="1"/>
  <c r="B1088" i="1"/>
  <c r="A1088" i="1"/>
  <c r="N1087" i="1"/>
  <c r="M1087" i="1"/>
  <c r="L1087" i="1"/>
  <c r="J1087" i="1"/>
  <c r="I1087" i="1"/>
  <c r="H1087" i="1"/>
  <c r="G1087" i="1"/>
  <c r="E1087" i="1"/>
  <c r="D1087" i="1"/>
  <c r="B1087" i="1"/>
  <c r="A1087" i="1"/>
  <c r="O1086" i="1"/>
  <c r="N1086" i="1"/>
  <c r="M1086" i="1"/>
  <c r="L1086" i="1"/>
  <c r="J1086" i="1"/>
  <c r="I1086" i="1"/>
  <c r="H1086" i="1"/>
  <c r="G1086" i="1"/>
  <c r="E1086" i="1"/>
  <c r="D1086" i="1"/>
  <c r="B1086" i="1"/>
  <c r="A1086" i="1"/>
  <c r="N1085" i="1"/>
  <c r="M1085" i="1"/>
  <c r="L1085" i="1"/>
  <c r="K1085" i="1"/>
  <c r="J1085" i="1"/>
  <c r="I1085" i="1"/>
  <c r="H1085" i="1"/>
  <c r="G1085" i="1"/>
  <c r="E1085" i="1"/>
  <c r="D1085" i="1"/>
  <c r="B1085" i="1"/>
  <c r="A1085" i="1"/>
  <c r="N1084" i="1"/>
  <c r="M1084" i="1"/>
  <c r="L1084" i="1"/>
  <c r="J1084" i="1"/>
  <c r="I1084" i="1"/>
  <c r="H1084" i="1"/>
  <c r="G1084" i="1"/>
  <c r="E1084" i="1"/>
  <c r="D1084" i="1"/>
  <c r="C1084" i="1"/>
  <c r="B1084" i="1"/>
  <c r="A1084" i="1"/>
  <c r="N1083" i="1"/>
  <c r="M1083" i="1"/>
  <c r="L1083" i="1"/>
  <c r="K1083" i="1"/>
  <c r="J1083" i="1"/>
  <c r="H1083" i="1"/>
  <c r="G1083" i="1"/>
  <c r="E1083" i="1"/>
  <c r="D1083" i="1"/>
  <c r="C1083" i="1"/>
  <c r="B1083" i="1"/>
  <c r="A1083" i="1"/>
  <c r="N1082" i="1"/>
  <c r="M1082" i="1"/>
  <c r="L1082" i="1"/>
  <c r="K1082" i="1"/>
  <c r="J1082" i="1"/>
  <c r="H1082" i="1"/>
  <c r="G1082" i="1"/>
  <c r="E1082" i="1"/>
  <c r="D1082" i="1"/>
  <c r="C1082" i="1"/>
  <c r="B1082" i="1"/>
  <c r="A1082" i="1"/>
  <c r="N1081" i="1"/>
  <c r="M1081" i="1"/>
  <c r="L1081" i="1"/>
  <c r="K1081" i="1"/>
  <c r="J1081" i="1"/>
  <c r="H1081" i="1"/>
  <c r="G1081" i="1"/>
  <c r="E1081" i="1"/>
  <c r="D1081" i="1"/>
  <c r="C1081" i="1"/>
  <c r="B1081" i="1"/>
  <c r="A1081" i="1"/>
  <c r="N1080" i="1"/>
  <c r="M1080" i="1"/>
  <c r="L1080" i="1"/>
  <c r="K1080" i="1"/>
  <c r="J1080" i="1"/>
  <c r="H1080" i="1"/>
  <c r="G1080" i="1"/>
  <c r="E1080" i="1"/>
  <c r="D1080" i="1"/>
  <c r="C1080" i="1"/>
  <c r="B1080" i="1"/>
  <c r="A1080" i="1"/>
  <c r="N1079" i="1"/>
  <c r="M1079" i="1"/>
  <c r="L1079" i="1"/>
  <c r="K1079" i="1"/>
  <c r="J1079" i="1"/>
  <c r="H1079" i="1"/>
  <c r="G1079" i="1"/>
  <c r="E1079" i="1"/>
  <c r="D1079" i="1"/>
  <c r="C1079" i="1"/>
  <c r="B1079" i="1"/>
  <c r="A1079" i="1"/>
  <c r="N1078" i="1"/>
  <c r="M1078" i="1"/>
  <c r="L1078" i="1"/>
  <c r="J1078" i="1"/>
  <c r="H1078" i="1"/>
  <c r="G1078" i="1"/>
  <c r="E1078" i="1"/>
  <c r="D1078" i="1"/>
  <c r="C1078" i="1"/>
  <c r="B1078" i="1"/>
  <c r="A1078" i="1"/>
  <c r="N1077" i="1"/>
  <c r="M1077" i="1"/>
  <c r="L1077" i="1"/>
  <c r="J1077" i="1"/>
  <c r="I1077" i="1"/>
  <c r="H1077" i="1"/>
  <c r="G1077" i="1"/>
  <c r="E1077" i="1"/>
  <c r="D1077" i="1"/>
  <c r="C1077" i="1"/>
  <c r="B1077" i="1"/>
  <c r="A1077" i="1"/>
  <c r="N1076" i="1"/>
  <c r="M1076" i="1"/>
  <c r="L1076" i="1"/>
  <c r="K1076" i="1"/>
  <c r="J1076" i="1"/>
  <c r="H1076" i="1"/>
  <c r="G1076" i="1"/>
  <c r="E1076" i="1"/>
  <c r="D1076" i="1"/>
  <c r="C1076" i="1"/>
  <c r="B1076" i="1"/>
  <c r="A1076" i="1"/>
  <c r="N1075" i="1"/>
  <c r="M1075" i="1"/>
  <c r="L1075" i="1"/>
  <c r="K1075" i="1"/>
  <c r="J1075" i="1"/>
  <c r="H1075" i="1"/>
  <c r="G1075" i="1"/>
  <c r="E1075" i="1"/>
  <c r="D1075" i="1"/>
  <c r="C1075" i="1"/>
  <c r="B1075" i="1"/>
  <c r="A1075" i="1"/>
  <c r="N1074" i="1"/>
  <c r="M1074" i="1"/>
  <c r="L1074" i="1"/>
  <c r="K1074" i="1"/>
  <c r="J1074" i="1"/>
  <c r="H1074" i="1"/>
  <c r="G1074" i="1"/>
  <c r="E1074" i="1"/>
  <c r="D1074" i="1"/>
  <c r="C1074" i="1"/>
  <c r="B1074" i="1"/>
  <c r="A1074" i="1"/>
  <c r="N1073" i="1"/>
  <c r="L1073" i="1"/>
  <c r="J1073" i="1"/>
  <c r="I1073" i="1"/>
  <c r="H1073" i="1"/>
  <c r="G1073" i="1"/>
  <c r="E1073" i="1"/>
  <c r="D1073" i="1"/>
  <c r="C1073" i="1"/>
  <c r="B1073" i="1"/>
  <c r="A1073" i="1"/>
  <c r="N1072" i="1"/>
  <c r="M1072" i="1"/>
  <c r="L1072" i="1"/>
  <c r="J1072" i="1"/>
  <c r="I1072" i="1"/>
  <c r="H1072" i="1"/>
  <c r="G1072" i="1"/>
  <c r="E1072" i="1"/>
  <c r="D1072" i="1"/>
  <c r="C1072" i="1"/>
  <c r="B1072" i="1"/>
  <c r="A1072" i="1"/>
  <c r="O1071" i="1"/>
  <c r="N1071" i="1"/>
  <c r="M1071" i="1"/>
  <c r="L1071" i="1"/>
  <c r="J1071" i="1"/>
  <c r="I1071" i="1"/>
  <c r="H1071" i="1"/>
  <c r="G1071" i="1"/>
  <c r="E1071" i="1"/>
  <c r="D1071" i="1"/>
  <c r="B1071" i="1"/>
  <c r="A1071" i="1"/>
  <c r="O1070" i="1"/>
  <c r="N1070" i="1"/>
  <c r="M1070" i="1"/>
  <c r="L1070" i="1"/>
  <c r="J1070" i="1"/>
  <c r="I1070" i="1"/>
  <c r="H1070" i="1"/>
  <c r="G1070" i="1"/>
  <c r="E1070" i="1"/>
  <c r="D1070" i="1"/>
  <c r="B1070" i="1"/>
  <c r="A1070" i="1"/>
  <c r="O1069" i="1"/>
  <c r="N1069" i="1"/>
  <c r="M1069" i="1"/>
  <c r="L1069" i="1"/>
  <c r="J1069" i="1"/>
  <c r="I1069" i="1"/>
  <c r="H1069" i="1"/>
  <c r="G1069" i="1"/>
  <c r="E1069" i="1"/>
  <c r="D1069" i="1"/>
  <c r="B1069" i="1"/>
  <c r="A1069" i="1"/>
  <c r="N1068" i="1"/>
  <c r="M1068" i="1"/>
  <c r="L1068" i="1"/>
  <c r="J1068" i="1"/>
  <c r="I1068" i="1"/>
  <c r="H1068" i="1"/>
  <c r="G1068" i="1"/>
  <c r="E1068" i="1"/>
  <c r="D1068" i="1"/>
  <c r="B1068" i="1"/>
  <c r="A1068" i="1"/>
  <c r="N1067" i="1"/>
  <c r="M1067" i="1"/>
  <c r="L1067" i="1"/>
  <c r="J1067" i="1"/>
  <c r="I1067" i="1"/>
  <c r="H1067" i="1"/>
  <c r="G1067" i="1"/>
  <c r="E1067" i="1"/>
  <c r="D1067" i="1"/>
  <c r="B1067" i="1"/>
  <c r="A1067" i="1"/>
  <c r="O1066" i="1"/>
  <c r="N1066" i="1"/>
  <c r="M1066" i="1"/>
  <c r="L1066" i="1"/>
  <c r="J1066" i="1"/>
  <c r="I1066" i="1"/>
  <c r="H1066" i="1"/>
  <c r="G1066" i="1"/>
  <c r="E1066" i="1"/>
  <c r="D1066" i="1"/>
  <c r="B1066" i="1"/>
  <c r="A1066" i="1"/>
  <c r="O1065" i="1"/>
  <c r="N1065" i="1"/>
  <c r="M1065" i="1"/>
  <c r="L1065" i="1"/>
  <c r="J1065" i="1"/>
  <c r="I1065" i="1"/>
  <c r="H1065" i="1"/>
  <c r="G1065" i="1"/>
  <c r="E1065" i="1"/>
  <c r="D1065" i="1"/>
  <c r="B1065" i="1"/>
  <c r="A1065" i="1"/>
  <c r="O1064" i="1"/>
  <c r="N1064" i="1"/>
  <c r="M1064" i="1"/>
  <c r="L1064" i="1"/>
  <c r="K1064" i="1"/>
  <c r="J1064" i="1"/>
  <c r="I1064" i="1"/>
  <c r="H1064" i="1"/>
  <c r="G1064" i="1"/>
  <c r="F1064" i="1"/>
  <c r="E1064" i="1"/>
  <c r="D1064" i="1"/>
  <c r="C1064" i="1"/>
  <c r="B1064" i="1"/>
  <c r="A1064" i="1"/>
  <c r="N1063" i="1"/>
  <c r="M1063" i="1"/>
  <c r="L1063" i="1"/>
  <c r="K1063" i="1"/>
  <c r="J1063" i="1"/>
  <c r="I1063" i="1"/>
  <c r="H1063" i="1"/>
  <c r="G1063" i="1"/>
  <c r="E1063" i="1"/>
  <c r="D1063" i="1"/>
  <c r="C1063" i="1"/>
  <c r="B1063" i="1"/>
  <c r="A1063" i="1"/>
  <c r="O1062" i="1"/>
  <c r="N1062" i="1"/>
  <c r="M1062" i="1"/>
  <c r="L1062" i="1"/>
  <c r="K1062" i="1"/>
  <c r="J1062" i="1"/>
  <c r="I1062" i="1"/>
  <c r="H1062" i="1"/>
  <c r="G1062" i="1"/>
  <c r="F1062" i="1"/>
  <c r="E1062" i="1"/>
  <c r="D1062" i="1"/>
  <c r="C1062" i="1"/>
  <c r="B1062" i="1"/>
  <c r="A1062" i="1"/>
  <c r="O1061" i="1"/>
  <c r="N1061" i="1"/>
  <c r="M1061" i="1"/>
  <c r="L1061" i="1"/>
  <c r="K1061" i="1"/>
  <c r="J1061" i="1"/>
  <c r="I1061" i="1"/>
  <c r="H1061" i="1"/>
  <c r="G1061" i="1"/>
  <c r="F1061" i="1"/>
  <c r="E1061" i="1"/>
  <c r="D1061" i="1"/>
  <c r="C1061" i="1"/>
  <c r="B1061" i="1"/>
  <c r="A1061" i="1"/>
  <c r="N1060" i="1"/>
  <c r="M1060" i="1"/>
  <c r="L1060" i="1"/>
  <c r="J1060" i="1"/>
  <c r="I1060" i="1"/>
  <c r="H1060" i="1"/>
  <c r="G1060" i="1"/>
  <c r="F1060" i="1"/>
  <c r="E1060" i="1"/>
  <c r="D1060" i="1"/>
  <c r="C1060" i="1"/>
  <c r="B1060" i="1"/>
  <c r="A1060" i="1"/>
  <c r="N1059" i="1"/>
  <c r="L1059" i="1"/>
  <c r="K1059" i="1"/>
  <c r="J1059" i="1"/>
  <c r="I1059" i="1"/>
  <c r="H1059" i="1"/>
  <c r="G1059" i="1"/>
  <c r="E1059" i="1"/>
  <c r="D1059" i="1"/>
  <c r="C1059" i="1"/>
  <c r="B1059" i="1"/>
  <c r="A1059" i="1"/>
  <c r="N1058" i="1"/>
  <c r="M1058" i="1"/>
  <c r="L1058" i="1"/>
  <c r="K1058" i="1"/>
  <c r="J1058" i="1"/>
  <c r="I1058" i="1"/>
  <c r="H1058" i="1"/>
  <c r="G1058" i="1"/>
  <c r="E1058" i="1"/>
  <c r="D1058" i="1"/>
  <c r="C1058" i="1"/>
  <c r="B1058" i="1"/>
  <c r="A1058" i="1"/>
  <c r="N1057" i="1"/>
  <c r="M1057" i="1"/>
  <c r="L1057" i="1"/>
  <c r="K1057" i="1"/>
  <c r="J1057" i="1"/>
  <c r="I1057" i="1"/>
  <c r="H1057" i="1"/>
  <c r="G1057" i="1"/>
  <c r="E1057" i="1"/>
  <c r="D1057" i="1"/>
  <c r="C1057" i="1"/>
  <c r="B1057" i="1"/>
  <c r="A1057" i="1"/>
  <c r="O1056" i="1"/>
  <c r="N1056" i="1"/>
  <c r="M1056" i="1"/>
  <c r="L1056" i="1"/>
  <c r="K1056" i="1"/>
  <c r="J1056" i="1"/>
  <c r="I1056" i="1"/>
  <c r="H1056" i="1"/>
  <c r="G1056" i="1"/>
  <c r="F1056" i="1"/>
  <c r="E1056" i="1"/>
  <c r="D1056" i="1"/>
  <c r="C1056" i="1"/>
  <c r="B1056" i="1"/>
  <c r="A1056" i="1"/>
  <c r="N1055" i="1"/>
  <c r="M1055" i="1"/>
  <c r="L1055" i="1"/>
  <c r="K1055" i="1"/>
  <c r="J1055" i="1"/>
  <c r="I1055" i="1"/>
  <c r="H1055" i="1"/>
  <c r="G1055" i="1"/>
  <c r="E1055" i="1"/>
  <c r="D1055" i="1"/>
  <c r="C1055" i="1"/>
  <c r="B1055" i="1"/>
  <c r="A1055" i="1"/>
  <c r="N1054" i="1"/>
  <c r="M1054" i="1"/>
  <c r="L1054" i="1"/>
  <c r="K1054" i="1"/>
  <c r="J1054" i="1"/>
  <c r="I1054" i="1"/>
  <c r="H1054" i="1"/>
  <c r="G1054" i="1"/>
  <c r="E1054" i="1"/>
  <c r="D1054" i="1"/>
  <c r="C1054" i="1"/>
  <c r="B1054" i="1"/>
  <c r="A1054" i="1"/>
  <c r="N1053" i="1"/>
  <c r="M1053" i="1"/>
  <c r="L1053" i="1"/>
  <c r="K1053" i="1"/>
  <c r="J1053" i="1"/>
  <c r="I1053" i="1"/>
  <c r="H1053" i="1"/>
  <c r="G1053" i="1"/>
  <c r="F1053" i="1"/>
  <c r="E1053" i="1"/>
  <c r="D1053" i="1"/>
  <c r="C1053" i="1"/>
  <c r="B1053" i="1"/>
  <c r="A1053" i="1"/>
  <c r="N1052" i="1"/>
  <c r="M1052" i="1"/>
  <c r="L1052" i="1"/>
  <c r="K1052" i="1"/>
  <c r="J1052" i="1"/>
  <c r="I1052" i="1"/>
  <c r="H1052" i="1"/>
  <c r="G1052" i="1"/>
  <c r="F1052" i="1"/>
  <c r="E1052" i="1"/>
  <c r="D1052" i="1"/>
  <c r="C1052" i="1"/>
  <c r="B1052" i="1"/>
  <c r="A1052" i="1"/>
  <c r="N1051" i="1"/>
  <c r="M1051" i="1"/>
  <c r="L1051" i="1"/>
  <c r="K1051" i="1"/>
  <c r="J1051" i="1"/>
  <c r="I1051" i="1"/>
  <c r="H1051" i="1"/>
  <c r="G1051" i="1"/>
  <c r="E1051" i="1"/>
  <c r="D1051" i="1"/>
  <c r="C1051" i="1"/>
  <c r="B1051" i="1"/>
  <c r="A1051" i="1"/>
  <c r="N1050" i="1"/>
  <c r="M1050" i="1"/>
  <c r="L1050" i="1"/>
  <c r="K1050" i="1"/>
  <c r="J1050" i="1"/>
  <c r="I1050" i="1"/>
  <c r="H1050" i="1"/>
  <c r="G1050" i="1"/>
  <c r="F1050" i="1"/>
  <c r="E1050" i="1"/>
  <c r="D1050" i="1"/>
  <c r="C1050" i="1"/>
  <c r="B1050" i="1"/>
  <c r="A1050" i="1"/>
  <c r="N1049" i="1"/>
  <c r="M1049" i="1"/>
  <c r="L1049" i="1"/>
  <c r="K1049" i="1"/>
  <c r="J1049" i="1"/>
  <c r="I1049" i="1"/>
  <c r="H1049" i="1"/>
  <c r="G1049" i="1"/>
  <c r="E1049" i="1"/>
  <c r="D1049" i="1"/>
  <c r="C1049" i="1"/>
  <c r="B1049" i="1"/>
  <c r="A1049" i="1"/>
  <c r="N1048" i="1"/>
  <c r="M1048" i="1"/>
  <c r="L1048" i="1"/>
  <c r="K1048" i="1"/>
  <c r="J1048" i="1"/>
  <c r="I1048" i="1"/>
  <c r="H1048" i="1"/>
  <c r="G1048" i="1"/>
  <c r="E1048" i="1"/>
  <c r="D1048" i="1"/>
  <c r="C1048" i="1"/>
  <c r="B1048" i="1"/>
  <c r="A1048" i="1"/>
  <c r="N1047" i="1"/>
  <c r="M1047" i="1"/>
  <c r="L1047" i="1"/>
  <c r="K1047" i="1"/>
  <c r="J1047" i="1"/>
  <c r="I1047" i="1"/>
  <c r="H1047" i="1"/>
  <c r="G1047" i="1"/>
  <c r="E1047" i="1"/>
  <c r="D1047" i="1"/>
  <c r="C1047" i="1"/>
  <c r="B1047" i="1"/>
  <c r="A1047" i="1"/>
  <c r="N1046" i="1"/>
  <c r="M1046" i="1"/>
  <c r="L1046" i="1"/>
  <c r="K1046" i="1"/>
  <c r="J1046" i="1"/>
  <c r="I1046" i="1"/>
  <c r="H1046" i="1"/>
  <c r="G1046" i="1"/>
  <c r="E1046" i="1"/>
  <c r="D1046" i="1"/>
  <c r="C1046" i="1"/>
  <c r="B1046" i="1"/>
  <c r="A1046" i="1"/>
  <c r="N1045" i="1"/>
  <c r="M1045" i="1"/>
  <c r="L1045" i="1"/>
  <c r="K1045" i="1"/>
  <c r="J1045" i="1"/>
  <c r="H1045" i="1"/>
  <c r="G1045" i="1"/>
  <c r="E1045" i="1"/>
  <c r="D1045" i="1"/>
  <c r="A1045" i="1"/>
  <c r="N1044" i="1"/>
  <c r="M1044" i="1"/>
  <c r="L1044" i="1"/>
  <c r="K1044" i="1"/>
  <c r="J1044" i="1"/>
  <c r="H1044" i="1"/>
  <c r="G1044" i="1"/>
  <c r="F1044" i="1"/>
  <c r="E1044" i="1"/>
  <c r="D1044" i="1"/>
  <c r="C1044" i="1"/>
  <c r="A1044" i="1"/>
  <c r="N1043" i="1"/>
  <c r="M1043" i="1"/>
  <c r="L1043" i="1"/>
  <c r="K1043" i="1"/>
  <c r="J1043" i="1"/>
  <c r="I1043" i="1"/>
  <c r="H1043" i="1"/>
  <c r="G1043" i="1"/>
  <c r="F1043" i="1"/>
  <c r="E1043" i="1"/>
  <c r="D1043" i="1"/>
  <c r="C1043" i="1"/>
  <c r="B1043" i="1"/>
  <c r="A1043" i="1"/>
  <c r="N1042" i="1"/>
  <c r="M1042" i="1"/>
  <c r="L1042" i="1"/>
  <c r="K1042" i="1"/>
  <c r="J1042" i="1"/>
  <c r="I1042" i="1"/>
  <c r="H1042" i="1"/>
  <c r="G1042" i="1"/>
  <c r="F1042" i="1"/>
  <c r="E1042" i="1"/>
  <c r="D1042" i="1"/>
  <c r="B1042" i="1"/>
  <c r="A1042" i="1"/>
  <c r="N1041" i="1"/>
  <c r="M1041" i="1"/>
  <c r="L1041" i="1"/>
  <c r="K1041" i="1"/>
  <c r="J1041" i="1"/>
  <c r="H1041" i="1"/>
  <c r="G1041" i="1"/>
  <c r="F1041" i="1"/>
  <c r="E1041" i="1"/>
  <c r="D1041" i="1"/>
  <c r="C1041" i="1"/>
  <c r="A1041" i="1"/>
  <c r="N1040" i="1"/>
  <c r="M1040" i="1"/>
  <c r="L1040" i="1"/>
  <c r="K1040" i="1"/>
  <c r="J1040" i="1"/>
  <c r="I1040" i="1"/>
  <c r="H1040" i="1"/>
  <c r="G1040" i="1"/>
  <c r="E1040" i="1"/>
  <c r="D1040" i="1"/>
  <c r="C1040" i="1"/>
  <c r="B1040" i="1"/>
  <c r="A1040" i="1"/>
  <c r="O1039" i="1"/>
  <c r="N1039" i="1"/>
  <c r="L1039" i="1"/>
  <c r="K1039" i="1"/>
  <c r="J1039" i="1"/>
  <c r="I1039" i="1"/>
  <c r="H1039" i="1"/>
  <c r="G1039" i="1"/>
  <c r="F1039" i="1"/>
  <c r="E1039" i="1"/>
  <c r="D1039" i="1"/>
  <c r="B1039" i="1"/>
  <c r="A1039" i="1"/>
  <c r="N1038" i="1"/>
  <c r="M1038" i="1"/>
  <c r="L1038" i="1"/>
  <c r="K1038" i="1"/>
  <c r="J1038" i="1"/>
  <c r="I1038" i="1"/>
  <c r="H1038" i="1"/>
  <c r="G1038" i="1"/>
  <c r="E1038" i="1"/>
  <c r="D1038" i="1"/>
  <c r="C1038" i="1"/>
  <c r="B1038" i="1"/>
  <c r="A1038" i="1"/>
  <c r="N1037" i="1"/>
  <c r="M1037" i="1"/>
  <c r="L1037" i="1"/>
  <c r="I1037" i="1"/>
  <c r="H1037" i="1"/>
  <c r="G1037" i="1"/>
  <c r="E1037" i="1"/>
  <c r="D1037" i="1"/>
  <c r="B1037" i="1"/>
  <c r="A1037" i="1"/>
  <c r="N1036" i="1"/>
  <c r="M1036" i="1"/>
  <c r="L1036" i="1"/>
  <c r="K1036" i="1"/>
  <c r="J1036" i="1"/>
  <c r="H1036" i="1"/>
  <c r="G1036" i="1"/>
  <c r="F1036" i="1"/>
  <c r="E1036" i="1"/>
  <c r="D1036" i="1"/>
  <c r="C1036" i="1"/>
  <c r="B1036" i="1"/>
  <c r="A1036" i="1"/>
  <c r="N1035" i="1"/>
  <c r="M1035" i="1"/>
  <c r="L1035" i="1"/>
  <c r="K1035" i="1"/>
  <c r="J1035" i="1"/>
  <c r="I1035" i="1"/>
  <c r="H1035" i="1"/>
  <c r="G1035" i="1"/>
  <c r="E1035" i="1"/>
  <c r="D1035" i="1"/>
  <c r="C1035" i="1"/>
  <c r="B1035" i="1"/>
  <c r="A1035" i="1"/>
  <c r="O1034" i="1"/>
  <c r="N1034" i="1"/>
  <c r="M1034" i="1"/>
  <c r="L1034" i="1"/>
  <c r="K1034" i="1"/>
  <c r="J1034" i="1"/>
  <c r="H1034" i="1"/>
  <c r="G1034" i="1"/>
  <c r="E1034" i="1"/>
  <c r="D1034" i="1"/>
  <c r="C1034" i="1"/>
  <c r="B1034" i="1"/>
  <c r="A1034" i="1"/>
  <c r="N1033" i="1"/>
  <c r="M1033" i="1"/>
  <c r="L1033" i="1"/>
  <c r="K1033" i="1"/>
  <c r="J1033" i="1"/>
  <c r="H1033" i="1"/>
  <c r="G1033" i="1"/>
  <c r="E1033" i="1"/>
  <c r="D1033" i="1"/>
  <c r="C1033" i="1"/>
  <c r="B1033" i="1"/>
  <c r="A1033" i="1"/>
  <c r="N1032" i="1"/>
  <c r="M1032" i="1"/>
  <c r="L1032" i="1"/>
  <c r="K1032" i="1"/>
  <c r="J1032" i="1"/>
  <c r="H1032" i="1"/>
  <c r="G1032" i="1"/>
  <c r="E1032" i="1"/>
  <c r="D1032" i="1"/>
  <c r="C1032" i="1"/>
  <c r="B1032" i="1"/>
  <c r="A1032" i="1"/>
  <c r="O1031" i="1"/>
  <c r="N1031" i="1"/>
  <c r="L1031" i="1"/>
  <c r="H1031" i="1"/>
  <c r="G1031" i="1"/>
  <c r="F1031" i="1"/>
  <c r="E1031" i="1"/>
  <c r="D1031" i="1"/>
  <c r="B1031" i="1"/>
  <c r="A1031" i="1"/>
  <c r="N1030" i="1"/>
  <c r="M1030" i="1"/>
  <c r="L1030" i="1"/>
  <c r="K1030" i="1"/>
  <c r="J1030" i="1"/>
  <c r="I1030" i="1"/>
  <c r="H1030" i="1"/>
  <c r="G1030" i="1"/>
  <c r="E1030" i="1"/>
  <c r="D1030" i="1"/>
  <c r="C1030" i="1"/>
  <c r="B1030" i="1"/>
  <c r="A1030" i="1"/>
  <c r="N1029" i="1"/>
  <c r="M1029" i="1"/>
  <c r="L1029" i="1"/>
  <c r="K1029" i="1"/>
  <c r="J1029" i="1"/>
  <c r="I1029" i="1"/>
  <c r="H1029" i="1"/>
  <c r="G1029" i="1"/>
  <c r="F1029" i="1"/>
  <c r="E1029" i="1"/>
  <c r="D1029" i="1"/>
  <c r="C1029" i="1"/>
  <c r="B1029" i="1"/>
  <c r="A1029" i="1"/>
  <c r="N1028" i="1"/>
  <c r="M1028" i="1"/>
  <c r="L1028" i="1"/>
  <c r="K1028" i="1"/>
  <c r="J1028" i="1"/>
  <c r="I1028" i="1"/>
  <c r="H1028" i="1"/>
  <c r="G1028" i="1"/>
  <c r="E1028" i="1"/>
  <c r="D1028" i="1"/>
  <c r="C1028" i="1"/>
  <c r="B1028" i="1"/>
  <c r="A1028" i="1"/>
  <c r="O1027" i="1"/>
  <c r="N1027" i="1"/>
  <c r="M1027" i="1"/>
  <c r="L1027" i="1"/>
  <c r="K1027" i="1"/>
  <c r="J1027" i="1"/>
  <c r="H1027" i="1"/>
  <c r="G1027" i="1"/>
  <c r="F1027" i="1"/>
  <c r="E1027" i="1"/>
  <c r="D1027" i="1"/>
  <c r="C1027" i="1"/>
  <c r="B1027" i="1"/>
  <c r="A1027" i="1"/>
  <c r="O1026" i="1"/>
  <c r="N1026" i="1"/>
  <c r="M1026" i="1"/>
  <c r="L1026" i="1"/>
  <c r="K1026" i="1"/>
  <c r="J1026" i="1"/>
  <c r="H1026" i="1"/>
  <c r="G1026" i="1"/>
  <c r="F1026" i="1"/>
  <c r="E1026" i="1"/>
  <c r="D1026" i="1"/>
  <c r="C1026" i="1"/>
  <c r="B1026" i="1"/>
  <c r="A1026" i="1"/>
  <c r="N1025" i="1"/>
  <c r="M1025" i="1"/>
  <c r="L1025" i="1"/>
  <c r="K1025" i="1"/>
  <c r="J1025" i="1"/>
  <c r="I1025" i="1"/>
  <c r="H1025" i="1"/>
  <c r="G1025" i="1"/>
  <c r="E1025" i="1"/>
  <c r="D1025" i="1"/>
  <c r="C1025" i="1"/>
  <c r="B1025" i="1"/>
  <c r="A1025" i="1"/>
  <c r="N1024" i="1"/>
  <c r="M1024" i="1"/>
  <c r="L1024" i="1"/>
  <c r="K1024" i="1"/>
  <c r="J1024" i="1"/>
  <c r="I1024" i="1"/>
  <c r="H1024" i="1"/>
  <c r="G1024" i="1"/>
  <c r="E1024" i="1"/>
  <c r="D1024" i="1"/>
  <c r="C1024" i="1"/>
  <c r="B1024" i="1"/>
  <c r="A1024" i="1"/>
  <c r="N1023" i="1"/>
  <c r="M1023" i="1"/>
  <c r="L1023" i="1"/>
  <c r="K1023" i="1"/>
  <c r="J1023" i="1"/>
  <c r="I1023" i="1"/>
  <c r="H1023" i="1"/>
  <c r="G1023" i="1"/>
  <c r="E1023" i="1"/>
  <c r="D1023" i="1"/>
  <c r="C1023" i="1"/>
  <c r="B1023" i="1"/>
  <c r="A1023" i="1"/>
  <c r="N1022" i="1"/>
  <c r="M1022" i="1"/>
  <c r="L1022" i="1"/>
  <c r="K1022" i="1"/>
  <c r="J1022" i="1"/>
  <c r="I1022" i="1"/>
  <c r="H1022" i="1"/>
  <c r="G1022" i="1"/>
  <c r="E1022" i="1"/>
  <c r="D1022" i="1"/>
  <c r="B1022" i="1"/>
  <c r="A1022" i="1"/>
  <c r="N1021" i="1"/>
  <c r="M1021" i="1"/>
  <c r="L1021" i="1"/>
  <c r="K1021" i="1"/>
  <c r="J1021" i="1"/>
  <c r="I1021" i="1"/>
  <c r="H1021" i="1"/>
  <c r="G1021" i="1"/>
  <c r="E1021" i="1"/>
  <c r="D1021" i="1"/>
  <c r="C1021" i="1"/>
  <c r="B1021" i="1"/>
  <c r="A1021" i="1"/>
  <c r="N1020" i="1"/>
  <c r="M1020" i="1"/>
  <c r="L1020" i="1"/>
  <c r="K1020" i="1"/>
  <c r="J1020" i="1"/>
  <c r="I1020" i="1"/>
  <c r="H1020" i="1"/>
  <c r="G1020" i="1"/>
  <c r="E1020" i="1"/>
  <c r="D1020" i="1"/>
  <c r="B1020" i="1"/>
  <c r="A1020" i="1"/>
  <c r="N1019" i="1"/>
  <c r="M1019" i="1"/>
  <c r="L1019" i="1"/>
  <c r="K1019" i="1"/>
  <c r="J1019" i="1"/>
  <c r="I1019" i="1"/>
  <c r="H1019" i="1"/>
  <c r="G1019" i="1"/>
  <c r="E1019" i="1"/>
  <c r="D1019" i="1"/>
  <c r="C1019" i="1"/>
  <c r="B1019" i="1"/>
  <c r="A1019" i="1"/>
  <c r="N1018" i="1"/>
  <c r="M1018" i="1"/>
  <c r="L1018" i="1"/>
  <c r="K1018" i="1"/>
  <c r="J1018" i="1"/>
  <c r="I1018" i="1"/>
  <c r="H1018" i="1"/>
  <c r="G1018" i="1"/>
  <c r="E1018" i="1"/>
  <c r="D1018" i="1"/>
  <c r="C1018" i="1"/>
  <c r="B1018" i="1"/>
  <c r="A1018" i="1"/>
  <c r="N1017" i="1"/>
  <c r="M1017" i="1"/>
  <c r="L1017" i="1"/>
  <c r="K1017" i="1"/>
  <c r="J1017" i="1"/>
  <c r="I1017" i="1"/>
  <c r="H1017" i="1"/>
  <c r="G1017" i="1"/>
  <c r="E1017" i="1"/>
  <c r="D1017" i="1"/>
  <c r="C1017" i="1"/>
  <c r="B1017" i="1"/>
  <c r="A1017" i="1"/>
  <c r="O1016" i="1"/>
  <c r="N1016" i="1"/>
  <c r="M1016" i="1"/>
  <c r="L1016" i="1"/>
  <c r="K1016" i="1"/>
  <c r="J1016" i="1"/>
  <c r="I1016" i="1"/>
  <c r="H1016" i="1"/>
  <c r="G1016" i="1"/>
  <c r="E1016" i="1"/>
  <c r="D1016" i="1"/>
  <c r="C1016" i="1"/>
  <c r="B1016" i="1"/>
  <c r="A1016" i="1"/>
  <c r="N1015" i="1"/>
  <c r="M1015" i="1"/>
  <c r="L1015" i="1"/>
  <c r="K1015" i="1"/>
  <c r="J1015" i="1"/>
  <c r="I1015" i="1"/>
  <c r="H1015" i="1"/>
  <c r="G1015" i="1"/>
  <c r="E1015" i="1"/>
  <c r="D1015" i="1"/>
  <c r="C1015" i="1"/>
  <c r="B1015" i="1"/>
  <c r="A1015" i="1"/>
  <c r="O1014" i="1"/>
  <c r="N1014" i="1"/>
  <c r="M1014" i="1"/>
  <c r="L1014" i="1"/>
  <c r="K1014" i="1"/>
  <c r="J1014" i="1"/>
  <c r="I1014" i="1"/>
  <c r="H1014" i="1"/>
  <c r="G1014" i="1"/>
  <c r="E1014" i="1"/>
  <c r="D1014" i="1"/>
  <c r="C1014" i="1"/>
  <c r="B1014" i="1"/>
  <c r="A1014" i="1"/>
  <c r="N1013" i="1"/>
  <c r="M1013" i="1"/>
  <c r="L1013" i="1"/>
  <c r="K1013" i="1"/>
  <c r="J1013" i="1"/>
  <c r="I1013" i="1"/>
  <c r="H1013" i="1"/>
  <c r="G1013" i="1"/>
  <c r="E1013" i="1"/>
  <c r="D1013" i="1"/>
  <c r="C1013" i="1"/>
  <c r="B1013" i="1"/>
  <c r="A1013" i="1"/>
  <c r="N1012" i="1"/>
  <c r="M1012" i="1"/>
  <c r="L1012" i="1"/>
  <c r="K1012" i="1"/>
  <c r="J1012" i="1"/>
  <c r="I1012" i="1"/>
  <c r="H1012" i="1"/>
  <c r="G1012" i="1"/>
  <c r="E1012" i="1"/>
  <c r="D1012" i="1"/>
  <c r="C1012" i="1"/>
  <c r="B1012" i="1"/>
  <c r="A1012" i="1"/>
  <c r="N1011" i="1"/>
  <c r="M1011" i="1"/>
  <c r="L1011" i="1"/>
  <c r="K1011" i="1"/>
  <c r="J1011" i="1"/>
  <c r="I1011" i="1"/>
  <c r="H1011" i="1"/>
  <c r="G1011" i="1"/>
  <c r="E1011" i="1"/>
  <c r="D1011" i="1"/>
  <c r="C1011" i="1"/>
  <c r="B1011" i="1"/>
  <c r="A1011" i="1"/>
  <c r="N1010" i="1"/>
  <c r="M1010" i="1"/>
  <c r="L1010" i="1"/>
  <c r="K1010" i="1"/>
  <c r="J1010" i="1"/>
  <c r="I1010" i="1"/>
  <c r="H1010" i="1"/>
  <c r="G1010" i="1"/>
  <c r="E1010" i="1"/>
  <c r="D1010" i="1"/>
  <c r="C1010" i="1"/>
  <c r="B1010" i="1"/>
  <c r="A1010" i="1"/>
  <c r="N1009" i="1"/>
  <c r="M1009" i="1"/>
  <c r="L1009" i="1"/>
  <c r="K1009" i="1"/>
  <c r="J1009" i="1"/>
  <c r="I1009" i="1"/>
  <c r="H1009" i="1"/>
  <c r="G1009" i="1"/>
  <c r="E1009" i="1"/>
  <c r="D1009" i="1"/>
  <c r="C1009" i="1"/>
  <c r="B1009" i="1"/>
  <c r="A1009" i="1"/>
  <c r="N1008" i="1"/>
  <c r="M1008" i="1"/>
  <c r="L1008" i="1"/>
  <c r="K1008" i="1"/>
  <c r="J1008" i="1"/>
  <c r="I1008" i="1"/>
  <c r="H1008" i="1"/>
  <c r="G1008" i="1"/>
  <c r="E1008" i="1"/>
  <c r="D1008" i="1"/>
  <c r="C1008" i="1"/>
  <c r="B1008" i="1"/>
  <c r="A1008" i="1"/>
  <c r="O1007" i="1"/>
  <c r="N1007" i="1"/>
  <c r="M1007" i="1"/>
  <c r="L1007" i="1"/>
  <c r="K1007" i="1"/>
  <c r="J1007" i="1"/>
  <c r="I1007" i="1"/>
  <c r="H1007" i="1"/>
  <c r="G1007" i="1"/>
  <c r="E1007" i="1"/>
  <c r="D1007" i="1"/>
  <c r="C1007" i="1"/>
  <c r="B1007" i="1"/>
  <c r="A1007" i="1"/>
  <c r="O1006" i="1"/>
  <c r="N1006" i="1"/>
  <c r="M1006" i="1"/>
  <c r="L1006" i="1"/>
  <c r="I1006" i="1"/>
  <c r="H1006" i="1"/>
  <c r="G1006" i="1"/>
  <c r="F1006" i="1"/>
  <c r="E1006" i="1"/>
  <c r="D1006" i="1"/>
  <c r="C1006" i="1"/>
  <c r="B1006" i="1"/>
  <c r="A1006" i="1"/>
  <c r="N1005" i="1"/>
  <c r="M1005" i="1"/>
  <c r="L1005" i="1"/>
  <c r="K1005" i="1"/>
  <c r="J1005" i="1"/>
  <c r="I1005" i="1"/>
  <c r="H1005" i="1"/>
  <c r="G1005" i="1"/>
  <c r="E1005" i="1"/>
  <c r="D1005" i="1"/>
  <c r="B1005" i="1"/>
  <c r="A1005" i="1"/>
  <c r="N1004" i="1"/>
  <c r="M1004" i="1"/>
  <c r="L1004" i="1"/>
  <c r="K1004" i="1"/>
  <c r="J1004" i="1"/>
  <c r="I1004" i="1"/>
  <c r="H1004" i="1"/>
  <c r="G1004" i="1"/>
  <c r="E1004" i="1"/>
  <c r="D1004" i="1"/>
  <c r="B1004" i="1"/>
  <c r="A1004" i="1"/>
  <c r="O1003" i="1"/>
  <c r="N1003" i="1"/>
  <c r="M1003" i="1"/>
  <c r="L1003" i="1"/>
  <c r="K1003" i="1"/>
  <c r="J1003" i="1"/>
  <c r="I1003" i="1"/>
  <c r="H1003" i="1"/>
  <c r="G1003" i="1"/>
  <c r="E1003" i="1"/>
  <c r="D1003" i="1"/>
  <c r="C1003" i="1"/>
  <c r="B1003" i="1"/>
  <c r="A1003" i="1"/>
  <c r="N1002" i="1"/>
  <c r="M1002" i="1"/>
  <c r="L1002" i="1"/>
  <c r="K1002" i="1"/>
  <c r="J1002" i="1"/>
  <c r="I1002" i="1"/>
  <c r="H1002" i="1"/>
  <c r="G1002" i="1"/>
  <c r="E1002" i="1"/>
  <c r="D1002" i="1"/>
  <c r="C1002" i="1"/>
  <c r="B1002" i="1"/>
  <c r="A1002" i="1"/>
  <c r="N1001" i="1"/>
  <c r="M1001" i="1"/>
  <c r="L1001" i="1"/>
  <c r="I1001" i="1"/>
  <c r="H1001" i="1"/>
  <c r="G1001" i="1"/>
  <c r="E1001" i="1"/>
  <c r="D1001" i="1"/>
  <c r="C1001" i="1"/>
  <c r="B1001" i="1"/>
  <c r="A1001" i="1"/>
  <c r="N1000" i="1"/>
  <c r="M1000" i="1"/>
  <c r="L1000" i="1"/>
  <c r="H1000" i="1"/>
  <c r="G1000" i="1"/>
  <c r="F1000" i="1"/>
  <c r="E1000" i="1"/>
  <c r="D1000" i="1"/>
  <c r="C1000" i="1"/>
  <c r="B1000" i="1"/>
  <c r="A1000" i="1"/>
  <c r="N999" i="1"/>
  <c r="M999" i="1"/>
  <c r="L999" i="1"/>
  <c r="K999" i="1"/>
  <c r="J999" i="1"/>
  <c r="I999" i="1"/>
  <c r="H999" i="1"/>
  <c r="G999" i="1"/>
  <c r="E999" i="1"/>
  <c r="D999" i="1"/>
  <c r="B999" i="1"/>
  <c r="A999" i="1"/>
  <c r="N998" i="1"/>
  <c r="M998" i="1"/>
  <c r="L998" i="1"/>
  <c r="K998" i="1"/>
  <c r="J998" i="1"/>
  <c r="I998" i="1"/>
  <c r="H998" i="1"/>
  <c r="G998" i="1"/>
  <c r="F998" i="1"/>
  <c r="E998" i="1"/>
  <c r="D998" i="1"/>
  <c r="C998" i="1"/>
  <c r="B998" i="1"/>
  <c r="A998" i="1"/>
  <c r="N997" i="1"/>
  <c r="M997" i="1"/>
  <c r="L997" i="1"/>
  <c r="K997" i="1"/>
  <c r="J997" i="1"/>
  <c r="I997" i="1"/>
  <c r="H997" i="1"/>
  <c r="G997" i="1"/>
  <c r="E997" i="1"/>
  <c r="D997" i="1"/>
  <c r="C997" i="1"/>
  <c r="B997" i="1"/>
  <c r="A997" i="1"/>
  <c r="N996" i="1"/>
  <c r="M996" i="1"/>
  <c r="L996" i="1"/>
  <c r="K996" i="1"/>
  <c r="J996" i="1"/>
  <c r="I996" i="1"/>
  <c r="H996" i="1"/>
  <c r="G996" i="1"/>
  <c r="F996" i="1"/>
  <c r="E996" i="1"/>
  <c r="D996" i="1"/>
  <c r="C996" i="1"/>
  <c r="B996" i="1"/>
  <c r="A996" i="1"/>
  <c r="N995" i="1"/>
  <c r="M995" i="1"/>
  <c r="L995" i="1"/>
  <c r="K995" i="1"/>
  <c r="J995" i="1"/>
  <c r="I995" i="1"/>
  <c r="H995" i="1"/>
  <c r="G995" i="1"/>
  <c r="E995" i="1"/>
  <c r="D995" i="1"/>
  <c r="C995" i="1"/>
  <c r="B995" i="1"/>
  <c r="A995" i="1"/>
  <c r="N994" i="1"/>
  <c r="M994" i="1"/>
  <c r="L994" i="1"/>
  <c r="K994" i="1"/>
  <c r="J994" i="1"/>
  <c r="I994" i="1"/>
  <c r="H994" i="1"/>
  <c r="G994" i="1"/>
  <c r="E994" i="1"/>
  <c r="D994" i="1"/>
  <c r="C994" i="1"/>
  <c r="B994" i="1"/>
  <c r="A994" i="1"/>
  <c r="O993" i="1"/>
  <c r="N993" i="1"/>
  <c r="M993" i="1"/>
  <c r="L993" i="1"/>
  <c r="K993" i="1"/>
  <c r="J993" i="1"/>
  <c r="I993" i="1"/>
  <c r="H993" i="1"/>
  <c r="G993" i="1"/>
  <c r="E993" i="1"/>
  <c r="D993" i="1"/>
  <c r="B993" i="1"/>
  <c r="A993" i="1"/>
  <c r="N992" i="1"/>
  <c r="M992" i="1"/>
  <c r="L992" i="1"/>
  <c r="H992" i="1"/>
  <c r="G992" i="1"/>
  <c r="E992" i="1"/>
  <c r="D992" i="1"/>
  <c r="C992" i="1"/>
  <c r="B992" i="1"/>
  <c r="A992" i="1"/>
  <c r="N991" i="1"/>
  <c r="M991" i="1"/>
  <c r="L991" i="1"/>
  <c r="K991" i="1"/>
  <c r="J991" i="1"/>
  <c r="H991" i="1"/>
  <c r="G991" i="1"/>
  <c r="E991" i="1"/>
  <c r="D991" i="1"/>
  <c r="C991" i="1"/>
  <c r="B991" i="1"/>
  <c r="A991" i="1"/>
  <c r="N990" i="1"/>
  <c r="M990" i="1"/>
  <c r="L990" i="1"/>
  <c r="K990" i="1"/>
  <c r="J990" i="1"/>
  <c r="I990" i="1"/>
  <c r="H990" i="1"/>
  <c r="G990" i="1"/>
  <c r="E990" i="1"/>
  <c r="D990" i="1"/>
  <c r="C990" i="1"/>
  <c r="B990" i="1"/>
  <c r="A990" i="1"/>
  <c r="O989" i="1"/>
  <c r="N989" i="1"/>
  <c r="M989" i="1"/>
  <c r="L989" i="1"/>
  <c r="K989" i="1"/>
  <c r="J989" i="1"/>
  <c r="I989" i="1"/>
  <c r="H989" i="1"/>
  <c r="G989" i="1"/>
  <c r="E989" i="1"/>
  <c r="D989" i="1"/>
  <c r="C989" i="1"/>
  <c r="B989" i="1"/>
  <c r="A989" i="1"/>
  <c r="N988" i="1"/>
  <c r="M988" i="1"/>
  <c r="L988" i="1"/>
  <c r="K988" i="1"/>
  <c r="J988" i="1"/>
  <c r="I988" i="1"/>
  <c r="H988" i="1"/>
  <c r="G988" i="1"/>
  <c r="E988" i="1"/>
  <c r="D988" i="1"/>
  <c r="B988" i="1"/>
  <c r="A988" i="1"/>
  <c r="O987" i="1"/>
  <c r="N987" i="1"/>
  <c r="M987" i="1"/>
  <c r="L987" i="1"/>
  <c r="K987" i="1"/>
  <c r="J987" i="1"/>
  <c r="I987" i="1"/>
  <c r="H987" i="1"/>
  <c r="G987" i="1"/>
  <c r="E987" i="1"/>
  <c r="D987" i="1"/>
  <c r="B987" i="1"/>
  <c r="A987" i="1"/>
  <c r="O986" i="1"/>
  <c r="N986" i="1"/>
  <c r="M986" i="1"/>
  <c r="L986" i="1"/>
  <c r="J986" i="1"/>
  <c r="I986" i="1"/>
  <c r="H986" i="1"/>
  <c r="G986" i="1"/>
  <c r="E986" i="1"/>
  <c r="D986" i="1"/>
  <c r="C986" i="1"/>
  <c r="B986" i="1"/>
  <c r="A986" i="1"/>
  <c r="N985" i="1"/>
  <c r="M985" i="1"/>
  <c r="L985" i="1"/>
  <c r="J985" i="1"/>
  <c r="H985" i="1"/>
  <c r="G985" i="1"/>
  <c r="E985" i="1"/>
  <c r="D985" i="1"/>
  <c r="C985" i="1"/>
  <c r="B985" i="1"/>
  <c r="A985" i="1"/>
  <c r="N984" i="1"/>
  <c r="M984" i="1"/>
  <c r="L984" i="1"/>
  <c r="K984" i="1"/>
  <c r="J984" i="1"/>
  <c r="I984" i="1"/>
  <c r="H984" i="1"/>
  <c r="G984" i="1"/>
  <c r="E984" i="1"/>
  <c r="D984" i="1"/>
  <c r="C984" i="1"/>
  <c r="B984" i="1"/>
  <c r="A984" i="1"/>
  <c r="O983" i="1"/>
  <c r="N983" i="1"/>
  <c r="M983" i="1"/>
  <c r="L983" i="1"/>
  <c r="H983" i="1"/>
  <c r="G983" i="1"/>
  <c r="E983" i="1"/>
  <c r="D983" i="1"/>
  <c r="C983" i="1"/>
  <c r="B983" i="1"/>
  <c r="A983" i="1"/>
  <c r="N982" i="1"/>
  <c r="M982" i="1"/>
  <c r="L982" i="1"/>
  <c r="K982" i="1"/>
  <c r="J982" i="1"/>
  <c r="I982" i="1"/>
  <c r="H982" i="1"/>
  <c r="G982" i="1"/>
  <c r="E982" i="1"/>
  <c r="D982" i="1"/>
  <c r="C982" i="1"/>
  <c r="B982" i="1"/>
  <c r="A982" i="1"/>
  <c r="N981" i="1"/>
  <c r="M981" i="1"/>
  <c r="L981" i="1"/>
  <c r="K981" i="1"/>
  <c r="J981" i="1"/>
  <c r="H981" i="1"/>
  <c r="G981" i="1"/>
  <c r="E981" i="1"/>
  <c r="D981" i="1"/>
  <c r="C981" i="1"/>
  <c r="B981" i="1"/>
  <c r="A981" i="1"/>
  <c r="N980" i="1"/>
  <c r="M980" i="1"/>
  <c r="L980" i="1"/>
  <c r="K980" i="1"/>
  <c r="J980" i="1"/>
  <c r="I980" i="1"/>
  <c r="H980" i="1"/>
  <c r="G980" i="1"/>
  <c r="E980" i="1"/>
  <c r="D980" i="1"/>
  <c r="C980" i="1"/>
  <c r="B980" i="1"/>
  <c r="A980" i="1"/>
  <c r="N979" i="1"/>
  <c r="M979" i="1"/>
  <c r="L979" i="1"/>
  <c r="K979" i="1"/>
  <c r="J979" i="1"/>
  <c r="I979" i="1"/>
  <c r="H979" i="1"/>
  <c r="G979" i="1"/>
  <c r="E979" i="1"/>
  <c r="D979" i="1"/>
  <c r="B979" i="1"/>
  <c r="A979" i="1"/>
  <c r="O978" i="1"/>
  <c r="N978" i="1"/>
  <c r="M978" i="1"/>
  <c r="L978" i="1"/>
  <c r="J978" i="1"/>
  <c r="I978" i="1"/>
  <c r="H978" i="1"/>
  <c r="G978" i="1"/>
  <c r="E978" i="1"/>
  <c r="D978" i="1"/>
  <c r="C978" i="1"/>
  <c r="B978" i="1"/>
  <c r="A978" i="1"/>
  <c r="O977" i="1"/>
  <c r="N977" i="1"/>
  <c r="M977" i="1"/>
  <c r="L977" i="1"/>
  <c r="K977" i="1"/>
  <c r="J977" i="1"/>
  <c r="H977" i="1"/>
  <c r="G977" i="1"/>
  <c r="F977" i="1"/>
  <c r="E977" i="1"/>
  <c r="D977" i="1"/>
  <c r="C977" i="1"/>
  <c r="B977" i="1"/>
  <c r="A977" i="1"/>
  <c r="N976" i="1"/>
  <c r="M976" i="1"/>
  <c r="L976" i="1"/>
  <c r="K976" i="1"/>
  <c r="J976" i="1"/>
  <c r="I976" i="1"/>
  <c r="H976" i="1"/>
  <c r="G976" i="1"/>
  <c r="F976" i="1"/>
  <c r="E976" i="1"/>
  <c r="D976" i="1"/>
  <c r="C976" i="1"/>
  <c r="B976" i="1"/>
  <c r="A976" i="1"/>
  <c r="N975" i="1"/>
  <c r="M975" i="1"/>
  <c r="L975" i="1"/>
  <c r="K975" i="1"/>
  <c r="J975" i="1"/>
  <c r="I975" i="1"/>
  <c r="H975" i="1"/>
  <c r="G975" i="1"/>
  <c r="F975" i="1"/>
  <c r="E975" i="1"/>
  <c r="D975" i="1"/>
  <c r="C975" i="1"/>
  <c r="B975" i="1"/>
  <c r="A975" i="1"/>
  <c r="N974" i="1"/>
  <c r="M974" i="1"/>
  <c r="L974" i="1"/>
  <c r="K974" i="1"/>
  <c r="J974" i="1"/>
  <c r="I974" i="1"/>
  <c r="H974" i="1"/>
  <c r="G974" i="1"/>
  <c r="E974" i="1"/>
  <c r="D974" i="1"/>
  <c r="C974" i="1"/>
  <c r="B974" i="1"/>
  <c r="A974" i="1"/>
  <c r="N973" i="1"/>
  <c r="M973" i="1"/>
  <c r="L973" i="1"/>
  <c r="K973" i="1"/>
  <c r="J973" i="1"/>
  <c r="I973" i="1"/>
  <c r="H973" i="1"/>
  <c r="G973" i="1"/>
  <c r="E973" i="1"/>
  <c r="D973" i="1"/>
  <c r="C973" i="1"/>
  <c r="B973" i="1"/>
  <c r="A973" i="1"/>
  <c r="O972" i="1"/>
  <c r="N972" i="1"/>
  <c r="M972" i="1"/>
  <c r="L972" i="1"/>
  <c r="K972" i="1"/>
  <c r="J972" i="1"/>
  <c r="I972" i="1"/>
  <c r="H972" i="1"/>
  <c r="G972" i="1"/>
  <c r="E972" i="1"/>
  <c r="D972" i="1"/>
  <c r="C972" i="1"/>
  <c r="B972" i="1"/>
  <c r="A972" i="1"/>
  <c r="N971" i="1"/>
  <c r="M971" i="1"/>
  <c r="L971" i="1"/>
  <c r="K971" i="1"/>
  <c r="J971" i="1"/>
  <c r="H971" i="1"/>
  <c r="G971" i="1"/>
  <c r="F971" i="1"/>
  <c r="E971" i="1"/>
  <c r="D971" i="1"/>
  <c r="C971" i="1"/>
  <c r="B971" i="1"/>
  <c r="A971" i="1"/>
  <c r="N970" i="1"/>
  <c r="M970" i="1"/>
  <c r="L970" i="1"/>
  <c r="K970" i="1"/>
  <c r="J970" i="1"/>
  <c r="H970" i="1"/>
  <c r="G970" i="1"/>
  <c r="F970" i="1"/>
  <c r="E970" i="1"/>
  <c r="D970" i="1"/>
  <c r="C970" i="1"/>
  <c r="B970" i="1"/>
  <c r="A970" i="1"/>
  <c r="O969" i="1"/>
  <c r="N969" i="1"/>
  <c r="M969" i="1"/>
  <c r="L969" i="1"/>
  <c r="J969" i="1"/>
  <c r="I969" i="1"/>
  <c r="H969" i="1"/>
  <c r="G969" i="1"/>
  <c r="E969" i="1"/>
  <c r="D969" i="1"/>
  <c r="C969" i="1"/>
  <c r="B969" i="1"/>
  <c r="A969" i="1"/>
  <c r="N968" i="1"/>
  <c r="M968" i="1"/>
  <c r="L968" i="1"/>
  <c r="K968" i="1"/>
  <c r="J968" i="1"/>
  <c r="I968" i="1"/>
  <c r="H968" i="1"/>
  <c r="G968" i="1"/>
  <c r="E968" i="1"/>
  <c r="D968" i="1"/>
  <c r="C968" i="1"/>
  <c r="B968" i="1"/>
  <c r="A968" i="1"/>
  <c r="N967" i="1"/>
  <c r="M967" i="1"/>
  <c r="L967" i="1"/>
  <c r="J967" i="1"/>
  <c r="I967" i="1"/>
  <c r="H967" i="1"/>
  <c r="G967" i="1"/>
  <c r="E967" i="1"/>
  <c r="D967" i="1"/>
  <c r="C967" i="1"/>
  <c r="B967" i="1"/>
  <c r="A967" i="1"/>
  <c r="N966" i="1"/>
  <c r="M966" i="1"/>
  <c r="L966" i="1"/>
  <c r="K966" i="1"/>
  <c r="J966" i="1"/>
  <c r="I966" i="1"/>
  <c r="H966" i="1"/>
  <c r="G966" i="1"/>
  <c r="F966" i="1"/>
  <c r="E966" i="1"/>
  <c r="D966" i="1"/>
  <c r="C966" i="1"/>
  <c r="B966" i="1"/>
  <c r="A966" i="1"/>
  <c r="N965" i="1"/>
  <c r="M965" i="1"/>
  <c r="L965" i="1"/>
  <c r="J965" i="1"/>
  <c r="H965" i="1"/>
  <c r="G965" i="1"/>
  <c r="E965" i="1"/>
  <c r="D965" i="1"/>
  <c r="C965" i="1"/>
  <c r="B965" i="1"/>
  <c r="A965" i="1"/>
  <c r="N964" i="1"/>
  <c r="M964" i="1"/>
  <c r="L964" i="1"/>
  <c r="K964" i="1"/>
  <c r="J964" i="1"/>
  <c r="H964" i="1"/>
  <c r="G964" i="1"/>
  <c r="E964" i="1"/>
  <c r="D964" i="1"/>
  <c r="C964" i="1"/>
  <c r="B964" i="1"/>
  <c r="A964" i="1"/>
  <c r="O963" i="1"/>
  <c r="N963" i="1"/>
  <c r="L963" i="1"/>
  <c r="H963" i="1"/>
  <c r="G963" i="1"/>
  <c r="E963" i="1"/>
  <c r="D963" i="1"/>
  <c r="C963" i="1"/>
  <c r="B963" i="1"/>
  <c r="A963" i="1"/>
  <c r="N962" i="1"/>
  <c r="M962" i="1"/>
  <c r="L962" i="1"/>
  <c r="H962" i="1"/>
  <c r="G962" i="1"/>
  <c r="F962" i="1"/>
  <c r="E962" i="1"/>
  <c r="D962" i="1"/>
  <c r="C962" i="1"/>
  <c r="B962" i="1"/>
  <c r="A962" i="1"/>
  <c r="N961" i="1"/>
  <c r="M961" i="1"/>
  <c r="L961" i="1"/>
  <c r="H961" i="1"/>
  <c r="G961" i="1"/>
  <c r="E961" i="1"/>
  <c r="D961" i="1"/>
  <c r="C961" i="1"/>
  <c r="B961" i="1"/>
  <c r="A961" i="1"/>
  <c r="N960" i="1"/>
  <c r="M960" i="1"/>
  <c r="L960" i="1"/>
  <c r="J960" i="1"/>
  <c r="H960" i="1"/>
  <c r="G960" i="1"/>
  <c r="E960" i="1"/>
  <c r="D960" i="1"/>
  <c r="C960" i="1"/>
  <c r="B960" i="1"/>
  <c r="A960" i="1"/>
  <c r="N959" i="1"/>
  <c r="M959" i="1"/>
  <c r="L959" i="1"/>
  <c r="J959" i="1"/>
  <c r="H959" i="1"/>
  <c r="G959" i="1"/>
  <c r="E959" i="1"/>
  <c r="D959" i="1"/>
  <c r="C959" i="1"/>
  <c r="B959" i="1"/>
  <c r="A959" i="1"/>
  <c r="N958" i="1"/>
  <c r="M958" i="1"/>
  <c r="L958" i="1"/>
  <c r="K958" i="1"/>
  <c r="J958" i="1"/>
  <c r="I958" i="1"/>
  <c r="H958" i="1"/>
  <c r="G958" i="1"/>
  <c r="E958" i="1"/>
  <c r="D958" i="1"/>
  <c r="C958" i="1"/>
  <c r="B958" i="1"/>
  <c r="A958" i="1"/>
  <c r="N957" i="1"/>
  <c r="M957" i="1"/>
  <c r="L957" i="1"/>
  <c r="J957" i="1"/>
  <c r="H957" i="1"/>
  <c r="G957" i="1"/>
  <c r="E957" i="1"/>
  <c r="D957" i="1"/>
  <c r="C957" i="1"/>
  <c r="B957" i="1"/>
  <c r="A957" i="1"/>
  <c r="N956" i="1"/>
  <c r="M956" i="1"/>
  <c r="L956" i="1"/>
  <c r="K956" i="1"/>
  <c r="J956" i="1"/>
  <c r="I956" i="1"/>
  <c r="H956" i="1"/>
  <c r="G956" i="1"/>
  <c r="E956" i="1"/>
  <c r="D956" i="1"/>
  <c r="C956" i="1"/>
  <c r="B956" i="1"/>
  <c r="A956" i="1"/>
  <c r="N955" i="1"/>
  <c r="M955" i="1"/>
  <c r="L955" i="1"/>
  <c r="K955" i="1"/>
  <c r="J955" i="1"/>
  <c r="I955" i="1"/>
  <c r="H955" i="1"/>
  <c r="G955" i="1"/>
  <c r="E955" i="1"/>
  <c r="D955" i="1"/>
  <c r="C955" i="1"/>
  <c r="B955" i="1"/>
  <c r="A955" i="1"/>
  <c r="N954" i="1"/>
  <c r="M954" i="1"/>
  <c r="L954" i="1"/>
  <c r="K954" i="1"/>
  <c r="J954" i="1"/>
  <c r="I954" i="1"/>
  <c r="H954" i="1"/>
  <c r="G954" i="1"/>
  <c r="E954" i="1"/>
  <c r="D954" i="1"/>
  <c r="C954" i="1"/>
  <c r="B954" i="1"/>
  <c r="A954" i="1"/>
  <c r="N953" i="1"/>
  <c r="M953" i="1"/>
  <c r="L953" i="1"/>
  <c r="K953" i="1"/>
  <c r="J953" i="1"/>
  <c r="I953" i="1"/>
  <c r="H953" i="1"/>
  <c r="G953" i="1"/>
  <c r="E953" i="1"/>
  <c r="D953" i="1"/>
  <c r="C953" i="1"/>
  <c r="B953" i="1"/>
  <c r="A953" i="1"/>
  <c r="N952" i="1"/>
  <c r="M952" i="1"/>
  <c r="L952" i="1"/>
  <c r="K952" i="1"/>
  <c r="J952" i="1"/>
  <c r="H952" i="1"/>
  <c r="G952" i="1"/>
  <c r="E952" i="1"/>
  <c r="D952" i="1"/>
  <c r="C952" i="1"/>
  <c r="B952" i="1"/>
  <c r="A952" i="1"/>
  <c r="N951" i="1"/>
  <c r="M951" i="1"/>
  <c r="L951" i="1"/>
  <c r="K951" i="1"/>
  <c r="J951" i="1"/>
  <c r="H951" i="1"/>
  <c r="G951" i="1"/>
  <c r="E951" i="1"/>
  <c r="D951" i="1"/>
  <c r="B951" i="1"/>
  <c r="A951" i="1"/>
  <c r="N950" i="1"/>
  <c r="L950" i="1"/>
  <c r="I950" i="1"/>
  <c r="H950" i="1"/>
  <c r="G950" i="1"/>
  <c r="D950" i="1"/>
  <c r="B950" i="1"/>
  <c r="A950" i="1"/>
  <c r="N949" i="1"/>
  <c r="M949" i="1"/>
  <c r="L949" i="1"/>
  <c r="K949" i="1"/>
  <c r="J949" i="1"/>
  <c r="H949" i="1"/>
  <c r="G949" i="1"/>
  <c r="E949" i="1"/>
  <c r="D949" i="1"/>
  <c r="C949" i="1"/>
  <c r="B949" i="1"/>
  <c r="A949" i="1"/>
  <c r="N948" i="1"/>
  <c r="M948" i="1"/>
  <c r="L948" i="1"/>
  <c r="K948" i="1"/>
  <c r="J948" i="1"/>
  <c r="H948" i="1"/>
  <c r="G948" i="1"/>
  <c r="E948" i="1"/>
  <c r="D948" i="1"/>
  <c r="C948" i="1"/>
  <c r="B948" i="1"/>
  <c r="A948" i="1"/>
  <c r="N947" i="1"/>
  <c r="M947" i="1"/>
  <c r="L947" i="1"/>
  <c r="K947" i="1"/>
  <c r="J947" i="1"/>
  <c r="H947" i="1"/>
  <c r="G947" i="1"/>
  <c r="F947" i="1"/>
  <c r="E947" i="1"/>
  <c r="D947" i="1"/>
  <c r="C947" i="1"/>
  <c r="B947" i="1"/>
  <c r="A947" i="1"/>
  <c r="N946" i="1"/>
  <c r="M946" i="1"/>
  <c r="L946" i="1"/>
  <c r="K946" i="1"/>
  <c r="J946" i="1"/>
  <c r="H946" i="1"/>
  <c r="G946" i="1"/>
  <c r="F946" i="1"/>
  <c r="E946" i="1"/>
  <c r="D946" i="1"/>
  <c r="C946" i="1"/>
  <c r="B946" i="1"/>
  <c r="A946" i="1"/>
  <c r="N945" i="1"/>
  <c r="M945" i="1"/>
  <c r="L945" i="1"/>
  <c r="K945" i="1"/>
  <c r="J945" i="1"/>
  <c r="H945" i="1"/>
  <c r="G945" i="1"/>
  <c r="F945" i="1"/>
  <c r="E945" i="1"/>
  <c r="D945" i="1"/>
  <c r="C945" i="1"/>
  <c r="B945" i="1"/>
  <c r="A945" i="1"/>
  <c r="N944" i="1"/>
  <c r="M944" i="1"/>
  <c r="L944" i="1"/>
  <c r="K944" i="1"/>
  <c r="J944" i="1"/>
  <c r="H944" i="1"/>
  <c r="G944" i="1"/>
  <c r="F944" i="1"/>
  <c r="E944" i="1"/>
  <c r="D944" i="1"/>
  <c r="C944" i="1"/>
  <c r="B944" i="1"/>
  <c r="A944" i="1"/>
  <c r="N943" i="1"/>
  <c r="M943" i="1"/>
  <c r="L943" i="1"/>
  <c r="K943" i="1"/>
  <c r="J943" i="1"/>
  <c r="I943" i="1"/>
  <c r="H943" i="1"/>
  <c r="G943" i="1"/>
  <c r="E943" i="1"/>
  <c r="D943" i="1"/>
  <c r="C943" i="1"/>
  <c r="B943" i="1"/>
  <c r="A943" i="1"/>
  <c r="O942" i="1"/>
  <c r="N942" i="1"/>
  <c r="M942" i="1"/>
  <c r="L942" i="1"/>
  <c r="K942" i="1"/>
  <c r="J942" i="1"/>
  <c r="I942" i="1"/>
  <c r="H942" i="1"/>
  <c r="G942" i="1"/>
  <c r="E942" i="1"/>
  <c r="D942" i="1"/>
  <c r="C942" i="1"/>
  <c r="B942" i="1"/>
  <c r="A942" i="1"/>
  <c r="N941" i="1"/>
  <c r="M941" i="1"/>
  <c r="L941" i="1"/>
  <c r="K941" i="1"/>
  <c r="J941" i="1"/>
  <c r="H941" i="1"/>
  <c r="G941" i="1"/>
  <c r="E941" i="1"/>
  <c r="D941" i="1"/>
  <c r="C941" i="1"/>
  <c r="B941" i="1"/>
  <c r="A941" i="1"/>
  <c r="N940" i="1"/>
  <c r="M940" i="1"/>
  <c r="L940" i="1"/>
  <c r="K940" i="1"/>
  <c r="J940" i="1"/>
  <c r="I940" i="1"/>
  <c r="H940" i="1"/>
  <c r="G940" i="1"/>
  <c r="E940" i="1"/>
  <c r="D940" i="1"/>
  <c r="C940" i="1"/>
  <c r="B940" i="1"/>
  <c r="A940" i="1"/>
  <c r="N939" i="1"/>
  <c r="M939" i="1"/>
  <c r="L939" i="1"/>
  <c r="K939" i="1"/>
  <c r="J939" i="1"/>
  <c r="I939" i="1"/>
  <c r="H939" i="1"/>
  <c r="G939" i="1"/>
  <c r="E939" i="1"/>
  <c r="D939" i="1"/>
  <c r="C939" i="1"/>
  <c r="B939" i="1"/>
  <c r="A939" i="1"/>
  <c r="N938" i="1"/>
  <c r="M938" i="1"/>
  <c r="L938" i="1"/>
  <c r="K938" i="1"/>
  <c r="J938" i="1"/>
  <c r="H938" i="1"/>
  <c r="G938" i="1"/>
  <c r="E938" i="1"/>
  <c r="D938" i="1"/>
  <c r="C938" i="1"/>
  <c r="B938" i="1"/>
  <c r="A938" i="1"/>
  <c r="O937" i="1"/>
  <c r="N937" i="1"/>
  <c r="M937" i="1"/>
  <c r="L937" i="1"/>
  <c r="H937" i="1"/>
  <c r="G937" i="1"/>
  <c r="E937" i="1"/>
  <c r="D937" i="1"/>
  <c r="C937" i="1"/>
  <c r="B937" i="1"/>
  <c r="A937" i="1"/>
  <c r="O936" i="1"/>
  <c r="N936" i="1"/>
  <c r="M936" i="1"/>
  <c r="L936" i="1"/>
  <c r="K936" i="1"/>
  <c r="J936" i="1"/>
  <c r="H936" i="1"/>
  <c r="G936" i="1"/>
  <c r="E936" i="1"/>
  <c r="D936" i="1"/>
  <c r="C936" i="1"/>
  <c r="B936" i="1"/>
  <c r="A936" i="1"/>
  <c r="N935" i="1"/>
  <c r="M935" i="1"/>
  <c r="L935" i="1"/>
  <c r="K935" i="1"/>
  <c r="J935" i="1"/>
  <c r="H935" i="1"/>
  <c r="G935" i="1"/>
  <c r="E935" i="1"/>
  <c r="D935" i="1"/>
  <c r="C935" i="1"/>
  <c r="B935" i="1"/>
  <c r="A935" i="1"/>
  <c r="N934" i="1"/>
  <c r="M934" i="1"/>
  <c r="L934" i="1"/>
  <c r="K934" i="1"/>
  <c r="J934" i="1"/>
  <c r="H934" i="1"/>
  <c r="G934" i="1"/>
  <c r="E934" i="1"/>
  <c r="D934" i="1"/>
  <c r="C934" i="1"/>
  <c r="B934" i="1"/>
  <c r="A934" i="1"/>
  <c r="O933" i="1"/>
  <c r="N933" i="1"/>
  <c r="M933" i="1"/>
  <c r="L933" i="1"/>
  <c r="H933" i="1"/>
  <c r="G933" i="1"/>
  <c r="E933" i="1"/>
  <c r="D933" i="1"/>
  <c r="C933" i="1"/>
  <c r="B933" i="1"/>
  <c r="A933" i="1"/>
  <c r="N932" i="1"/>
  <c r="M932" i="1"/>
  <c r="L932" i="1"/>
  <c r="H932" i="1"/>
  <c r="G932" i="1"/>
  <c r="E932" i="1"/>
  <c r="D932" i="1"/>
  <c r="C932" i="1"/>
  <c r="B932" i="1"/>
  <c r="A932" i="1"/>
  <c r="N931" i="1"/>
  <c r="M931" i="1"/>
  <c r="L931" i="1"/>
  <c r="H931" i="1"/>
  <c r="G931" i="1"/>
  <c r="E931" i="1"/>
  <c r="D931" i="1"/>
  <c r="C931" i="1"/>
  <c r="B931" i="1"/>
  <c r="A931" i="1"/>
  <c r="N930" i="1"/>
  <c r="M930" i="1"/>
  <c r="L930" i="1"/>
  <c r="K930" i="1"/>
  <c r="J930" i="1"/>
  <c r="H930" i="1"/>
  <c r="G930" i="1"/>
  <c r="F930" i="1"/>
  <c r="E930" i="1"/>
  <c r="D930" i="1"/>
  <c r="C930" i="1"/>
  <c r="B930" i="1"/>
  <c r="A930" i="1"/>
  <c r="N929" i="1"/>
  <c r="M929" i="1"/>
  <c r="L929" i="1"/>
  <c r="K929" i="1"/>
  <c r="J929" i="1"/>
  <c r="H929" i="1"/>
  <c r="G929" i="1"/>
  <c r="F929" i="1"/>
  <c r="E929" i="1"/>
  <c r="D929" i="1"/>
  <c r="C929" i="1"/>
  <c r="B929" i="1"/>
  <c r="A929" i="1"/>
  <c r="N928" i="1"/>
  <c r="M928" i="1"/>
  <c r="L928" i="1"/>
  <c r="H928" i="1"/>
  <c r="G928" i="1"/>
  <c r="E928" i="1"/>
  <c r="D928" i="1"/>
  <c r="C928" i="1"/>
  <c r="B928" i="1"/>
  <c r="A928" i="1"/>
  <c r="N927" i="1"/>
  <c r="M927" i="1"/>
  <c r="L927" i="1"/>
  <c r="K927" i="1"/>
  <c r="J927" i="1"/>
  <c r="H927" i="1"/>
  <c r="G927" i="1"/>
  <c r="E927" i="1"/>
  <c r="D927" i="1"/>
  <c r="C927" i="1"/>
  <c r="B927" i="1"/>
  <c r="A927" i="1"/>
  <c r="N926" i="1"/>
  <c r="M926" i="1"/>
  <c r="L926" i="1"/>
  <c r="J926" i="1"/>
  <c r="H926" i="1"/>
  <c r="G926" i="1"/>
  <c r="E926" i="1"/>
  <c r="D926" i="1"/>
  <c r="C926" i="1"/>
  <c r="B926" i="1"/>
  <c r="A926" i="1"/>
  <c r="N925" i="1"/>
  <c r="M925" i="1"/>
  <c r="L925" i="1"/>
  <c r="K925" i="1"/>
  <c r="J925" i="1"/>
  <c r="H925" i="1"/>
  <c r="G925" i="1"/>
  <c r="E925" i="1"/>
  <c r="D925" i="1"/>
  <c r="C925" i="1"/>
  <c r="B925" i="1"/>
  <c r="A925" i="1"/>
  <c r="N924" i="1"/>
  <c r="M924" i="1"/>
  <c r="L924" i="1"/>
  <c r="K924" i="1"/>
  <c r="J924" i="1"/>
  <c r="H924" i="1"/>
  <c r="G924" i="1"/>
  <c r="E924" i="1"/>
  <c r="D924" i="1"/>
  <c r="C924" i="1"/>
  <c r="B924" i="1"/>
  <c r="A924" i="1"/>
  <c r="N923" i="1"/>
  <c r="M923" i="1"/>
  <c r="L923" i="1"/>
  <c r="I923" i="1"/>
  <c r="H923" i="1"/>
  <c r="G923" i="1"/>
  <c r="E923" i="1"/>
  <c r="D923" i="1"/>
  <c r="B923" i="1"/>
  <c r="A923" i="1"/>
  <c r="N922" i="1"/>
  <c r="M922" i="1"/>
  <c r="L922" i="1"/>
  <c r="H922" i="1"/>
  <c r="G922" i="1"/>
  <c r="E922" i="1"/>
  <c r="D922" i="1"/>
  <c r="B922" i="1"/>
  <c r="A922" i="1"/>
  <c r="N921" i="1"/>
  <c r="M921" i="1"/>
  <c r="L921" i="1"/>
  <c r="K921" i="1"/>
  <c r="J921" i="1"/>
  <c r="H921" i="1"/>
  <c r="G921" i="1"/>
  <c r="E921" i="1"/>
  <c r="D921" i="1"/>
  <c r="B921" i="1"/>
  <c r="A921" i="1"/>
  <c r="N920" i="1"/>
  <c r="M920" i="1"/>
  <c r="L920" i="1"/>
  <c r="K920" i="1"/>
  <c r="J920" i="1"/>
  <c r="H920" i="1"/>
  <c r="G920" i="1"/>
  <c r="E920" i="1"/>
  <c r="D920" i="1"/>
  <c r="B920" i="1"/>
  <c r="A920" i="1"/>
  <c r="N919" i="1"/>
  <c r="M919" i="1"/>
  <c r="L919" i="1"/>
  <c r="K919" i="1"/>
  <c r="J919" i="1"/>
  <c r="H919" i="1"/>
  <c r="G919" i="1"/>
  <c r="E919" i="1"/>
  <c r="D919" i="1"/>
  <c r="C919" i="1"/>
  <c r="B919" i="1"/>
  <c r="A919" i="1"/>
  <c r="N918" i="1"/>
  <c r="M918" i="1"/>
  <c r="L918" i="1"/>
  <c r="K918" i="1"/>
  <c r="J918" i="1"/>
  <c r="H918" i="1"/>
  <c r="G918" i="1"/>
  <c r="E918" i="1"/>
  <c r="D918" i="1"/>
  <c r="C918" i="1"/>
  <c r="B918" i="1"/>
  <c r="A918" i="1"/>
  <c r="N917" i="1"/>
  <c r="M917" i="1"/>
  <c r="L917" i="1"/>
  <c r="K917" i="1"/>
  <c r="J917" i="1"/>
  <c r="H917" i="1"/>
  <c r="G917" i="1"/>
  <c r="E917" i="1"/>
  <c r="D917" i="1"/>
  <c r="C917" i="1"/>
  <c r="B917" i="1"/>
  <c r="A917" i="1"/>
  <c r="N916" i="1"/>
  <c r="M916" i="1"/>
  <c r="L916" i="1"/>
  <c r="J916" i="1"/>
  <c r="H916" i="1"/>
  <c r="G916" i="1"/>
  <c r="E916" i="1"/>
  <c r="D916" i="1"/>
  <c r="B916" i="1"/>
  <c r="A916" i="1"/>
  <c r="N915" i="1"/>
  <c r="M915" i="1"/>
  <c r="L915" i="1"/>
  <c r="J915" i="1"/>
  <c r="H915" i="1"/>
  <c r="G915" i="1"/>
  <c r="E915" i="1"/>
  <c r="D915" i="1"/>
  <c r="B915" i="1"/>
  <c r="A915" i="1"/>
  <c r="N914" i="1"/>
  <c r="M914" i="1"/>
  <c r="L914" i="1"/>
  <c r="J914" i="1"/>
  <c r="H914" i="1"/>
  <c r="G914" i="1"/>
  <c r="E914" i="1"/>
  <c r="D914" i="1"/>
  <c r="B914" i="1"/>
  <c r="A914" i="1"/>
  <c r="N913" i="1"/>
  <c r="M913" i="1"/>
  <c r="L913" i="1"/>
  <c r="J913" i="1"/>
  <c r="H913" i="1"/>
  <c r="G913" i="1"/>
  <c r="E913" i="1"/>
  <c r="D913" i="1"/>
  <c r="B913" i="1"/>
  <c r="A913" i="1"/>
  <c r="N912" i="1"/>
  <c r="L912" i="1"/>
  <c r="K912" i="1"/>
  <c r="J912" i="1"/>
  <c r="I912" i="1"/>
  <c r="H912" i="1"/>
  <c r="G912" i="1"/>
  <c r="F912" i="1"/>
  <c r="E912" i="1"/>
  <c r="D912" i="1"/>
  <c r="C912" i="1"/>
  <c r="B912" i="1"/>
  <c r="A912" i="1"/>
  <c r="N911" i="1"/>
  <c r="M911" i="1"/>
  <c r="L911" i="1"/>
  <c r="J911" i="1"/>
  <c r="H911" i="1"/>
  <c r="G911" i="1"/>
  <c r="E911" i="1"/>
  <c r="D911" i="1"/>
  <c r="B911" i="1"/>
  <c r="A911" i="1"/>
  <c r="N910" i="1"/>
  <c r="M910" i="1"/>
  <c r="L910" i="1"/>
  <c r="K910" i="1"/>
  <c r="J910" i="1"/>
  <c r="H910" i="1"/>
  <c r="G910" i="1"/>
  <c r="E910" i="1"/>
  <c r="D910" i="1"/>
  <c r="C910" i="1"/>
  <c r="B910" i="1"/>
  <c r="A910" i="1"/>
  <c r="N909" i="1"/>
  <c r="M909" i="1"/>
  <c r="L909" i="1"/>
  <c r="K909" i="1"/>
  <c r="J909" i="1"/>
  <c r="H909" i="1"/>
  <c r="G909" i="1"/>
  <c r="E909" i="1"/>
  <c r="D909" i="1"/>
  <c r="C909" i="1"/>
  <c r="B909" i="1"/>
  <c r="A909" i="1"/>
  <c r="N908" i="1"/>
  <c r="M908" i="1"/>
  <c r="L908" i="1"/>
  <c r="J908" i="1"/>
  <c r="H908" i="1"/>
  <c r="G908" i="1"/>
  <c r="E908" i="1"/>
  <c r="D908" i="1"/>
  <c r="B908" i="1"/>
  <c r="A908" i="1"/>
  <c r="N907" i="1"/>
  <c r="M907" i="1"/>
  <c r="L907" i="1"/>
  <c r="K907" i="1"/>
  <c r="J907" i="1"/>
  <c r="H907" i="1"/>
  <c r="G907" i="1"/>
  <c r="E907" i="1"/>
  <c r="D907" i="1"/>
  <c r="C907" i="1"/>
  <c r="B907" i="1"/>
  <c r="A907" i="1"/>
  <c r="N906" i="1"/>
  <c r="M906" i="1"/>
  <c r="L906" i="1"/>
  <c r="J906" i="1"/>
  <c r="H906" i="1"/>
  <c r="G906" i="1"/>
  <c r="E906" i="1"/>
  <c r="D906" i="1"/>
  <c r="B906" i="1"/>
  <c r="A906" i="1"/>
  <c r="N905" i="1"/>
  <c r="M905" i="1"/>
  <c r="L905" i="1"/>
  <c r="K905" i="1"/>
  <c r="J905" i="1"/>
  <c r="H905" i="1"/>
  <c r="G905" i="1"/>
  <c r="E905" i="1"/>
  <c r="D905" i="1"/>
  <c r="C905" i="1"/>
  <c r="B905" i="1"/>
  <c r="A905" i="1"/>
  <c r="N904" i="1"/>
  <c r="M904" i="1"/>
  <c r="L904" i="1"/>
  <c r="J904" i="1"/>
  <c r="H904" i="1"/>
  <c r="G904" i="1"/>
  <c r="E904" i="1"/>
  <c r="D904" i="1"/>
  <c r="B904" i="1"/>
  <c r="A904" i="1"/>
  <c r="N903" i="1"/>
  <c r="M903" i="1"/>
  <c r="L903" i="1"/>
  <c r="J903" i="1"/>
  <c r="H903" i="1"/>
  <c r="G903" i="1"/>
  <c r="E903" i="1"/>
  <c r="D903" i="1"/>
  <c r="B903" i="1"/>
  <c r="A903" i="1"/>
  <c r="N902" i="1"/>
  <c r="M902" i="1"/>
  <c r="L902" i="1"/>
  <c r="J902" i="1"/>
  <c r="H902" i="1"/>
  <c r="G902" i="1"/>
  <c r="E902" i="1"/>
  <c r="D902" i="1"/>
  <c r="B902" i="1"/>
  <c r="A902" i="1"/>
  <c r="N901" i="1"/>
  <c r="M901" i="1"/>
  <c r="L901" i="1"/>
  <c r="K901" i="1"/>
  <c r="J901" i="1"/>
  <c r="H901" i="1"/>
  <c r="G901" i="1"/>
  <c r="E901" i="1"/>
  <c r="D901" i="1"/>
  <c r="C901" i="1"/>
  <c r="B901" i="1"/>
  <c r="A901" i="1"/>
  <c r="N900" i="1"/>
  <c r="M900" i="1"/>
  <c r="L900" i="1"/>
  <c r="J900" i="1"/>
  <c r="H900" i="1"/>
  <c r="G900" i="1"/>
  <c r="E900" i="1"/>
  <c r="D900" i="1"/>
  <c r="B900" i="1"/>
  <c r="A900" i="1"/>
  <c r="N899" i="1"/>
  <c r="M899" i="1"/>
  <c r="L899" i="1"/>
  <c r="K899" i="1"/>
  <c r="J899" i="1"/>
  <c r="I899" i="1"/>
  <c r="H899" i="1"/>
  <c r="G899" i="1"/>
  <c r="E899" i="1"/>
  <c r="D899" i="1"/>
  <c r="C899" i="1"/>
  <c r="B899" i="1"/>
  <c r="A899" i="1"/>
  <c r="N898" i="1"/>
  <c r="M898" i="1"/>
  <c r="L898" i="1"/>
  <c r="J898" i="1"/>
  <c r="H898" i="1"/>
  <c r="G898" i="1"/>
  <c r="E898" i="1"/>
  <c r="D898" i="1"/>
  <c r="C898" i="1"/>
  <c r="B898" i="1"/>
  <c r="A898" i="1"/>
  <c r="N897" i="1"/>
  <c r="M897" i="1"/>
  <c r="L897" i="1"/>
  <c r="K897" i="1"/>
  <c r="J897" i="1"/>
  <c r="H897" i="1"/>
  <c r="G897" i="1"/>
  <c r="F897" i="1"/>
  <c r="E897" i="1"/>
  <c r="D897" i="1"/>
  <c r="C897" i="1"/>
  <c r="B897" i="1"/>
  <c r="A897" i="1"/>
  <c r="N896" i="1"/>
  <c r="M896" i="1"/>
  <c r="L896" i="1"/>
  <c r="K896" i="1"/>
  <c r="J896" i="1"/>
  <c r="H896" i="1"/>
  <c r="G896" i="1"/>
  <c r="F896" i="1"/>
  <c r="E896" i="1"/>
  <c r="D896" i="1"/>
  <c r="C896" i="1"/>
  <c r="B896" i="1"/>
  <c r="A896" i="1"/>
  <c r="N895" i="1"/>
  <c r="M895" i="1"/>
  <c r="L895" i="1"/>
  <c r="J895" i="1"/>
  <c r="H895" i="1"/>
  <c r="G895" i="1"/>
  <c r="F895" i="1"/>
  <c r="E895" i="1"/>
  <c r="D895" i="1"/>
  <c r="B895" i="1"/>
  <c r="A895" i="1"/>
  <c r="N894" i="1"/>
  <c r="M894" i="1"/>
  <c r="L894" i="1"/>
  <c r="K894" i="1"/>
  <c r="J894" i="1"/>
  <c r="H894" i="1"/>
  <c r="G894" i="1"/>
  <c r="F894" i="1"/>
  <c r="E894" i="1"/>
  <c r="D894" i="1"/>
  <c r="C894" i="1"/>
  <c r="B894" i="1"/>
  <c r="A894" i="1"/>
  <c r="N893" i="1"/>
  <c r="M893" i="1"/>
  <c r="L893" i="1"/>
  <c r="J893" i="1"/>
  <c r="H893" i="1"/>
  <c r="G893" i="1"/>
  <c r="F893" i="1"/>
  <c r="E893" i="1"/>
  <c r="D893" i="1"/>
  <c r="B893" i="1"/>
  <c r="A893" i="1"/>
  <c r="N892" i="1"/>
  <c r="M892" i="1"/>
  <c r="L892" i="1"/>
  <c r="K892" i="1"/>
  <c r="J892" i="1"/>
  <c r="H892" i="1"/>
  <c r="G892" i="1"/>
  <c r="F892" i="1"/>
  <c r="E892" i="1"/>
  <c r="D892" i="1"/>
  <c r="C892" i="1"/>
  <c r="B892" i="1"/>
  <c r="A892" i="1"/>
  <c r="N891" i="1"/>
  <c r="M891" i="1"/>
  <c r="L891" i="1"/>
  <c r="J891" i="1"/>
  <c r="H891" i="1"/>
  <c r="G891" i="1"/>
  <c r="F891" i="1"/>
  <c r="E891" i="1"/>
  <c r="D891" i="1"/>
  <c r="B891" i="1"/>
  <c r="A891" i="1"/>
  <c r="N890" i="1"/>
  <c r="M890" i="1"/>
  <c r="L890" i="1"/>
  <c r="K890" i="1"/>
  <c r="J890" i="1"/>
  <c r="H890" i="1"/>
  <c r="G890" i="1"/>
  <c r="F890" i="1"/>
  <c r="E890" i="1"/>
  <c r="D890" i="1"/>
  <c r="B890" i="1"/>
  <c r="A890" i="1"/>
  <c r="O889" i="1"/>
  <c r="N889" i="1"/>
  <c r="L889" i="1"/>
  <c r="H889" i="1"/>
  <c r="G889" i="1"/>
  <c r="D889" i="1"/>
  <c r="B889" i="1"/>
  <c r="A889" i="1"/>
  <c r="N888" i="1"/>
  <c r="M888" i="1"/>
  <c r="L888" i="1"/>
  <c r="K888" i="1"/>
  <c r="J888" i="1"/>
  <c r="H888" i="1"/>
  <c r="G888" i="1"/>
  <c r="F888" i="1"/>
  <c r="E888" i="1"/>
  <c r="D888" i="1"/>
  <c r="C888" i="1"/>
  <c r="B888" i="1"/>
  <c r="A888" i="1"/>
  <c r="N887" i="1"/>
  <c r="M887" i="1"/>
  <c r="L887" i="1"/>
  <c r="J887" i="1"/>
  <c r="H887" i="1"/>
  <c r="G887" i="1"/>
  <c r="E887" i="1"/>
  <c r="D887" i="1"/>
  <c r="C887" i="1"/>
  <c r="B887" i="1"/>
  <c r="A887" i="1"/>
  <c r="N886" i="1"/>
  <c r="M886" i="1"/>
  <c r="L886" i="1"/>
  <c r="K886" i="1"/>
  <c r="J886" i="1"/>
  <c r="H886" i="1"/>
  <c r="G886" i="1"/>
  <c r="E886" i="1"/>
  <c r="D886" i="1"/>
  <c r="C886" i="1"/>
  <c r="B886" i="1"/>
  <c r="A886" i="1"/>
  <c r="N885" i="1"/>
  <c r="M885" i="1"/>
  <c r="L885" i="1"/>
  <c r="J885" i="1"/>
  <c r="H885" i="1"/>
  <c r="G885" i="1"/>
  <c r="E885" i="1"/>
  <c r="D885" i="1"/>
  <c r="B885" i="1"/>
  <c r="A885" i="1"/>
  <c r="N884" i="1"/>
  <c r="M884" i="1"/>
  <c r="L884" i="1"/>
  <c r="J884" i="1"/>
  <c r="H884" i="1"/>
  <c r="G884" i="1"/>
  <c r="E884" i="1"/>
  <c r="D884" i="1"/>
  <c r="C884" i="1"/>
  <c r="B884" i="1"/>
  <c r="A884" i="1"/>
  <c r="N883" i="1"/>
  <c r="M883" i="1"/>
  <c r="L883" i="1"/>
  <c r="J883" i="1"/>
  <c r="H883" i="1"/>
  <c r="G883" i="1"/>
  <c r="E883" i="1"/>
  <c r="D883" i="1"/>
  <c r="C883" i="1"/>
  <c r="B883" i="1"/>
  <c r="A883" i="1"/>
  <c r="N882" i="1"/>
  <c r="M882" i="1"/>
  <c r="L882" i="1"/>
  <c r="J882" i="1"/>
  <c r="H882" i="1"/>
  <c r="G882" i="1"/>
  <c r="E882" i="1"/>
  <c r="D882" i="1"/>
  <c r="C882" i="1"/>
  <c r="B882" i="1"/>
  <c r="A882" i="1"/>
  <c r="O881" i="1"/>
  <c r="N881" i="1"/>
  <c r="L881" i="1"/>
  <c r="I881" i="1"/>
  <c r="H881" i="1"/>
  <c r="G881" i="1"/>
  <c r="D881" i="1"/>
  <c r="B881" i="1"/>
  <c r="A881" i="1"/>
  <c r="N880" i="1"/>
  <c r="M880" i="1"/>
  <c r="L880" i="1"/>
  <c r="J880" i="1"/>
  <c r="H880" i="1"/>
  <c r="G880" i="1"/>
  <c r="E880" i="1"/>
  <c r="D880" i="1"/>
  <c r="B880" i="1"/>
  <c r="A880" i="1"/>
  <c r="N879" i="1"/>
  <c r="M879" i="1"/>
  <c r="L879" i="1"/>
  <c r="K879" i="1"/>
  <c r="J879" i="1"/>
  <c r="H879" i="1"/>
  <c r="G879" i="1"/>
  <c r="E879" i="1"/>
  <c r="D879" i="1"/>
  <c r="C879" i="1"/>
  <c r="B879" i="1"/>
  <c r="A879" i="1"/>
  <c r="N878" i="1"/>
  <c r="M878" i="1"/>
  <c r="L878" i="1"/>
  <c r="K878" i="1"/>
  <c r="J878" i="1"/>
  <c r="H878" i="1"/>
  <c r="G878" i="1"/>
  <c r="E878" i="1"/>
  <c r="D878" i="1"/>
  <c r="C878" i="1"/>
  <c r="B878" i="1"/>
  <c r="A878" i="1"/>
  <c r="N877" i="1"/>
  <c r="M877" i="1"/>
  <c r="L877" i="1"/>
  <c r="K877" i="1"/>
  <c r="J877" i="1"/>
  <c r="H877" i="1"/>
  <c r="G877" i="1"/>
  <c r="E877" i="1"/>
  <c r="D877" i="1"/>
  <c r="C877" i="1"/>
  <c r="B877" i="1"/>
  <c r="A877" i="1"/>
  <c r="N876" i="1"/>
  <c r="M876" i="1"/>
  <c r="L876" i="1"/>
  <c r="K876" i="1"/>
  <c r="J876" i="1"/>
  <c r="H876" i="1"/>
  <c r="G876" i="1"/>
  <c r="E876" i="1"/>
  <c r="D876" i="1"/>
  <c r="C876" i="1"/>
  <c r="B876" i="1"/>
  <c r="A876" i="1"/>
  <c r="N875" i="1"/>
  <c r="M875" i="1"/>
  <c r="L875" i="1"/>
  <c r="K875" i="1"/>
  <c r="J875" i="1"/>
  <c r="H875" i="1"/>
  <c r="G875" i="1"/>
  <c r="E875" i="1"/>
  <c r="D875" i="1"/>
  <c r="C875" i="1"/>
  <c r="B875" i="1"/>
  <c r="A875" i="1"/>
  <c r="N874" i="1"/>
  <c r="M874" i="1"/>
  <c r="L874" i="1"/>
  <c r="J874" i="1"/>
  <c r="H874" i="1"/>
  <c r="G874" i="1"/>
  <c r="E874" i="1"/>
  <c r="D874" i="1"/>
  <c r="C874" i="1"/>
  <c r="B874" i="1"/>
  <c r="A874" i="1"/>
  <c r="N873" i="1"/>
  <c r="M873" i="1"/>
  <c r="L873" i="1"/>
  <c r="K873" i="1"/>
  <c r="J873" i="1"/>
  <c r="H873" i="1"/>
  <c r="G873" i="1"/>
  <c r="E873" i="1"/>
  <c r="D873" i="1"/>
  <c r="C873" i="1"/>
  <c r="B873" i="1"/>
  <c r="A873" i="1"/>
  <c r="N872" i="1"/>
  <c r="M872" i="1"/>
  <c r="L872" i="1"/>
  <c r="J872" i="1"/>
  <c r="H872" i="1"/>
  <c r="G872" i="1"/>
  <c r="E872" i="1"/>
  <c r="D872" i="1"/>
  <c r="C872" i="1"/>
  <c r="B872" i="1"/>
  <c r="A872" i="1"/>
  <c r="N871" i="1"/>
  <c r="M871" i="1"/>
  <c r="L871" i="1"/>
  <c r="J871" i="1"/>
  <c r="I871" i="1"/>
  <c r="H871" i="1"/>
  <c r="G871" i="1"/>
  <c r="E871" i="1"/>
  <c r="D871" i="1"/>
  <c r="C871" i="1"/>
  <c r="B871" i="1"/>
  <c r="A871" i="1"/>
  <c r="N870" i="1"/>
  <c r="M870" i="1"/>
  <c r="L870" i="1"/>
  <c r="J870" i="1"/>
  <c r="I870" i="1"/>
  <c r="H870" i="1"/>
  <c r="G870" i="1"/>
  <c r="E870" i="1"/>
  <c r="D870" i="1"/>
  <c r="C870" i="1"/>
  <c r="B870" i="1"/>
  <c r="A870" i="1"/>
  <c r="N869" i="1"/>
  <c r="M869" i="1"/>
  <c r="L869" i="1"/>
  <c r="K869" i="1"/>
  <c r="J869" i="1"/>
  <c r="H869" i="1"/>
  <c r="G869" i="1"/>
  <c r="E869" i="1"/>
  <c r="D869" i="1"/>
  <c r="C869" i="1"/>
  <c r="B869" i="1"/>
  <c r="A869" i="1"/>
  <c r="N868" i="1"/>
  <c r="M868" i="1"/>
  <c r="L868" i="1"/>
  <c r="K868" i="1"/>
  <c r="J868" i="1"/>
  <c r="H868" i="1"/>
  <c r="G868" i="1"/>
  <c r="E868" i="1"/>
  <c r="D868" i="1"/>
  <c r="C868" i="1"/>
  <c r="B868" i="1"/>
  <c r="A868" i="1"/>
  <c r="N867" i="1"/>
  <c r="M867" i="1"/>
  <c r="L867" i="1"/>
  <c r="K867" i="1"/>
  <c r="J867" i="1"/>
  <c r="H867" i="1"/>
  <c r="G867" i="1"/>
  <c r="E867" i="1"/>
  <c r="D867" i="1"/>
  <c r="C867" i="1"/>
  <c r="B867" i="1"/>
  <c r="A867" i="1"/>
  <c r="O866" i="1"/>
  <c r="N866" i="1"/>
  <c r="M866" i="1"/>
  <c r="L866" i="1"/>
  <c r="K866" i="1"/>
  <c r="J866" i="1"/>
  <c r="H866" i="1"/>
  <c r="G866" i="1"/>
  <c r="E866" i="1"/>
  <c r="D866" i="1"/>
  <c r="C866" i="1"/>
  <c r="B866" i="1"/>
  <c r="A866" i="1"/>
  <c r="N865" i="1"/>
  <c r="M865" i="1"/>
  <c r="L865" i="1"/>
  <c r="K865" i="1"/>
  <c r="J865" i="1"/>
  <c r="H865" i="1"/>
  <c r="G865" i="1"/>
  <c r="D865" i="1"/>
  <c r="C865" i="1"/>
  <c r="B865" i="1"/>
  <c r="A865" i="1"/>
  <c r="N864" i="1"/>
  <c r="M864" i="1"/>
  <c r="L864" i="1"/>
  <c r="K864" i="1"/>
  <c r="J864" i="1"/>
  <c r="H864" i="1"/>
  <c r="G864" i="1"/>
  <c r="F864" i="1"/>
  <c r="E864" i="1"/>
  <c r="D864" i="1"/>
  <c r="C864" i="1"/>
  <c r="B864" i="1"/>
  <c r="A864" i="1"/>
  <c r="N863" i="1"/>
  <c r="M863" i="1"/>
  <c r="L863" i="1"/>
  <c r="K863" i="1"/>
  <c r="J863" i="1"/>
  <c r="H863" i="1"/>
  <c r="G863" i="1"/>
  <c r="F863" i="1"/>
  <c r="E863" i="1"/>
  <c r="D863" i="1"/>
  <c r="C863" i="1"/>
  <c r="B863" i="1"/>
  <c r="A863" i="1"/>
  <c r="O862" i="1"/>
  <c r="N862" i="1"/>
  <c r="M862" i="1"/>
  <c r="L862" i="1"/>
  <c r="H862" i="1"/>
  <c r="G862" i="1"/>
  <c r="E862" i="1"/>
  <c r="D862" i="1"/>
  <c r="C862" i="1"/>
  <c r="B862" i="1"/>
  <c r="A862" i="1"/>
  <c r="O861" i="1"/>
  <c r="N861" i="1"/>
  <c r="M861" i="1"/>
  <c r="L861" i="1"/>
  <c r="K861" i="1"/>
  <c r="J861" i="1"/>
  <c r="I861" i="1"/>
  <c r="H861" i="1"/>
  <c r="G861" i="1"/>
  <c r="F861" i="1"/>
  <c r="E861" i="1"/>
  <c r="D861" i="1"/>
  <c r="C861" i="1"/>
  <c r="B861" i="1"/>
  <c r="A861" i="1"/>
  <c r="N860" i="1"/>
  <c r="M860" i="1"/>
  <c r="L860" i="1"/>
  <c r="K860" i="1"/>
  <c r="J860" i="1"/>
  <c r="I860" i="1"/>
  <c r="H860" i="1"/>
  <c r="G860" i="1"/>
  <c r="F860" i="1"/>
  <c r="E860" i="1"/>
  <c r="D860" i="1"/>
  <c r="C860" i="1"/>
  <c r="B860" i="1"/>
  <c r="A860" i="1"/>
  <c r="N859" i="1"/>
  <c r="L859" i="1"/>
  <c r="K859" i="1"/>
  <c r="J859" i="1"/>
  <c r="I859" i="1"/>
  <c r="H859" i="1"/>
  <c r="G859" i="1"/>
  <c r="F859" i="1"/>
  <c r="E859" i="1"/>
  <c r="D859" i="1"/>
  <c r="B859" i="1"/>
  <c r="A859" i="1"/>
  <c r="N858" i="1"/>
  <c r="L858" i="1"/>
  <c r="I858" i="1"/>
  <c r="H858" i="1"/>
  <c r="G858" i="1"/>
  <c r="F858" i="1"/>
  <c r="E858" i="1"/>
  <c r="D858" i="1"/>
  <c r="C858" i="1"/>
  <c r="B858" i="1"/>
  <c r="A858" i="1"/>
  <c r="N857" i="1"/>
  <c r="M857" i="1"/>
  <c r="L857" i="1"/>
  <c r="K857" i="1"/>
  <c r="J857" i="1"/>
  <c r="H857" i="1"/>
  <c r="G857" i="1"/>
  <c r="E857" i="1"/>
  <c r="D857" i="1"/>
  <c r="C857" i="1"/>
  <c r="B857" i="1"/>
  <c r="A857" i="1"/>
  <c r="N856" i="1"/>
  <c r="M856" i="1"/>
  <c r="L856" i="1"/>
  <c r="J856" i="1"/>
  <c r="H856" i="1"/>
  <c r="G856" i="1"/>
  <c r="E856" i="1"/>
  <c r="D856" i="1"/>
  <c r="B856" i="1"/>
  <c r="A856" i="1"/>
  <c r="N855" i="1"/>
  <c r="M855" i="1"/>
  <c r="L855" i="1"/>
  <c r="J855" i="1"/>
  <c r="H855" i="1"/>
  <c r="G855" i="1"/>
  <c r="E855" i="1"/>
  <c r="D855" i="1"/>
  <c r="B855" i="1"/>
  <c r="A855" i="1"/>
  <c r="N854" i="1"/>
  <c r="M854" i="1"/>
  <c r="L854" i="1"/>
  <c r="K854" i="1"/>
  <c r="J854" i="1"/>
  <c r="H854" i="1"/>
  <c r="G854" i="1"/>
  <c r="E854" i="1"/>
  <c r="D854" i="1"/>
  <c r="C854" i="1"/>
  <c r="B854" i="1"/>
  <c r="A854" i="1"/>
  <c r="O853" i="1"/>
  <c r="N853" i="1"/>
  <c r="M853" i="1"/>
  <c r="L853" i="1"/>
  <c r="K853" i="1"/>
  <c r="J853" i="1"/>
  <c r="H853" i="1"/>
  <c r="G853" i="1"/>
  <c r="E853" i="1"/>
  <c r="D853" i="1"/>
  <c r="C853" i="1"/>
  <c r="B853" i="1"/>
  <c r="A853" i="1"/>
  <c r="N852" i="1"/>
  <c r="M852" i="1"/>
  <c r="L852" i="1"/>
  <c r="K852" i="1"/>
  <c r="J852" i="1"/>
  <c r="H852" i="1"/>
  <c r="G852" i="1"/>
  <c r="E852" i="1"/>
  <c r="D852" i="1"/>
  <c r="C852" i="1"/>
  <c r="B852" i="1"/>
  <c r="A852" i="1"/>
  <c r="N851" i="1"/>
  <c r="M851" i="1"/>
  <c r="L851" i="1"/>
  <c r="J851" i="1"/>
  <c r="H851" i="1"/>
  <c r="G851" i="1"/>
  <c r="E851" i="1"/>
  <c r="D851" i="1"/>
  <c r="B851" i="1"/>
  <c r="A851" i="1"/>
  <c r="O850" i="1"/>
  <c r="N850" i="1"/>
  <c r="L850" i="1"/>
  <c r="I850" i="1"/>
  <c r="H850" i="1"/>
  <c r="G850" i="1"/>
  <c r="D850" i="1"/>
  <c r="B850" i="1"/>
  <c r="A850" i="1"/>
  <c r="O849" i="1"/>
  <c r="N849" i="1"/>
  <c r="M849" i="1"/>
  <c r="L849" i="1"/>
  <c r="I849" i="1"/>
  <c r="H849" i="1"/>
  <c r="G849" i="1"/>
  <c r="E849" i="1"/>
  <c r="D849" i="1"/>
  <c r="C849" i="1"/>
  <c r="B849" i="1"/>
  <c r="A849" i="1"/>
  <c r="N848" i="1"/>
  <c r="M848" i="1"/>
  <c r="L848" i="1"/>
  <c r="K848" i="1"/>
  <c r="J848" i="1"/>
  <c r="I848" i="1"/>
  <c r="H848" i="1"/>
  <c r="G848" i="1"/>
  <c r="E848" i="1"/>
  <c r="D848" i="1"/>
  <c r="C848" i="1"/>
  <c r="B848" i="1"/>
  <c r="A848" i="1"/>
  <c r="O847" i="1"/>
  <c r="N847" i="1"/>
  <c r="M847" i="1"/>
  <c r="L847" i="1"/>
  <c r="J847" i="1"/>
  <c r="I847" i="1"/>
  <c r="H847" i="1"/>
  <c r="G847" i="1"/>
  <c r="F847" i="1"/>
  <c r="E847" i="1"/>
  <c r="D847" i="1"/>
  <c r="B847" i="1"/>
  <c r="A847" i="1"/>
  <c r="N846" i="1"/>
  <c r="M846" i="1"/>
  <c r="L846" i="1"/>
  <c r="K846" i="1"/>
  <c r="J846" i="1"/>
  <c r="I846" i="1"/>
  <c r="H846" i="1"/>
  <c r="G846" i="1"/>
  <c r="E846" i="1"/>
  <c r="D846" i="1"/>
  <c r="C846" i="1"/>
  <c r="B846" i="1"/>
  <c r="A846" i="1"/>
  <c r="O845" i="1"/>
  <c r="N845" i="1"/>
  <c r="M845" i="1"/>
  <c r="L845" i="1"/>
  <c r="J845" i="1"/>
  <c r="H845" i="1"/>
  <c r="G845" i="1"/>
  <c r="E845" i="1"/>
  <c r="D845" i="1"/>
  <c r="C845" i="1"/>
  <c r="B845" i="1"/>
  <c r="A845" i="1"/>
  <c r="O844" i="1"/>
  <c r="N844" i="1"/>
  <c r="M844" i="1"/>
  <c r="L844" i="1"/>
  <c r="K844" i="1"/>
  <c r="J844" i="1"/>
  <c r="I844" i="1"/>
  <c r="H844" i="1"/>
  <c r="G844" i="1"/>
  <c r="E844" i="1"/>
  <c r="D844" i="1"/>
  <c r="C844" i="1"/>
  <c r="B844" i="1"/>
  <c r="A844" i="1"/>
  <c r="N843" i="1"/>
  <c r="M843" i="1"/>
  <c r="L843" i="1"/>
  <c r="K843" i="1"/>
  <c r="J843" i="1"/>
  <c r="I843" i="1"/>
  <c r="H843" i="1"/>
  <c r="G843" i="1"/>
  <c r="E843" i="1"/>
  <c r="D843" i="1"/>
  <c r="C843" i="1"/>
  <c r="B843" i="1"/>
  <c r="A843" i="1"/>
  <c r="N842" i="1"/>
  <c r="M842" i="1"/>
  <c r="L842" i="1"/>
  <c r="K842" i="1"/>
  <c r="J842" i="1"/>
  <c r="I842" i="1"/>
  <c r="H842" i="1"/>
  <c r="G842" i="1"/>
  <c r="E842" i="1"/>
  <c r="D842" i="1"/>
  <c r="C842" i="1"/>
  <c r="B842" i="1"/>
  <c r="A842" i="1"/>
  <c r="O841" i="1"/>
  <c r="N841" i="1"/>
  <c r="L841" i="1"/>
  <c r="K841" i="1"/>
  <c r="J841" i="1"/>
  <c r="H841" i="1"/>
  <c r="G841" i="1"/>
  <c r="F841" i="1"/>
  <c r="E841" i="1"/>
  <c r="D841" i="1"/>
  <c r="C841" i="1"/>
  <c r="B841" i="1"/>
  <c r="A841" i="1"/>
  <c r="N840" i="1"/>
  <c r="L840" i="1"/>
  <c r="K840" i="1"/>
  <c r="J840" i="1"/>
  <c r="H840" i="1"/>
  <c r="G840" i="1"/>
  <c r="E840" i="1"/>
  <c r="D840" i="1"/>
  <c r="C840" i="1"/>
  <c r="B840" i="1"/>
  <c r="A840" i="1"/>
  <c r="N839" i="1"/>
  <c r="M839" i="1"/>
  <c r="L839" i="1"/>
  <c r="K839" i="1"/>
  <c r="J839" i="1"/>
  <c r="H839" i="1"/>
  <c r="G839" i="1"/>
  <c r="D839" i="1"/>
  <c r="C839" i="1"/>
  <c r="B839" i="1"/>
  <c r="A839" i="1"/>
  <c r="O838" i="1"/>
  <c r="N838" i="1"/>
  <c r="M838" i="1"/>
  <c r="L838" i="1"/>
  <c r="I838" i="1"/>
  <c r="H838" i="1"/>
  <c r="G838" i="1"/>
  <c r="E838" i="1"/>
  <c r="D838" i="1"/>
  <c r="B838" i="1"/>
  <c r="A838" i="1"/>
  <c r="N837" i="1"/>
  <c r="M837" i="1"/>
  <c r="L837" i="1"/>
  <c r="K837" i="1"/>
  <c r="J837" i="1"/>
  <c r="I837" i="1"/>
  <c r="H837" i="1"/>
  <c r="G837" i="1"/>
  <c r="F837" i="1"/>
  <c r="E837" i="1"/>
  <c r="D837" i="1"/>
  <c r="C837" i="1"/>
  <c r="B837" i="1"/>
  <c r="A837" i="1"/>
  <c r="N836" i="1"/>
  <c r="M836" i="1"/>
  <c r="L836" i="1"/>
  <c r="K836" i="1"/>
  <c r="J836" i="1"/>
  <c r="H836" i="1"/>
  <c r="G836" i="1"/>
  <c r="E836" i="1"/>
  <c r="D836" i="1"/>
  <c r="C836" i="1"/>
  <c r="B836" i="1"/>
  <c r="A836" i="1"/>
  <c r="N835" i="1"/>
  <c r="M835" i="1"/>
  <c r="L835" i="1"/>
  <c r="K835" i="1"/>
  <c r="J835" i="1"/>
  <c r="H835" i="1"/>
  <c r="G835" i="1"/>
  <c r="E835" i="1"/>
  <c r="D835" i="1"/>
  <c r="C835" i="1"/>
  <c r="B835" i="1"/>
  <c r="A835" i="1"/>
  <c r="N834" i="1"/>
  <c r="M834" i="1"/>
  <c r="L834" i="1"/>
  <c r="K834" i="1"/>
  <c r="J834" i="1"/>
  <c r="I834" i="1"/>
  <c r="H834" i="1"/>
  <c r="G834" i="1"/>
  <c r="E834" i="1"/>
  <c r="D834" i="1"/>
  <c r="C834" i="1"/>
  <c r="B834" i="1"/>
  <c r="A834" i="1"/>
  <c r="N833" i="1"/>
  <c r="M833" i="1"/>
  <c r="L833" i="1"/>
  <c r="K833" i="1"/>
  <c r="J833" i="1"/>
  <c r="I833" i="1"/>
  <c r="H833" i="1"/>
  <c r="G833" i="1"/>
  <c r="E833" i="1"/>
  <c r="D833" i="1"/>
  <c r="C833" i="1"/>
  <c r="B833" i="1"/>
  <c r="A833" i="1"/>
  <c r="N832" i="1"/>
  <c r="M832" i="1"/>
  <c r="L832" i="1"/>
  <c r="K832" i="1"/>
  <c r="J832" i="1"/>
  <c r="I832" i="1"/>
  <c r="H832" i="1"/>
  <c r="G832" i="1"/>
  <c r="E832" i="1"/>
  <c r="D832" i="1"/>
  <c r="C832" i="1"/>
  <c r="B832" i="1"/>
  <c r="A832" i="1"/>
  <c r="N831" i="1"/>
  <c r="M831" i="1"/>
  <c r="L831" i="1"/>
  <c r="K831" i="1"/>
  <c r="J831" i="1"/>
  <c r="H831" i="1"/>
  <c r="G831" i="1"/>
  <c r="E831" i="1"/>
  <c r="D831" i="1"/>
  <c r="C831" i="1"/>
  <c r="B831" i="1"/>
  <c r="A831" i="1"/>
  <c r="N830" i="1"/>
  <c r="M830" i="1"/>
  <c r="L830" i="1"/>
  <c r="K830" i="1"/>
  <c r="J830" i="1"/>
  <c r="I830" i="1"/>
  <c r="H830" i="1"/>
  <c r="G830" i="1"/>
  <c r="D830" i="1"/>
  <c r="B830" i="1"/>
  <c r="A830" i="1"/>
  <c r="O829" i="1"/>
  <c r="N829" i="1"/>
  <c r="M829" i="1"/>
  <c r="L829" i="1"/>
  <c r="K829" i="1"/>
  <c r="J829" i="1"/>
  <c r="I829" i="1"/>
  <c r="H829" i="1"/>
  <c r="G829" i="1"/>
  <c r="E829" i="1"/>
  <c r="D829" i="1"/>
  <c r="B829" i="1"/>
  <c r="A829" i="1"/>
  <c r="N828" i="1"/>
  <c r="M828" i="1"/>
  <c r="L828" i="1"/>
  <c r="K828" i="1"/>
  <c r="J828" i="1"/>
  <c r="H828" i="1"/>
  <c r="G828" i="1"/>
  <c r="F828" i="1"/>
  <c r="E828" i="1"/>
  <c r="D828" i="1"/>
  <c r="C828" i="1"/>
  <c r="B828" i="1"/>
  <c r="A828" i="1"/>
  <c r="O827" i="1"/>
  <c r="N827" i="1"/>
  <c r="M827" i="1"/>
  <c r="L827" i="1"/>
  <c r="I827" i="1"/>
  <c r="H827" i="1"/>
  <c r="G827" i="1"/>
  <c r="E827" i="1"/>
  <c r="D827" i="1"/>
  <c r="C827" i="1"/>
  <c r="B827" i="1"/>
  <c r="A827" i="1"/>
  <c r="N826" i="1"/>
  <c r="M826" i="1"/>
  <c r="L826" i="1"/>
  <c r="K826" i="1"/>
  <c r="J826" i="1"/>
  <c r="H826" i="1"/>
  <c r="G826" i="1"/>
  <c r="F826" i="1"/>
  <c r="E826" i="1"/>
  <c r="D826" i="1"/>
  <c r="C826" i="1"/>
  <c r="B826" i="1"/>
  <c r="A826" i="1"/>
  <c r="N825" i="1"/>
  <c r="M825" i="1"/>
  <c r="L825" i="1"/>
  <c r="K825" i="1"/>
  <c r="J825" i="1"/>
  <c r="H825" i="1"/>
  <c r="G825" i="1"/>
  <c r="E825" i="1"/>
  <c r="D825" i="1"/>
  <c r="C825" i="1"/>
  <c r="B825" i="1"/>
  <c r="A825" i="1"/>
  <c r="N824" i="1"/>
  <c r="M824" i="1"/>
  <c r="L824" i="1"/>
  <c r="J824" i="1"/>
  <c r="H824" i="1"/>
  <c r="G824" i="1"/>
  <c r="F824" i="1"/>
  <c r="E824" i="1"/>
  <c r="D824" i="1"/>
  <c r="C824" i="1"/>
  <c r="B824" i="1"/>
  <c r="A824" i="1"/>
  <c r="N823" i="1"/>
  <c r="M823" i="1"/>
  <c r="L823" i="1"/>
  <c r="I823" i="1"/>
  <c r="H823" i="1"/>
  <c r="G823" i="1"/>
  <c r="E823" i="1"/>
  <c r="D823" i="1"/>
  <c r="C823" i="1"/>
  <c r="B823" i="1"/>
  <c r="A823" i="1"/>
  <c r="N822" i="1"/>
  <c r="M822" i="1"/>
  <c r="L822" i="1"/>
  <c r="J822" i="1"/>
  <c r="H822" i="1"/>
  <c r="G822" i="1"/>
  <c r="E822" i="1"/>
  <c r="D822" i="1"/>
  <c r="C822" i="1"/>
  <c r="B822" i="1"/>
  <c r="A822" i="1"/>
  <c r="N821" i="1"/>
  <c r="M821" i="1"/>
  <c r="L821" i="1"/>
  <c r="K821" i="1"/>
  <c r="J821" i="1"/>
  <c r="H821" i="1"/>
  <c r="G821" i="1"/>
  <c r="E821" i="1"/>
  <c r="D821" i="1"/>
  <c r="C821" i="1"/>
  <c r="B821" i="1"/>
  <c r="A821" i="1"/>
  <c r="N820" i="1"/>
  <c r="M820" i="1"/>
  <c r="L820" i="1"/>
  <c r="J820" i="1"/>
  <c r="H820" i="1"/>
  <c r="G820" i="1"/>
  <c r="E820" i="1"/>
  <c r="D820" i="1"/>
  <c r="B820" i="1"/>
  <c r="A820" i="1"/>
  <c r="N819" i="1"/>
  <c r="M819" i="1"/>
  <c r="L819" i="1"/>
  <c r="K819" i="1"/>
  <c r="J819" i="1"/>
  <c r="I819" i="1"/>
  <c r="H819" i="1"/>
  <c r="G819" i="1"/>
  <c r="E819" i="1"/>
  <c r="D819" i="1"/>
  <c r="C819" i="1"/>
  <c r="B819" i="1"/>
  <c r="A819" i="1"/>
  <c r="N818" i="1"/>
  <c r="M818" i="1"/>
  <c r="L818" i="1"/>
  <c r="J818" i="1"/>
  <c r="I818" i="1"/>
  <c r="H818" i="1"/>
  <c r="G818" i="1"/>
  <c r="E818" i="1"/>
  <c r="D818" i="1"/>
  <c r="B818" i="1"/>
  <c r="A818" i="1"/>
  <c r="N817" i="1"/>
  <c r="M817" i="1"/>
  <c r="L817" i="1"/>
  <c r="K817" i="1"/>
  <c r="J817" i="1"/>
  <c r="I817" i="1"/>
  <c r="H817" i="1"/>
  <c r="G817" i="1"/>
  <c r="E817" i="1"/>
  <c r="D817" i="1"/>
  <c r="C817" i="1"/>
  <c r="B817" i="1"/>
  <c r="A817" i="1"/>
  <c r="N816" i="1"/>
  <c r="M816" i="1"/>
  <c r="L816" i="1"/>
  <c r="K816" i="1"/>
  <c r="J816" i="1"/>
  <c r="H816" i="1"/>
  <c r="G816" i="1"/>
  <c r="E816" i="1"/>
  <c r="D816" i="1"/>
  <c r="C816" i="1"/>
  <c r="B816" i="1"/>
  <c r="A816" i="1"/>
  <c r="N815" i="1"/>
  <c r="M815" i="1"/>
  <c r="L815" i="1"/>
  <c r="K815" i="1"/>
  <c r="J815" i="1"/>
  <c r="I815" i="1"/>
  <c r="H815" i="1"/>
  <c r="G815" i="1"/>
  <c r="E815" i="1"/>
  <c r="D815" i="1"/>
  <c r="C815" i="1"/>
  <c r="B815" i="1"/>
  <c r="A815" i="1"/>
  <c r="N814" i="1"/>
  <c r="M814" i="1"/>
  <c r="L814" i="1"/>
  <c r="J814" i="1"/>
  <c r="I814" i="1"/>
  <c r="H814" i="1"/>
  <c r="G814" i="1"/>
  <c r="E814" i="1"/>
  <c r="D814" i="1"/>
  <c r="C814" i="1"/>
  <c r="B814" i="1"/>
  <c r="A814" i="1"/>
  <c r="N813" i="1"/>
  <c r="M813" i="1"/>
  <c r="L813" i="1"/>
  <c r="K813" i="1"/>
  <c r="J813" i="1"/>
  <c r="I813" i="1"/>
  <c r="H813" i="1"/>
  <c r="G813" i="1"/>
  <c r="E813" i="1"/>
  <c r="D813" i="1"/>
  <c r="C813" i="1"/>
  <c r="B813" i="1"/>
  <c r="A813" i="1"/>
  <c r="O812" i="1"/>
  <c r="N812" i="1"/>
  <c r="M812" i="1"/>
  <c r="L812" i="1"/>
  <c r="J812" i="1"/>
  <c r="I812" i="1"/>
  <c r="H812" i="1"/>
  <c r="G812" i="1"/>
  <c r="F812" i="1"/>
  <c r="E812" i="1"/>
  <c r="D812" i="1"/>
  <c r="B812" i="1"/>
  <c r="A812" i="1"/>
  <c r="O811" i="1"/>
  <c r="N811" i="1"/>
  <c r="M811" i="1"/>
  <c r="L811" i="1"/>
  <c r="J811" i="1"/>
  <c r="I811" i="1"/>
  <c r="H811" i="1"/>
  <c r="G811" i="1"/>
  <c r="F811" i="1"/>
  <c r="E811" i="1"/>
  <c r="D811" i="1"/>
  <c r="B811" i="1"/>
  <c r="A811" i="1"/>
  <c r="N810" i="1"/>
  <c r="M810" i="1"/>
  <c r="L810" i="1"/>
  <c r="K810" i="1"/>
  <c r="J810" i="1"/>
  <c r="I810" i="1"/>
  <c r="H810" i="1"/>
  <c r="G810" i="1"/>
  <c r="E810" i="1"/>
  <c r="D810" i="1"/>
  <c r="C810" i="1"/>
  <c r="B810" i="1"/>
  <c r="A810" i="1"/>
  <c r="N809" i="1"/>
  <c r="M809" i="1"/>
  <c r="L809" i="1"/>
  <c r="K809" i="1"/>
  <c r="J809" i="1"/>
  <c r="I809" i="1"/>
  <c r="H809" i="1"/>
  <c r="G809" i="1"/>
  <c r="D809" i="1"/>
  <c r="C809" i="1"/>
  <c r="B809" i="1"/>
  <c r="A809" i="1"/>
  <c r="O808" i="1"/>
  <c r="N808" i="1"/>
  <c r="M808" i="1"/>
  <c r="L808" i="1"/>
  <c r="J808" i="1"/>
  <c r="I808" i="1"/>
  <c r="H808" i="1"/>
  <c r="G808" i="1"/>
  <c r="F808" i="1"/>
  <c r="E808" i="1"/>
  <c r="D808" i="1"/>
  <c r="B808" i="1"/>
  <c r="A808" i="1"/>
  <c r="O807" i="1"/>
  <c r="N807" i="1"/>
  <c r="M807" i="1"/>
  <c r="L807" i="1"/>
  <c r="K807" i="1"/>
  <c r="J807" i="1"/>
  <c r="I807" i="1"/>
  <c r="H807" i="1"/>
  <c r="G807" i="1"/>
  <c r="E807" i="1"/>
  <c r="D807" i="1"/>
  <c r="C807" i="1"/>
  <c r="B807" i="1"/>
  <c r="A807" i="1"/>
  <c r="N806" i="1"/>
  <c r="M806" i="1"/>
  <c r="L806" i="1"/>
  <c r="J806" i="1"/>
  <c r="I806" i="1"/>
  <c r="H806" i="1"/>
  <c r="G806" i="1"/>
  <c r="F806" i="1"/>
  <c r="E806" i="1"/>
  <c r="D806" i="1"/>
  <c r="B806" i="1"/>
  <c r="A806" i="1"/>
  <c r="O805" i="1"/>
  <c r="N805" i="1"/>
  <c r="M805" i="1"/>
  <c r="L805" i="1"/>
  <c r="J805" i="1"/>
  <c r="I805" i="1"/>
  <c r="H805" i="1"/>
  <c r="G805" i="1"/>
  <c r="F805" i="1"/>
  <c r="E805" i="1"/>
  <c r="D805" i="1"/>
  <c r="B805" i="1"/>
  <c r="A805" i="1"/>
  <c r="N804" i="1"/>
  <c r="M804" i="1"/>
  <c r="L804" i="1"/>
  <c r="J804" i="1"/>
  <c r="H804" i="1"/>
  <c r="G804" i="1"/>
  <c r="F804" i="1"/>
  <c r="E804" i="1"/>
  <c r="D804" i="1"/>
  <c r="C804" i="1"/>
  <c r="B804" i="1"/>
  <c r="A804" i="1"/>
  <c r="O803" i="1"/>
  <c r="N803" i="1"/>
  <c r="M803" i="1"/>
  <c r="L803" i="1"/>
  <c r="J803" i="1"/>
  <c r="I803" i="1"/>
  <c r="H803" i="1"/>
  <c r="G803" i="1"/>
  <c r="F803" i="1"/>
  <c r="E803" i="1"/>
  <c r="D803" i="1"/>
  <c r="B803" i="1"/>
  <c r="A803" i="1"/>
  <c r="N802" i="1"/>
  <c r="M802" i="1"/>
  <c r="L802" i="1"/>
  <c r="K802" i="1"/>
  <c r="J802" i="1"/>
  <c r="H802" i="1"/>
  <c r="G802" i="1"/>
  <c r="F802" i="1"/>
  <c r="E802" i="1"/>
  <c r="D802" i="1"/>
  <c r="C802" i="1"/>
  <c r="B802" i="1"/>
  <c r="A802" i="1"/>
  <c r="N801" i="1"/>
  <c r="M801" i="1"/>
  <c r="L801" i="1"/>
  <c r="K801" i="1"/>
  <c r="J801" i="1"/>
  <c r="I801" i="1"/>
  <c r="H801" i="1"/>
  <c r="G801" i="1"/>
  <c r="F801" i="1"/>
  <c r="E801" i="1"/>
  <c r="D801" i="1"/>
  <c r="C801" i="1"/>
  <c r="B801" i="1"/>
  <c r="A801" i="1"/>
  <c r="N800" i="1"/>
  <c r="M800" i="1"/>
  <c r="L800" i="1"/>
  <c r="K800" i="1"/>
  <c r="J800" i="1"/>
  <c r="I800" i="1"/>
  <c r="H800" i="1"/>
  <c r="G800" i="1"/>
  <c r="F800" i="1"/>
  <c r="E800" i="1"/>
  <c r="D800" i="1"/>
  <c r="C800" i="1"/>
  <c r="B800" i="1"/>
  <c r="A800" i="1"/>
  <c r="O799" i="1"/>
  <c r="N799" i="1"/>
  <c r="M799" i="1"/>
  <c r="L799" i="1"/>
  <c r="J799" i="1"/>
  <c r="I799" i="1"/>
  <c r="H799" i="1"/>
  <c r="G799" i="1"/>
  <c r="F799" i="1"/>
  <c r="E799" i="1"/>
  <c r="D799" i="1"/>
  <c r="B799" i="1"/>
  <c r="A799" i="1"/>
  <c r="N798" i="1"/>
  <c r="M798" i="1"/>
  <c r="L798" i="1"/>
  <c r="K798" i="1"/>
  <c r="J798" i="1"/>
  <c r="I798" i="1"/>
  <c r="H798" i="1"/>
  <c r="G798" i="1"/>
  <c r="F798" i="1"/>
  <c r="E798" i="1"/>
  <c r="D798" i="1"/>
  <c r="B798" i="1"/>
  <c r="A798" i="1"/>
  <c r="N797" i="1"/>
  <c r="M797" i="1"/>
  <c r="L797" i="1"/>
  <c r="K797" i="1"/>
  <c r="J797" i="1"/>
  <c r="H797" i="1"/>
  <c r="G797" i="1"/>
  <c r="F797" i="1"/>
  <c r="E797" i="1"/>
  <c r="D797" i="1"/>
  <c r="C797" i="1"/>
  <c r="B797" i="1"/>
  <c r="A797" i="1"/>
  <c r="O796" i="1"/>
  <c r="N796" i="1"/>
  <c r="M796" i="1"/>
  <c r="L796" i="1"/>
  <c r="K796" i="1"/>
  <c r="J796" i="1"/>
  <c r="I796" i="1"/>
  <c r="H796" i="1"/>
  <c r="G796" i="1"/>
  <c r="F796" i="1"/>
  <c r="E796" i="1"/>
  <c r="D796" i="1"/>
  <c r="B796" i="1"/>
  <c r="A796" i="1"/>
  <c r="N795" i="1"/>
  <c r="M795" i="1"/>
  <c r="L795" i="1"/>
  <c r="K795" i="1"/>
  <c r="J795" i="1"/>
  <c r="I795" i="1"/>
  <c r="H795" i="1"/>
  <c r="G795" i="1"/>
  <c r="D795" i="1"/>
  <c r="C795" i="1"/>
  <c r="B795" i="1"/>
  <c r="A795" i="1"/>
  <c r="O794" i="1"/>
  <c r="N794" i="1"/>
  <c r="M794" i="1"/>
  <c r="L794" i="1"/>
  <c r="J794" i="1"/>
  <c r="I794" i="1"/>
  <c r="H794" i="1"/>
  <c r="G794" i="1"/>
  <c r="F794" i="1"/>
  <c r="E794" i="1"/>
  <c r="D794" i="1"/>
  <c r="C794" i="1"/>
  <c r="B794" i="1"/>
  <c r="A794" i="1"/>
  <c r="N793" i="1"/>
  <c r="M793" i="1"/>
  <c r="L793" i="1"/>
  <c r="K793" i="1"/>
  <c r="J793" i="1"/>
  <c r="H793" i="1"/>
  <c r="G793" i="1"/>
  <c r="F793" i="1"/>
  <c r="E793" i="1"/>
  <c r="D793" i="1"/>
  <c r="C793" i="1"/>
  <c r="B793" i="1"/>
  <c r="A793" i="1"/>
  <c r="N792" i="1"/>
  <c r="M792" i="1"/>
  <c r="L792" i="1"/>
  <c r="K792" i="1"/>
  <c r="J792" i="1"/>
  <c r="H792" i="1"/>
  <c r="G792" i="1"/>
  <c r="F792" i="1"/>
  <c r="E792" i="1"/>
  <c r="D792" i="1"/>
  <c r="C792" i="1"/>
  <c r="B792" i="1"/>
  <c r="A792" i="1"/>
  <c r="O791" i="1"/>
  <c r="N791" i="1"/>
  <c r="M791" i="1"/>
  <c r="L791" i="1"/>
  <c r="K791" i="1"/>
  <c r="J791" i="1"/>
  <c r="I791" i="1"/>
  <c r="H791" i="1"/>
  <c r="G791" i="1"/>
  <c r="F791" i="1"/>
  <c r="E791" i="1"/>
  <c r="D791" i="1"/>
  <c r="C791" i="1"/>
  <c r="B791" i="1"/>
  <c r="A791" i="1"/>
  <c r="N790" i="1"/>
  <c r="M790" i="1"/>
  <c r="L790" i="1"/>
  <c r="J790" i="1"/>
  <c r="H790" i="1"/>
  <c r="G790" i="1"/>
  <c r="F790" i="1"/>
  <c r="E790" i="1"/>
  <c r="D790" i="1"/>
  <c r="C790" i="1"/>
  <c r="B790" i="1"/>
  <c r="A790" i="1"/>
  <c r="O789" i="1"/>
  <c r="N789" i="1"/>
  <c r="M789" i="1"/>
  <c r="L789" i="1"/>
  <c r="K789" i="1"/>
  <c r="J789" i="1"/>
  <c r="I789" i="1"/>
  <c r="H789" i="1"/>
  <c r="G789" i="1"/>
  <c r="F789" i="1"/>
  <c r="E789" i="1"/>
  <c r="D789" i="1"/>
  <c r="C789" i="1"/>
  <c r="B789" i="1"/>
  <c r="A789" i="1"/>
  <c r="O788" i="1"/>
  <c r="N788" i="1"/>
  <c r="L788" i="1"/>
  <c r="H788" i="1"/>
  <c r="G788" i="1"/>
  <c r="D788" i="1"/>
  <c r="B788" i="1"/>
  <c r="A788" i="1"/>
  <c r="O787" i="1"/>
  <c r="N787" i="1"/>
  <c r="L787" i="1"/>
  <c r="I787" i="1"/>
  <c r="H787" i="1"/>
  <c r="G787" i="1"/>
  <c r="D787" i="1"/>
  <c r="B787" i="1"/>
  <c r="A787" i="1"/>
  <c r="N786" i="1"/>
  <c r="M786" i="1"/>
  <c r="L786" i="1"/>
  <c r="K786" i="1"/>
  <c r="J786" i="1"/>
  <c r="I786" i="1"/>
  <c r="H786" i="1"/>
  <c r="G786" i="1"/>
  <c r="F786" i="1"/>
  <c r="E786" i="1"/>
  <c r="D786" i="1"/>
  <c r="C786" i="1"/>
  <c r="B786" i="1"/>
  <c r="A786" i="1"/>
  <c r="N785" i="1"/>
  <c r="M785" i="1"/>
  <c r="L785" i="1"/>
  <c r="K785" i="1"/>
  <c r="J785" i="1"/>
  <c r="H785" i="1"/>
  <c r="G785" i="1"/>
  <c r="E785" i="1"/>
  <c r="D785" i="1"/>
  <c r="C785" i="1"/>
  <c r="B785" i="1"/>
  <c r="A785" i="1"/>
  <c r="O784" i="1"/>
  <c r="N784" i="1"/>
  <c r="M784" i="1"/>
  <c r="L784" i="1"/>
  <c r="K784" i="1"/>
  <c r="J784" i="1"/>
  <c r="I784" i="1"/>
  <c r="H784" i="1"/>
  <c r="G784" i="1"/>
  <c r="F784" i="1"/>
  <c r="E784" i="1"/>
  <c r="D784" i="1"/>
  <c r="C784" i="1"/>
  <c r="B784" i="1"/>
  <c r="A784" i="1"/>
  <c r="N783" i="1"/>
  <c r="M783" i="1"/>
  <c r="L783" i="1"/>
  <c r="K783" i="1"/>
  <c r="J783" i="1"/>
  <c r="I783" i="1"/>
  <c r="H783" i="1"/>
  <c r="G783" i="1"/>
  <c r="F783" i="1"/>
  <c r="E783" i="1"/>
  <c r="D783" i="1"/>
  <c r="C783" i="1"/>
  <c r="B783" i="1"/>
  <c r="A783" i="1"/>
  <c r="N782" i="1"/>
  <c r="M782" i="1"/>
  <c r="L782" i="1"/>
  <c r="K782" i="1"/>
  <c r="J782" i="1"/>
  <c r="H782" i="1"/>
  <c r="G782" i="1"/>
  <c r="F782" i="1"/>
  <c r="E782" i="1"/>
  <c r="D782" i="1"/>
  <c r="C782" i="1"/>
  <c r="B782" i="1"/>
  <c r="A782" i="1"/>
  <c r="N781" i="1"/>
  <c r="M781" i="1"/>
  <c r="L781" i="1"/>
  <c r="K781" i="1"/>
  <c r="J781" i="1"/>
  <c r="H781" i="1"/>
  <c r="G781" i="1"/>
  <c r="F781" i="1"/>
  <c r="E781" i="1"/>
  <c r="D781" i="1"/>
  <c r="C781" i="1"/>
  <c r="B781" i="1"/>
  <c r="A781" i="1"/>
  <c r="N780" i="1"/>
  <c r="M780" i="1"/>
  <c r="L780" i="1"/>
  <c r="K780" i="1"/>
  <c r="J780" i="1"/>
  <c r="H780" i="1"/>
  <c r="G780" i="1"/>
  <c r="E780" i="1"/>
  <c r="D780" i="1"/>
  <c r="C780" i="1"/>
  <c r="B780" i="1"/>
  <c r="A780" i="1"/>
  <c r="N779" i="1"/>
  <c r="M779" i="1"/>
  <c r="L779" i="1"/>
  <c r="K779" i="1"/>
  <c r="J779" i="1"/>
  <c r="H779" i="1"/>
  <c r="G779" i="1"/>
  <c r="E779" i="1"/>
  <c r="D779" i="1"/>
  <c r="C779" i="1"/>
  <c r="B779" i="1"/>
  <c r="A779" i="1"/>
  <c r="N778" i="1"/>
  <c r="L778" i="1"/>
  <c r="K778" i="1"/>
  <c r="J778" i="1"/>
  <c r="I778" i="1"/>
  <c r="H778" i="1"/>
  <c r="G778" i="1"/>
  <c r="E778" i="1"/>
  <c r="D778" i="1"/>
  <c r="C778" i="1"/>
  <c r="B778" i="1"/>
  <c r="A778" i="1"/>
  <c r="O777" i="1"/>
  <c r="N777" i="1"/>
  <c r="M777" i="1"/>
  <c r="L777" i="1"/>
  <c r="K777" i="1"/>
  <c r="J777" i="1"/>
  <c r="I777" i="1"/>
  <c r="H777" i="1"/>
  <c r="G777" i="1"/>
  <c r="F777" i="1"/>
  <c r="E777" i="1"/>
  <c r="D777" i="1"/>
  <c r="C777" i="1"/>
  <c r="B777" i="1"/>
  <c r="A777" i="1"/>
  <c r="O776" i="1"/>
  <c r="N776" i="1"/>
  <c r="M776" i="1"/>
  <c r="L776" i="1"/>
  <c r="K776" i="1"/>
  <c r="J776" i="1"/>
  <c r="I776" i="1"/>
  <c r="H776" i="1"/>
  <c r="G776" i="1"/>
  <c r="E776" i="1"/>
  <c r="D776" i="1"/>
  <c r="C776" i="1"/>
  <c r="B776" i="1"/>
  <c r="A776" i="1"/>
  <c r="N775" i="1"/>
  <c r="M775" i="1"/>
  <c r="L775" i="1"/>
  <c r="K775" i="1"/>
  <c r="J775" i="1"/>
  <c r="I775" i="1"/>
  <c r="H775" i="1"/>
  <c r="G775" i="1"/>
  <c r="F775" i="1"/>
  <c r="E775" i="1"/>
  <c r="D775" i="1"/>
  <c r="C775" i="1"/>
  <c r="B775" i="1"/>
  <c r="A775" i="1"/>
  <c r="O774" i="1"/>
  <c r="N774" i="1"/>
  <c r="M774" i="1"/>
  <c r="L774" i="1"/>
  <c r="K774" i="1"/>
  <c r="J774" i="1"/>
  <c r="I774" i="1"/>
  <c r="H774" i="1"/>
  <c r="G774" i="1"/>
  <c r="D774" i="1"/>
  <c r="C774" i="1"/>
  <c r="B774" i="1"/>
  <c r="A774" i="1"/>
  <c r="O773" i="1"/>
  <c r="N773" i="1"/>
  <c r="M773" i="1"/>
  <c r="L773" i="1"/>
  <c r="J773" i="1"/>
  <c r="I773" i="1"/>
  <c r="H773" i="1"/>
  <c r="G773" i="1"/>
  <c r="F773" i="1"/>
  <c r="E773" i="1"/>
  <c r="D773" i="1"/>
  <c r="B773" i="1"/>
  <c r="A773" i="1"/>
  <c r="O772" i="1"/>
  <c r="N772" i="1"/>
  <c r="M772" i="1"/>
  <c r="L772" i="1"/>
  <c r="J772" i="1"/>
  <c r="I772" i="1"/>
  <c r="H772" i="1"/>
  <c r="G772" i="1"/>
  <c r="F772" i="1"/>
  <c r="E772" i="1"/>
  <c r="D772" i="1"/>
  <c r="B772" i="1"/>
  <c r="A772" i="1"/>
  <c r="N771" i="1"/>
  <c r="M771" i="1"/>
  <c r="L771" i="1"/>
  <c r="K771" i="1"/>
  <c r="J771" i="1"/>
  <c r="I771" i="1"/>
  <c r="H771" i="1"/>
  <c r="G771" i="1"/>
  <c r="E771" i="1"/>
  <c r="D771" i="1"/>
  <c r="C771" i="1"/>
  <c r="B771" i="1"/>
  <c r="A771" i="1"/>
  <c r="N770" i="1"/>
  <c r="L770" i="1"/>
  <c r="K770" i="1"/>
  <c r="J770" i="1"/>
  <c r="H770" i="1"/>
  <c r="G770" i="1"/>
  <c r="E770" i="1"/>
  <c r="D770" i="1"/>
  <c r="C770" i="1"/>
  <c r="B770" i="1"/>
  <c r="A770" i="1"/>
  <c r="N769" i="1"/>
  <c r="M769" i="1"/>
  <c r="L769" i="1"/>
  <c r="K769" i="1"/>
  <c r="J769" i="1"/>
  <c r="H769" i="1"/>
  <c r="G769" i="1"/>
  <c r="F769" i="1"/>
  <c r="E769" i="1"/>
  <c r="D769" i="1"/>
  <c r="C769" i="1"/>
  <c r="B769" i="1"/>
  <c r="A769" i="1"/>
  <c r="N768" i="1"/>
  <c r="M768" i="1"/>
  <c r="L768" i="1"/>
  <c r="K768" i="1"/>
  <c r="J768" i="1"/>
  <c r="H768" i="1"/>
  <c r="G768" i="1"/>
  <c r="F768" i="1"/>
  <c r="E768" i="1"/>
  <c r="D768" i="1"/>
  <c r="C768" i="1"/>
  <c r="B768" i="1"/>
  <c r="A768" i="1"/>
  <c r="N767" i="1"/>
  <c r="M767" i="1"/>
  <c r="L767" i="1"/>
  <c r="I767" i="1"/>
  <c r="H767" i="1"/>
  <c r="G767" i="1"/>
  <c r="D767" i="1"/>
  <c r="C767" i="1"/>
  <c r="B767" i="1"/>
  <c r="A767" i="1"/>
  <c r="N766" i="1"/>
  <c r="M766" i="1"/>
  <c r="L766" i="1"/>
  <c r="K766" i="1"/>
  <c r="J766" i="1"/>
  <c r="I766" i="1"/>
  <c r="H766" i="1"/>
  <c r="G766" i="1"/>
  <c r="F766" i="1"/>
  <c r="E766" i="1"/>
  <c r="D766" i="1"/>
  <c r="C766" i="1"/>
  <c r="B766" i="1"/>
  <c r="A766" i="1"/>
  <c r="N765" i="1"/>
  <c r="M765" i="1"/>
  <c r="L765" i="1"/>
  <c r="K765" i="1"/>
  <c r="J765" i="1"/>
  <c r="I765" i="1"/>
  <c r="H765" i="1"/>
  <c r="G765" i="1"/>
  <c r="F765" i="1"/>
  <c r="E765" i="1"/>
  <c r="D765" i="1"/>
  <c r="C765" i="1"/>
  <c r="B765" i="1"/>
  <c r="A765" i="1"/>
  <c r="N764" i="1"/>
  <c r="M764" i="1"/>
  <c r="L764" i="1"/>
  <c r="K764" i="1"/>
  <c r="J764" i="1"/>
  <c r="I764" i="1"/>
  <c r="H764" i="1"/>
  <c r="G764" i="1"/>
  <c r="E764" i="1"/>
  <c r="D764" i="1"/>
  <c r="C764" i="1"/>
  <c r="B764" i="1"/>
  <c r="A764" i="1"/>
  <c r="N763" i="1"/>
  <c r="M763" i="1"/>
  <c r="L763" i="1"/>
  <c r="J763" i="1"/>
  <c r="I763" i="1"/>
  <c r="H763" i="1"/>
  <c r="G763" i="1"/>
  <c r="D763" i="1"/>
  <c r="B763" i="1"/>
  <c r="A763" i="1"/>
  <c r="N762" i="1"/>
  <c r="M762" i="1"/>
  <c r="L762" i="1"/>
  <c r="K762" i="1"/>
  <c r="J762" i="1"/>
  <c r="I762" i="1"/>
  <c r="H762" i="1"/>
  <c r="G762" i="1"/>
  <c r="E762" i="1"/>
  <c r="D762" i="1"/>
  <c r="C762" i="1"/>
  <c r="B762" i="1"/>
  <c r="A762" i="1"/>
  <c r="N761" i="1"/>
  <c r="M761" i="1"/>
  <c r="L761" i="1"/>
  <c r="K761" i="1"/>
  <c r="J761" i="1"/>
  <c r="I761" i="1"/>
  <c r="H761" i="1"/>
  <c r="G761" i="1"/>
  <c r="D761" i="1"/>
  <c r="C761" i="1"/>
  <c r="B761" i="1"/>
  <c r="A761" i="1"/>
  <c r="N760" i="1"/>
  <c r="M760" i="1"/>
  <c r="L760" i="1"/>
  <c r="J760" i="1"/>
  <c r="H760" i="1"/>
  <c r="G760" i="1"/>
  <c r="E760" i="1"/>
  <c r="D760" i="1"/>
  <c r="C760" i="1"/>
  <c r="B760" i="1"/>
  <c r="A760" i="1"/>
  <c r="O759" i="1"/>
  <c r="N759" i="1"/>
  <c r="M759" i="1"/>
  <c r="L759" i="1"/>
  <c r="K759" i="1"/>
  <c r="J759" i="1"/>
  <c r="I759" i="1"/>
  <c r="H759" i="1"/>
  <c r="G759" i="1"/>
  <c r="D759" i="1"/>
  <c r="C759" i="1"/>
  <c r="B759" i="1"/>
  <c r="A759" i="1"/>
  <c r="N758" i="1"/>
  <c r="M758" i="1"/>
  <c r="L758" i="1"/>
  <c r="K758" i="1"/>
  <c r="J758" i="1"/>
  <c r="I758" i="1"/>
  <c r="H758" i="1"/>
  <c r="G758" i="1"/>
  <c r="E758" i="1"/>
  <c r="D758" i="1"/>
  <c r="C758" i="1"/>
  <c r="B758" i="1"/>
  <c r="A758" i="1"/>
  <c r="N757" i="1"/>
  <c r="M757" i="1"/>
  <c r="L757" i="1"/>
  <c r="K757" i="1"/>
  <c r="J757" i="1"/>
  <c r="I757" i="1"/>
  <c r="H757" i="1"/>
  <c r="G757" i="1"/>
  <c r="E757" i="1"/>
  <c r="D757" i="1"/>
  <c r="C757" i="1"/>
  <c r="B757" i="1"/>
  <c r="A757" i="1"/>
  <c r="N756" i="1"/>
  <c r="M756" i="1"/>
  <c r="L756" i="1"/>
  <c r="K756" i="1"/>
  <c r="J756" i="1"/>
  <c r="I756" i="1"/>
  <c r="H756" i="1"/>
  <c r="G756" i="1"/>
  <c r="E756" i="1"/>
  <c r="D756" i="1"/>
  <c r="C756" i="1"/>
  <c r="B756" i="1"/>
  <c r="A756" i="1"/>
  <c r="N755" i="1"/>
  <c r="M755" i="1"/>
  <c r="L755" i="1"/>
  <c r="K755" i="1"/>
  <c r="J755" i="1"/>
  <c r="I755" i="1"/>
  <c r="H755" i="1"/>
  <c r="G755" i="1"/>
  <c r="E755" i="1"/>
  <c r="D755" i="1"/>
  <c r="C755" i="1"/>
  <c r="B755" i="1"/>
  <c r="A755" i="1"/>
  <c r="O754" i="1"/>
  <c r="N754" i="1"/>
  <c r="L754" i="1"/>
  <c r="I754" i="1"/>
  <c r="H754" i="1"/>
  <c r="G754" i="1"/>
  <c r="D754" i="1"/>
  <c r="B754" i="1"/>
  <c r="A754" i="1"/>
  <c r="N753" i="1"/>
  <c r="M753" i="1"/>
  <c r="L753" i="1"/>
  <c r="J753" i="1"/>
  <c r="I753" i="1"/>
  <c r="H753" i="1"/>
  <c r="G753" i="1"/>
  <c r="F753" i="1"/>
  <c r="E753" i="1"/>
  <c r="D753" i="1"/>
  <c r="C753" i="1"/>
  <c r="B753" i="1"/>
  <c r="A753" i="1"/>
  <c r="O752" i="1"/>
  <c r="N752" i="1"/>
  <c r="L752" i="1"/>
  <c r="K752" i="1"/>
  <c r="J752" i="1"/>
  <c r="I752" i="1"/>
  <c r="H752" i="1"/>
  <c r="G752" i="1"/>
  <c r="E752" i="1"/>
  <c r="D752" i="1"/>
  <c r="C752" i="1"/>
  <c r="B752" i="1"/>
  <c r="A752" i="1"/>
  <c r="O751" i="1"/>
  <c r="N751" i="1"/>
  <c r="M751" i="1"/>
  <c r="L751" i="1"/>
  <c r="K751" i="1"/>
  <c r="J751" i="1"/>
  <c r="I751" i="1"/>
  <c r="H751" i="1"/>
  <c r="G751" i="1"/>
  <c r="E751" i="1"/>
  <c r="D751" i="1"/>
  <c r="C751" i="1"/>
  <c r="B751" i="1"/>
  <c r="A751" i="1"/>
  <c r="O750" i="1"/>
  <c r="N750" i="1"/>
  <c r="L750" i="1"/>
  <c r="K750" i="1"/>
  <c r="J750" i="1"/>
  <c r="H750" i="1"/>
  <c r="G750" i="1"/>
  <c r="F750" i="1"/>
  <c r="E750" i="1"/>
  <c r="D750" i="1"/>
  <c r="C750" i="1"/>
  <c r="B750" i="1"/>
  <c r="A750" i="1"/>
  <c r="N749" i="1"/>
  <c r="M749" i="1"/>
  <c r="L749" i="1"/>
  <c r="K749" i="1"/>
  <c r="J749" i="1"/>
  <c r="I749" i="1"/>
  <c r="H749" i="1"/>
  <c r="G749" i="1"/>
  <c r="E749" i="1"/>
  <c r="D749" i="1"/>
  <c r="C749" i="1"/>
  <c r="B749" i="1"/>
  <c r="A749" i="1"/>
  <c r="N748" i="1"/>
  <c r="M748" i="1"/>
  <c r="L748" i="1"/>
  <c r="K748" i="1"/>
  <c r="J748" i="1"/>
  <c r="I748" i="1"/>
  <c r="H748" i="1"/>
  <c r="G748" i="1"/>
  <c r="E748" i="1"/>
  <c r="D748" i="1"/>
  <c r="C748" i="1"/>
  <c r="B748" i="1"/>
  <c r="A748" i="1"/>
  <c r="N747" i="1"/>
  <c r="M747" i="1"/>
  <c r="L747" i="1"/>
  <c r="K747" i="1"/>
  <c r="J747" i="1"/>
  <c r="H747" i="1"/>
  <c r="G747" i="1"/>
  <c r="E747" i="1"/>
  <c r="D747" i="1"/>
  <c r="C747" i="1"/>
  <c r="B747" i="1"/>
  <c r="A747" i="1"/>
  <c r="N746" i="1"/>
  <c r="M746" i="1"/>
  <c r="L746" i="1"/>
  <c r="J746" i="1"/>
  <c r="H746" i="1"/>
  <c r="G746" i="1"/>
  <c r="F746" i="1"/>
  <c r="E746" i="1"/>
  <c r="D746" i="1"/>
  <c r="C746" i="1"/>
  <c r="B746" i="1"/>
  <c r="A746" i="1"/>
  <c r="N745" i="1"/>
  <c r="M745" i="1"/>
  <c r="L745" i="1"/>
  <c r="K745" i="1"/>
  <c r="J745" i="1"/>
  <c r="I745" i="1"/>
  <c r="H745" i="1"/>
  <c r="G745" i="1"/>
  <c r="F745" i="1"/>
  <c r="E745" i="1"/>
  <c r="D745" i="1"/>
  <c r="B745" i="1"/>
  <c r="A745" i="1"/>
  <c r="N744" i="1"/>
  <c r="M744" i="1"/>
  <c r="L744" i="1"/>
  <c r="I744" i="1"/>
  <c r="H744" i="1"/>
  <c r="G744" i="1"/>
  <c r="F744" i="1"/>
  <c r="E744" i="1"/>
  <c r="D744" i="1"/>
  <c r="C744" i="1"/>
  <c r="B744" i="1"/>
  <c r="A744" i="1"/>
  <c r="N743" i="1"/>
  <c r="M743" i="1"/>
  <c r="L743" i="1"/>
  <c r="K743" i="1"/>
  <c r="J743" i="1"/>
  <c r="I743" i="1"/>
  <c r="H743" i="1"/>
  <c r="G743" i="1"/>
  <c r="F743" i="1"/>
  <c r="E743" i="1"/>
  <c r="D743" i="1"/>
  <c r="B743" i="1"/>
  <c r="A743" i="1"/>
  <c r="O742" i="1"/>
  <c r="N742" i="1"/>
  <c r="M742" i="1"/>
  <c r="L742" i="1"/>
  <c r="K742" i="1"/>
  <c r="J742" i="1"/>
  <c r="I742" i="1"/>
  <c r="H742" i="1"/>
  <c r="G742" i="1"/>
  <c r="F742" i="1"/>
  <c r="E742" i="1"/>
  <c r="D742" i="1"/>
  <c r="C742" i="1"/>
  <c r="B742" i="1"/>
  <c r="A742" i="1"/>
  <c r="N741" i="1"/>
  <c r="M741" i="1"/>
  <c r="L741" i="1"/>
  <c r="K741" i="1"/>
  <c r="J741" i="1"/>
  <c r="I741" i="1"/>
  <c r="H741" i="1"/>
  <c r="G741" i="1"/>
  <c r="F741" i="1"/>
  <c r="E741" i="1"/>
  <c r="D741" i="1"/>
  <c r="C741" i="1"/>
  <c r="B741" i="1"/>
  <c r="A741" i="1"/>
  <c r="N740" i="1"/>
  <c r="M740" i="1"/>
  <c r="L740" i="1"/>
  <c r="K740" i="1"/>
  <c r="J740" i="1"/>
  <c r="H740" i="1"/>
  <c r="G740" i="1"/>
  <c r="E740" i="1"/>
  <c r="D740" i="1"/>
  <c r="C740" i="1"/>
  <c r="B740" i="1"/>
  <c r="A740" i="1"/>
  <c r="N739" i="1"/>
  <c r="M739" i="1"/>
  <c r="L739" i="1"/>
  <c r="K739" i="1"/>
  <c r="J739" i="1"/>
  <c r="H739" i="1"/>
  <c r="G739" i="1"/>
  <c r="E739" i="1"/>
  <c r="D739" i="1"/>
  <c r="C739" i="1"/>
  <c r="B739" i="1"/>
  <c r="A739" i="1"/>
  <c r="N738" i="1"/>
  <c r="M738" i="1"/>
  <c r="L738" i="1"/>
  <c r="K738" i="1"/>
  <c r="J738" i="1"/>
  <c r="I738" i="1"/>
  <c r="H738" i="1"/>
  <c r="G738" i="1"/>
  <c r="E738" i="1"/>
  <c r="D738" i="1"/>
  <c r="C738" i="1"/>
  <c r="B738" i="1"/>
  <c r="A738" i="1"/>
  <c r="N737" i="1"/>
  <c r="M737" i="1"/>
  <c r="L737" i="1"/>
  <c r="K737" i="1"/>
  <c r="J737" i="1"/>
  <c r="I737" i="1"/>
  <c r="H737" i="1"/>
  <c r="G737" i="1"/>
  <c r="E737" i="1"/>
  <c r="D737" i="1"/>
  <c r="C737" i="1"/>
  <c r="B737" i="1"/>
  <c r="A737" i="1"/>
  <c r="O736" i="1"/>
  <c r="N736" i="1"/>
  <c r="L736" i="1"/>
  <c r="H736" i="1"/>
  <c r="G736" i="1"/>
  <c r="D736" i="1"/>
  <c r="B736" i="1"/>
  <c r="A736" i="1"/>
  <c r="N735" i="1"/>
  <c r="M735" i="1"/>
  <c r="L735" i="1"/>
  <c r="K735" i="1"/>
  <c r="J735" i="1"/>
  <c r="H735" i="1"/>
  <c r="G735" i="1"/>
  <c r="E735" i="1"/>
  <c r="D735" i="1"/>
  <c r="C735" i="1"/>
  <c r="B735" i="1"/>
  <c r="A735" i="1"/>
  <c r="N734" i="1"/>
  <c r="M734" i="1"/>
  <c r="L734" i="1"/>
  <c r="K734" i="1"/>
  <c r="J734" i="1"/>
  <c r="H734" i="1"/>
  <c r="G734" i="1"/>
  <c r="E734" i="1"/>
  <c r="D734" i="1"/>
  <c r="C734" i="1"/>
  <c r="B734" i="1"/>
  <c r="A734" i="1"/>
  <c r="N733" i="1"/>
  <c r="M733" i="1"/>
  <c r="L733" i="1"/>
  <c r="K733" i="1"/>
  <c r="J733" i="1"/>
  <c r="H733" i="1"/>
  <c r="G733" i="1"/>
  <c r="E733" i="1"/>
  <c r="D733" i="1"/>
  <c r="C733" i="1"/>
  <c r="B733" i="1"/>
  <c r="A733" i="1"/>
  <c r="N732" i="1"/>
  <c r="M732" i="1"/>
  <c r="L732" i="1"/>
  <c r="K732" i="1"/>
  <c r="J732" i="1"/>
  <c r="H732" i="1"/>
  <c r="G732" i="1"/>
  <c r="E732" i="1"/>
  <c r="D732" i="1"/>
  <c r="C732" i="1"/>
  <c r="B732" i="1"/>
  <c r="A732" i="1"/>
  <c r="N731" i="1"/>
  <c r="M731" i="1"/>
  <c r="L731" i="1"/>
  <c r="K731" i="1"/>
  <c r="J731" i="1"/>
  <c r="H731" i="1"/>
  <c r="G731" i="1"/>
  <c r="E731" i="1"/>
  <c r="D731" i="1"/>
  <c r="C731" i="1"/>
  <c r="B731" i="1"/>
  <c r="A731" i="1"/>
  <c r="N730" i="1"/>
  <c r="M730" i="1"/>
  <c r="L730" i="1"/>
  <c r="K730" i="1"/>
  <c r="J730" i="1"/>
  <c r="H730" i="1"/>
  <c r="G730" i="1"/>
  <c r="E730" i="1"/>
  <c r="D730" i="1"/>
  <c r="C730" i="1"/>
  <c r="B730" i="1"/>
  <c r="A730" i="1"/>
  <c r="N729" i="1"/>
  <c r="M729" i="1"/>
  <c r="L729" i="1"/>
  <c r="K729" i="1"/>
  <c r="J729" i="1"/>
  <c r="H729" i="1"/>
  <c r="G729" i="1"/>
  <c r="E729" i="1"/>
  <c r="D729" i="1"/>
  <c r="C729" i="1"/>
  <c r="B729" i="1"/>
  <c r="A729" i="1"/>
  <c r="O728" i="1"/>
  <c r="N728" i="1"/>
  <c r="M728" i="1"/>
  <c r="L728" i="1"/>
  <c r="K728" i="1"/>
  <c r="J728" i="1"/>
  <c r="I728" i="1"/>
  <c r="H728" i="1"/>
  <c r="G728" i="1"/>
  <c r="F728" i="1"/>
  <c r="E728" i="1"/>
  <c r="D728" i="1"/>
  <c r="C728" i="1"/>
  <c r="B728" i="1"/>
  <c r="A728" i="1"/>
  <c r="O727" i="1"/>
  <c r="N727" i="1"/>
  <c r="M727" i="1"/>
  <c r="L727" i="1"/>
  <c r="K727" i="1"/>
  <c r="J727" i="1"/>
  <c r="H727" i="1"/>
  <c r="G727" i="1"/>
  <c r="F727" i="1"/>
  <c r="E727" i="1"/>
  <c r="D727" i="1"/>
  <c r="C727" i="1"/>
  <c r="B727" i="1"/>
  <c r="A727" i="1"/>
  <c r="O726" i="1"/>
  <c r="N726" i="1"/>
  <c r="M726" i="1"/>
  <c r="L726" i="1"/>
  <c r="K726" i="1"/>
  <c r="J726" i="1"/>
  <c r="H726" i="1"/>
  <c r="G726" i="1"/>
  <c r="F726" i="1"/>
  <c r="E726" i="1"/>
  <c r="D726" i="1"/>
  <c r="C726" i="1"/>
  <c r="B726" i="1"/>
  <c r="A726" i="1"/>
  <c r="O725" i="1"/>
  <c r="N725" i="1"/>
  <c r="L725" i="1"/>
  <c r="H725" i="1"/>
  <c r="G725" i="1"/>
  <c r="D725" i="1"/>
  <c r="B725" i="1"/>
  <c r="A725" i="1"/>
  <c r="N724" i="1"/>
  <c r="M724" i="1"/>
  <c r="L724" i="1"/>
  <c r="K724" i="1"/>
  <c r="J724" i="1"/>
  <c r="H724" i="1"/>
  <c r="G724" i="1"/>
  <c r="E724" i="1"/>
  <c r="D724" i="1"/>
  <c r="C724" i="1"/>
  <c r="B724" i="1"/>
  <c r="A724" i="1"/>
  <c r="N723" i="1"/>
  <c r="M723" i="1"/>
  <c r="L723" i="1"/>
  <c r="K723" i="1"/>
  <c r="J723" i="1"/>
  <c r="H723" i="1"/>
  <c r="G723" i="1"/>
  <c r="E723" i="1"/>
  <c r="D723" i="1"/>
  <c r="C723" i="1"/>
  <c r="B723" i="1"/>
  <c r="A723" i="1"/>
  <c r="N722" i="1"/>
  <c r="M722" i="1"/>
  <c r="L722" i="1"/>
  <c r="K722" i="1"/>
  <c r="J722" i="1"/>
  <c r="H722" i="1"/>
  <c r="G722" i="1"/>
  <c r="F722" i="1"/>
  <c r="E722" i="1"/>
  <c r="D722" i="1"/>
  <c r="C722" i="1"/>
  <c r="B722" i="1"/>
  <c r="A722" i="1"/>
  <c r="O721" i="1"/>
  <c r="N721" i="1"/>
  <c r="M721" i="1"/>
  <c r="L721" i="1"/>
  <c r="K721" i="1"/>
  <c r="J721" i="1"/>
  <c r="H721" i="1"/>
  <c r="G721" i="1"/>
  <c r="E721" i="1"/>
  <c r="D721" i="1"/>
  <c r="C721" i="1"/>
  <c r="B721" i="1"/>
  <c r="A721" i="1"/>
  <c r="N720" i="1"/>
  <c r="M720" i="1"/>
  <c r="L720" i="1"/>
  <c r="H720" i="1"/>
  <c r="G720" i="1"/>
  <c r="E720" i="1"/>
  <c r="D720" i="1"/>
  <c r="C720" i="1"/>
  <c r="B720" i="1"/>
  <c r="A720" i="1"/>
  <c r="N719" i="1"/>
  <c r="M719" i="1"/>
  <c r="L719" i="1"/>
  <c r="K719" i="1"/>
  <c r="J719" i="1"/>
  <c r="H719" i="1"/>
  <c r="G719" i="1"/>
  <c r="E719" i="1"/>
  <c r="D719" i="1"/>
  <c r="C719" i="1"/>
  <c r="B719" i="1"/>
  <c r="A719" i="1"/>
  <c r="N718" i="1"/>
  <c r="M718" i="1"/>
  <c r="L718" i="1"/>
  <c r="H718" i="1"/>
  <c r="G718" i="1"/>
  <c r="E718" i="1"/>
  <c r="D718" i="1"/>
  <c r="C718" i="1"/>
  <c r="B718" i="1"/>
  <c r="A718" i="1"/>
  <c r="N717" i="1"/>
  <c r="M717" i="1"/>
  <c r="L717" i="1"/>
  <c r="H717" i="1"/>
  <c r="G717" i="1"/>
  <c r="E717" i="1"/>
  <c r="D717" i="1"/>
  <c r="C717" i="1"/>
  <c r="B717" i="1"/>
  <c r="A717" i="1"/>
  <c r="N716" i="1"/>
  <c r="M716" i="1"/>
  <c r="L716" i="1"/>
  <c r="H716" i="1"/>
  <c r="G716" i="1"/>
  <c r="E716" i="1"/>
  <c r="D716" i="1"/>
  <c r="C716" i="1"/>
  <c r="B716" i="1"/>
  <c r="A716" i="1"/>
  <c r="N715" i="1"/>
  <c r="M715" i="1"/>
  <c r="L715" i="1"/>
  <c r="K715" i="1"/>
  <c r="J715" i="1"/>
  <c r="H715" i="1"/>
  <c r="G715" i="1"/>
  <c r="E715" i="1"/>
  <c r="D715" i="1"/>
  <c r="C715" i="1"/>
  <c r="B715" i="1"/>
  <c r="A715" i="1"/>
  <c r="N714" i="1"/>
  <c r="M714" i="1"/>
  <c r="L714" i="1"/>
  <c r="J714" i="1"/>
  <c r="H714" i="1"/>
  <c r="G714" i="1"/>
  <c r="E714" i="1"/>
  <c r="D714" i="1"/>
  <c r="C714" i="1"/>
  <c r="B714" i="1"/>
  <c r="A714" i="1"/>
  <c r="N713" i="1"/>
  <c r="M713" i="1"/>
  <c r="L713" i="1"/>
  <c r="J713" i="1"/>
  <c r="H713" i="1"/>
  <c r="G713" i="1"/>
  <c r="E713" i="1"/>
  <c r="D713" i="1"/>
  <c r="B713" i="1"/>
  <c r="A713" i="1"/>
  <c r="N712" i="1"/>
  <c r="M712" i="1"/>
  <c r="L712" i="1"/>
  <c r="J712" i="1"/>
  <c r="H712" i="1"/>
  <c r="G712" i="1"/>
  <c r="E712" i="1"/>
  <c r="D712" i="1"/>
  <c r="B712" i="1"/>
  <c r="A712" i="1"/>
  <c r="N711" i="1"/>
  <c r="M711" i="1"/>
  <c r="L711" i="1"/>
  <c r="J711" i="1"/>
  <c r="H711" i="1"/>
  <c r="G711" i="1"/>
  <c r="E711" i="1"/>
  <c r="D711" i="1"/>
  <c r="B711" i="1"/>
  <c r="A711" i="1"/>
  <c r="N710" i="1"/>
  <c r="M710" i="1"/>
  <c r="L710" i="1"/>
  <c r="J710" i="1"/>
  <c r="H710" i="1"/>
  <c r="G710" i="1"/>
  <c r="E710" i="1"/>
  <c r="D710" i="1"/>
  <c r="B710" i="1"/>
  <c r="A710" i="1"/>
  <c r="N709" i="1"/>
  <c r="M709" i="1"/>
  <c r="L709" i="1"/>
  <c r="J709" i="1"/>
  <c r="H709" i="1"/>
  <c r="G709" i="1"/>
  <c r="E709" i="1"/>
  <c r="D709" i="1"/>
  <c r="B709" i="1"/>
  <c r="A709" i="1"/>
  <c r="N708" i="1"/>
  <c r="M708" i="1"/>
  <c r="L708" i="1"/>
  <c r="J708" i="1"/>
  <c r="H708" i="1"/>
  <c r="G708" i="1"/>
  <c r="E708" i="1"/>
  <c r="D708" i="1"/>
  <c r="B708" i="1"/>
  <c r="A708" i="1"/>
  <c r="N707" i="1"/>
  <c r="M707" i="1"/>
  <c r="L707" i="1"/>
  <c r="J707" i="1"/>
  <c r="H707" i="1"/>
  <c r="G707" i="1"/>
  <c r="E707" i="1"/>
  <c r="D707" i="1"/>
  <c r="B707" i="1"/>
  <c r="A707" i="1"/>
  <c r="N706" i="1"/>
  <c r="M706" i="1"/>
  <c r="L706" i="1"/>
  <c r="J706" i="1"/>
  <c r="H706" i="1"/>
  <c r="G706" i="1"/>
  <c r="E706" i="1"/>
  <c r="D706" i="1"/>
  <c r="B706" i="1"/>
  <c r="A706" i="1"/>
  <c r="N705" i="1"/>
  <c r="M705" i="1"/>
  <c r="L705" i="1"/>
  <c r="J705" i="1"/>
  <c r="H705" i="1"/>
  <c r="G705" i="1"/>
  <c r="E705" i="1"/>
  <c r="D705" i="1"/>
  <c r="B705" i="1"/>
  <c r="A705" i="1"/>
  <c r="N704" i="1"/>
  <c r="M704" i="1"/>
  <c r="L704" i="1"/>
  <c r="J704" i="1"/>
  <c r="H704" i="1"/>
  <c r="G704" i="1"/>
  <c r="E704" i="1"/>
  <c r="D704" i="1"/>
  <c r="B704" i="1"/>
  <c r="A704" i="1"/>
  <c r="N703" i="1"/>
  <c r="M703" i="1"/>
  <c r="L703" i="1"/>
  <c r="K703" i="1"/>
  <c r="J703" i="1"/>
  <c r="H703" i="1"/>
  <c r="G703" i="1"/>
  <c r="E703" i="1"/>
  <c r="D703" i="1"/>
  <c r="C703" i="1"/>
  <c r="B703" i="1"/>
  <c r="A703" i="1"/>
  <c r="N702" i="1"/>
  <c r="M702" i="1"/>
  <c r="L702" i="1"/>
  <c r="J702" i="1"/>
  <c r="H702" i="1"/>
  <c r="G702" i="1"/>
  <c r="E702" i="1"/>
  <c r="D702" i="1"/>
  <c r="B702" i="1"/>
  <c r="A702" i="1"/>
  <c r="N701" i="1"/>
  <c r="M701" i="1"/>
  <c r="L701" i="1"/>
  <c r="K701" i="1"/>
  <c r="J701" i="1"/>
  <c r="H701" i="1"/>
  <c r="G701" i="1"/>
  <c r="E701" i="1"/>
  <c r="D701" i="1"/>
  <c r="C701" i="1"/>
  <c r="B701" i="1"/>
  <c r="A701" i="1"/>
  <c r="N700" i="1"/>
  <c r="M700" i="1"/>
  <c r="L700" i="1"/>
  <c r="K700" i="1"/>
  <c r="J700" i="1"/>
  <c r="H700" i="1"/>
  <c r="G700" i="1"/>
  <c r="E700" i="1"/>
  <c r="D700" i="1"/>
  <c r="C700" i="1"/>
  <c r="B700" i="1"/>
  <c r="A700" i="1"/>
  <c r="N699" i="1"/>
  <c r="M699" i="1"/>
  <c r="L699" i="1"/>
  <c r="K699" i="1"/>
  <c r="J699" i="1"/>
  <c r="H699" i="1"/>
  <c r="G699" i="1"/>
  <c r="E699" i="1"/>
  <c r="D699" i="1"/>
  <c r="C699" i="1"/>
  <c r="B699" i="1"/>
  <c r="A699" i="1"/>
  <c r="O698" i="1"/>
  <c r="N698" i="1"/>
  <c r="M698" i="1"/>
  <c r="L698" i="1"/>
  <c r="J698" i="1"/>
  <c r="H698" i="1"/>
  <c r="G698" i="1"/>
  <c r="E698" i="1"/>
  <c r="D698" i="1"/>
  <c r="B698" i="1"/>
  <c r="A698" i="1"/>
  <c r="N697" i="1"/>
  <c r="M697" i="1"/>
  <c r="L697" i="1"/>
  <c r="K697" i="1"/>
  <c r="J697" i="1"/>
  <c r="H697" i="1"/>
  <c r="G697" i="1"/>
  <c r="E697" i="1"/>
  <c r="D697" i="1"/>
  <c r="C697" i="1"/>
  <c r="B697" i="1"/>
  <c r="A697" i="1"/>
  <c r="N696" i="1"/>
  <c r="M696" i="1"/>
  <c r="L696" i="1"/>
  <c r="K696" i="1"/>
  <c r="J696" i="1"/>
  <c r="H696" i="1"/>
  <c r="G696" i="1"/>
  <c r="E696" i="1"/>
  <c r="D696" i="1"/>
  <c r="C696" i="1"/>
  <c r="B696" i="1"/>
  <c r="A696" i="1"/>
  <c r="N695" i="1"/>
  <c r="M695" i="1"/>
  <c r="L695" i="1"/>
  <c r="K695" i="1"/>
  <c r="J695" i="1"/>
  <c r="H695" i="1"/>
  <c r="G695" i="1"/>
  <c r="E695" i="1"/>
  <c r="D695" i="1"/>
  <c r="C695" i="1"/>
  <c r="B695" i="1"/>
  <c r="A695" i="1"/>
  <c r="N694" i="1"/>
  <c r="M694" i="1"/>
  <c r="L694" i="1"/>
  <c r="K694" i="1"/>
  <c r="J694" i="1"/>
  <c r="H694" i="1"/>
  <c r="G694" i="1"/>
  <c r="F694" i="1"/>
  <c r="E694" i="1"/>
  <c r="D694" i="1"/>
  <c r="C694" i="1"/>
  <c r="B694" i="1"/>
  <c r="A694" i="1"/>
  <c r="N693" i="1"/>
  <c r="M693" i="1"/>
  <c r="L693" i="1"/>
  <c r="K693" i="1"/>
  <c r="J693" i="1"/>
  <c r="H693" i="1"/>
  <c r="G693" i="1"/>
  <c r="E693" i="1"/>
  <c r="D693" i="1"/>
  <c r="C693" i="1"/>
  <c r="B693" i="1"/>
  <c r="A693" i="1"/>
  <c r="O692" i="1"/>
  <c r="N692" i="1"/>
  <c r="M692" i="1"/>
  <c r="L692" i="1"/>
  <c r="J692" i="1"/>
  <c r="H692" i="1"/>
  <c r="G692" i="1"/>
  <c r="E692" i="1"/>
  <c r="D692" i="1"/>
  <c r="B692" i="1"/>
  <c r="A692" i="1"/>
  <c r="O691" i="1"/>
  <c r="N691" i="1"/>
  <c r="M691" i="1"/>
  <c r="L691" i="1"/>
  <c r="J691" i="1"/>
  <c r="H691" i="1"/>
  <c r="G691" i="1"/>
  <c r="F691" i="1"/>
  <c r="E691" i="1"/>
  <c r="D691" i="1"/>
  <c r="B691" i="1"/>
  <c r="A691" i="1"/>
  <c r="O690" i="1"/>
  <c r="N690" i="1"/>
  <c r="M690" i="1"/>
  <c r="L690" i="1"/>
  <c r="K690" i="1"/>
  <c r="J690" i="1"/>
  <c r="H690" i="1"/>
  <c r="G690" i="1"/>
  <c r="E690" i="1"/>
  <c r="D690" i="1"/>
  <c r="C690" i="1"/>
  <c r="B690" i="1"/>
  <c r="A690" i="1"/>
  <c r="O689" i="1"/>
  <c r="N689" i="1"/>
  <c r="M689" i="1"/>
  <c r="L689" i="1"/>
  <c r="J689" i="1"/>
  <c r="H689" i="1"/>
  <c r="G689" i="1"/>
  <c r="F689" i="1"/>
  <c r="E689" i="1"/>
  <c r="D689" i="1"/>
  <c r="B689" i="1"/>
  <c r="A689" i="1"/>
  <c r="N688" i="1"/>
  <c r="M688" i="1"/>
  <c r="L688" i="1"/>
  <c r="K688" i="1"/>
  <c r="J688" i="1"/>
  <c r="H688" i="1"/>
  <c r="G688" i="1"/>
  <c r="F688" i="1"/>
  <c r="E688" i="1"/>
  <c r="D688" i="1"/>
  <c r="C688" i="1"/>
  <c r="B688" i="1"/>
  <c r="A688" i="1"/>
  <c r="N687" i="1"/>
  <c r="M687" i="1"/>
  <c r="L687" i="1"/>
  <c r="K687" i="1"/>
  <c r="J687" i="1"/>
  <c r="I687" i="1"/>
  <c r="H687" i="1"/>
  <c r="G687" i="1"/>
  <c r="F687" i="1"/>
  <c r="E687" i="1"/>
  <c r="D687" i="1"/>
  <c r="B687" i="1"/>
  <c r="A687" i="1"/>
  <c r="N686" i="1"/>
  <c r="M686" i="1"/>
  <c r="L686" i="1"/>
  <c r="K686" i="1"/>
  <c r="J686" i="1"/>
  <c r="H686" i="1"/>
  <c r="G686" i="1"/>
  <c r="F686" i="1"/>
  <c r="E686" i="1"/>
  <c r="D686" i="1"/>
  <c r="B686" i="1"/>
  <c r="A686" i="1"/>
  <c r="N685" i="1"/>
  <c r="M685" i="1"/>
  <c r="L685" i="1"/>
  <c r="K685" i="1"/>
  <c r="J685" i="1"/>
  <c r="H685" i="1"/>
  <c r="G685" i="1"/>
  <c r="F685" i="1"/>
  <c r="E685" i="1"/>
  <c r="D685" i="1"/>
  <c r="B685" i="1"/>
  <c r="A685" i="1"/>
  <c r="O684" i="1"/>
  <c r="N684" i="1"/>
  <c r="M684" i="1"/>
  <c r="L684" i="1"/>
  <c r="K684" i="1"/>
  <c r="J684" i="1"/>
  <c r="H684" i="1"/>
  <c r="G684" i="1"/>
  <c r="F684" i="1"/>
  <c r="E684" i="1"/>
  <c r="D684" i="1"/>
  <c r="B684" i="1"/>
  <c r="A684" i="1"/>
  <c r="N683" i="1"/>
  <c r="M683" i="1"/>
  <c r="L683" i="1"/>
  <c r="K683" i="1"/>
  <c r="J683" i="1"/>
  <c r="H683" i="1"/>
  <c r="G683" i="1"/>
  <c r="F683" i="1"/>
  <c r="E683" i="1"/>
  <c r="D683" i="1"/>
  <c r="B683" i="1"/>
  <c r="A683" i="1"/>
  <c r="N682" i="1"/>
  <c r="M682" i="1"/>
  <c r="L682" i="1"/>
  <c r="K682" i="1"/>
  <c r="J682" i="1"/>
  <c r="H682" i="1"/>
  <c r="G682" i="1"/>
  <c r="F682" i="1"/>
  <c r="E682" i="1"/>
  <c r="D682" i="1"/>
  <c r="B682" i="1"/>
  <c r="A682" i="1"/>
  <c r="O681" i="1"/>
  <c r="N681" i="1"/>
  <c r="M681" i="1"/>
  <c r="L681" i="1"/>
  <c r="K681" i="1"/>
  <c r="J681" i="1"/>
  <c r="H681" i="1"/>
  <c r="G681" i="1"/>
  <c r="F681" i="1"/>
  <c r="E681" i="1"/>
  <c r="D681" i="1"/>
  <c r="B681" i="1"/>
  <c r="A681" i="1"/>
  <c r="N680" i="1"/>
  <c r="M680" i="1"/>
  <c r="L680" i="1"/>
  <c r="K680" i="1"/>
  <c r="J680" i="1"/>
  <c r="H680" i="1"/>
  <c r="G680" i="1"/>
  <c r="F680" i="1"/>
  <c r="E680" i="1"/>
  <c r="D680" i="1"/>
  <c r="B680" i="1"/>
  <c r="A680" i="1"/>
  <c r="N679" i="1"/>
  <c r="M679" i="1"/>
  <c r="L679" i="1"/>
  <c r="K679" i="1"/>
  <c r="J679" i="1"/>
  <c r="H679" i="1"/>
  <c r="G679" i="1"/>
  <c r="F679" i="1"/>
  <c r="E679" i="1"/>
  <c r="D679" i="1"/>
  <c r="B679" i="1"/>
  <c r="A679" i="1"/>
  <c r="O678" i="1"/>
  <c r="N678" i="1"/>
  <c r="M678" i="1"/>
  <c r="L678" i="1"/>
  <c r="K678" i="1"/>
  <c r="J678" i="1"/>
  <c r="H678" i="1"/>
  <c r="G678" i="1"/>
  <c r="F678" i="1"/>
  <c r="E678" i="1"/>
  <c r="D678" i="1"/>
  <c r="B678" i="1"/>
  <c r="A678" i="1"/>
  <c r="N677" i="1"/>
  <c r="M677" i="1"/>
  <c r="L677" i="1"/>
  <c r="K677" i="1"/>
  <c r="J677" i="1"/>
  <c r="H677" i="1"/>
  <c r="G677" i="1"/>
  <c r="F677" i="1"/>
  <c r="E677" i="1"/>
  <c r="D677" i="1"/>
  <c r="B677" i="1"/>
  <c r="A677" i="1"/>
  <c r="N676" i="1"/>
  <c r="M676" i="1"/>
  <c r="L676" i="1"/>
  <c r="K676" i="1"/>
  <c r="J676" i="1"/>
  <c r="I676" i="1"/>
  <c r="H676" i="1"/>
  <c r="G676" i="1"/>
  <c r="F676" i="1"/>
  <c r="E676" i="1"/>
  <c r="D676" i="1"/>
  <c r="B676" i="1"/>
  <c r="A676" i="1"/>
  <c r="N675" i="1"/>
  <c r="M675" i="1"/>
  <c r="L675" i="1"/>
  <c r="K675" i="1"/>
  <c r="J675" i="1"/>
  <c r="H675" i="1"/>
  <c r="G675" i="1"/>
  <c r="F675" i="1"/>
  <c r="E675" i="1"/>
  <c r="D675" i="1"/>
  <c r="B675" i="1"/>
  <c r="A675" i="1"/>
  <c r="N674" i="1"/>
  <c r="M674" i="1"/>
  <c r="L674" i="1"/>
  <c r="K674" i="1"/>
  <c r="J674" i="1"/>
  <c r="H674" i="1"/>
  <c r="G674" i="1"/>
  <c r="F674" i="1"/>
  <c r="E674" i="1"/>
  <c r="D674" i="1"/>
  <c r="C674" i="1"/>
  <c r="B674" i="1"/>
  <c r="A674" i="1"/>
  <c r="O673" i="1"/>
  <c r="N673" i="1"/>
  <c r="M673" i="1"/>
  <c r="L673" i="1"/>
  <c r="K673" i="1"/>
  <c r="J673" i="1"/>
  <c r="H673" i="1"/>
  <c r="G673" i="1"/>
  <c r="F673" i="1"/>
  <c r="E673" i="1"/>
  <c r="D673" i="1"/>
  <c r="C673" i="1"/>
  <c r="B673" i="1"/>
  <c r="A673" i="1"/>
  <c r="N672" i="1"/>
  <c r="M672" i="1"/>
  <c r="L672" i="1"/>
  <c r="K672" i="1"/>
  <c r="J672" i="1"/>
  <c r="H672" i="1"/>
  <c r="G672" i="1"/>
  <c r="F672" i="1"/>
  <c r="E672" i="1"/>
  <c r="D672" i="1"/>
  <c r="B672" i="1"/>
  <c r="A672" i="1"/>
  <c r="O671" i="1"/>
  <c r="N671" i="1"/>
  <c r="M671" i="1"/>
  <c r="L671" i="1"/>
  <c r="K671" i="1"/>
  <c r="J671" i="1"/>
  <c r="I671" i="1"/>
  <c r="H671" i="1"/>
  <c r="G671" i="1"/>
  <c r="F671" i="1"/>
  <c r="E671" i="1"/>
  <c r="D671" i="1"/>
  <c r="C671" i="1"/>
  <c r="B671" i="1"/>
  <c r="A671" i="1"/>
  <c r="N670" i="1"/>
  <c r="M670" i="1"/>
  <c r="L670" i="1"/>
  <c r="H670" i="1"/>
  <c r="G670" i="1"/>
  <c r="F670" i="1"/>
  <c r="E670" i="1"/>
  <c r="D670" i="1"/>
  <c r="C670" i="1"/>
  <c r="B670" i="1"/>
  <c r="A670" i="1"/>
  <c r="N669" i="1"/>
  <c r="M669" i="1"/>
  <c r="L669" i="1"/>
  <c r="J669" i="1"/>
  <c r="H669" i="1"/>
  <c r="G669" i="1"/>
  <c r="E669" i="1"/>
  <c r="D669" i="1"/>
  <c r="C669" i="1"/>
  <c r="B669" i="1"/>
  <c r="A669" i="1"/>
  <c r="N668" i="1"/>
  <c r="M668" i="1"/>
  <c r="L668" i="1"/>
  <c r="K668" i="1"/>
  <c r="J668" i="1"/>
  <c r="H668" i="1"/>
  <c r="G668" i="1"/>
  <c r="F668" i="1"/>
  <c r="E668" i="1"/>
  <c r="D668" i="1"/>
  <c r="B668" i="1"/>
  <c r="A668" i="1"/>
  <c r="O667" i="1"/>
  <c r="N667" i="1"/>
  <c r="M667" i="1"/>
  <c r="L667" i="1"/>
  <c r="K667" i="1"/>
  <c r="J667" i="1"/>
  <c r="H667" i="1"/>
  <c r="G667" i="1"/>
  <c r="F667" i="1"/>
  <c r="E667" i="1"/>
  <c r="D667" i="1"/>
  <c r="C667" i="1"/>
  <c r="B667" i="1"/>
  <c r="A667" i="1"/>
  <c r="N666" i="1"/>
  <c r="M666" i="1"/>
  <c r="L666" i="1"/>
  <c r="J666" i="1"/>
  <c r="H666" i="1"/>
  <c r="G666" i="1"/>
  <c r="E666" i="1"/>
  <c r="D666" i="1"/>
  <c r="C666" i="1"/>
  <c r="B666" i="1"/>
  <c r="A666" i="1"/>
  <c r="N665" i="1"/>
  <c r="M665" i="1"/>
  <c r="L665" i="1"/>
  <c r="K665" i="1"/>
  <c r="J665" i="1"/>
  <c r="H665" i="1"/>
  <c r="G665" i="1"/>
  <c r="E665" i="1"/>
  <c r="D665" i="1"/>
  <c r="C665" i="1"/>
  <c r="B665" i="1"/>
  <c r="A665" i="1"/>
  <c r="N664" i="1"/>
  <c r="M664" i="1"/>
  <c r="L664" i="1"/>
  <c r="K664" i="1"/>
  <c r="J664" i="1"/>
  <c r="H664" i="1"/>
  <c r="G664" i="1"/>
  <c r="F664" i="1"/>
  <c r="E664" i="1"/>
  <c r="D664" i="1"/>
  <c r="C664" i="1"/>
  <c r="B664" i="1"/>
  <c r="A664" i="1"/>
  <c r="N663" i="1"/>
  <c r="M663" i="1"/>
  <c r="L663" i="1"/>
  <c r="J663" i="1"/>
  <c r="H663" i="1"/>
  <c r="G663" i="1"/>
  <c r="F663" i="1"/>
  <c r="E663" i="1"/>
  <c r="D663" i="1"/>
  <c r="B663" i="1"/>
  <c r="A663" i="1"/>
  <c r="N662" i="1"/>
  <c r="M662" i="1"/>
  <c r="L662" i="1"/>
  <c r="J662" i="1"/>
  <c r="H662" i="1"/>
  <c r="G662" i="1"/>
  <c r="E662" i="1"/>
  <c r="D662" i="1"/>
  <c r="C662" i="1"/>
  <c r="B662" i="1"/>
  <c r="A662" i="1"/>
  <c r="N661" i="1"/>
  <c r="M661" i="1"/>
  <c r="L661" i="1"/>
  <c r="K661" i="1"/>
  <c r="J661" i="1"/>
  <c r="H661" i="1"/>
  <c r="G661" i="1"/>
  <c r="E661" i="1"/>
  <c r="D661" i="1"/>
  <c r="C661" i="1"/>
  <c r="B661" i="1"/>
  <c r="A661" i="1"/>
  <c r="N660" i="1"/>
  <c r="M660" i="1"/>
  <c r="L660" i="1"/>
  <c r="K660" i="1"/>
  <c r="J660" i="1"/>
  <c r="H660" i="1"/>
  <c r="G660" i="1"/>
  <c r="E660" i="1"/>
  <c r="D660" i="1"/>
  <c r="C660" i="1"/>
  <c r="B660" i="1"/>
  <c r="A660" i="1"/>
  <c r="N659" i="1"/>
  <c r="M659" i="1"/>
  <c r="L659" i="1"/>
  <c r="K659" i="1"/>
  <c r="J659" i="1"/>
  <c r="H659" i="1"/>
  <c r="G659" i="1"/>
  <c r="F659" i="1"/>
  <c r="E659" i="1"/>
  <c r="D659" i="1"/>
  <c r="C659" i="1"/>
  <c r="B659" i="1"/>
  <c r="A659" i="1"/>
  <c r="N658" i="1"/>
  <c r="M658" i="1"/>
  <c r="L658" i="1"/>
  <c r="K658" i="1"/>
  <c r="J658" i="1"/>
  <c r="I658" i="1"/>
  <c r="H658" i="1"/>
  <c r="G658" i="1"/>
  <c r="E658" i="1"/>
  <c r="D658" i="1"/>
  <c r="C658" i="1"/>
  <c r="B658" i="1"/>
  <c r="A658" i="1"/>
  <c r="N657" i="1"/>
  <c r="M657" i="1"/>
  <c r="L657" i="1"/>
  <c r="K657" i="1"/>
  <c r="J657" i="1"/>
  <c r="H657" i="1"/>
  <c r="G657" i="1"/>
  <c r="E657" i="1"/>
  <c r="D657" i="1"/>
  <c r="C657" i="1"/>
  <c r="B657" i="1"/>
  <c r="A657" i="1"/>
  <c r="N656" i="1"/>
  <c r="M656" i="1"/>
  <c r="L656" i="1"/>
  <c r="K656" i="1"/>
  <c r="J656" i="1"/>
  <c r="H656" i="1"/>
  <c r="G656" i="1"/>
  <c r="F656" i="1"/>
  <c r="E656" i="1"/>
  <c r="D656" i="1"/>
  <c r="C656" i="1"/>
  <c r="B656" i="1"/>
  <c r="A656" i="1"/>
  <c r="N655" i="1"/>
  <c r="M655" i="1"/>
  <c r="L655" i="1"/>
  <c r="K655" i="1"/>
  <c r="J655" i="1"/>
  <c r="H655" i="1"/>
  <c r="G655" i="1"/>
  <c r="F655" i="1"/>
  <c r="E655" i="1"/>
  <c r="D655" i="1"/>
  <c r="C655" i="1"/>
  <c r="B655" i="1"/>
  <c r="A655" i="1"/>
  <c r="O654" i="1"/>
  <c r="N654" i="1"/>
  <c r="L654" i="1"/>
  <c r="H654" i="1"/>
  <c r="G654" i="1"/>
  <c r="D654" i="1"/>
  <c r="B654" i="1"/>
  <c r="A654" i="1"/>
  <c r="N653" i="1"/>
  <c r="M653" i="1"/>
  <c r="L653" i="1"/>
  <c r="K653" i="1"/>
  <c r="J653" i="1"/>
  <c r="H653" i="1"/>
  <c r="G653" i="1"/>
  <c r="E653" i="1"/>
  <c r="D653" i="1"/>
  <c r="C653" i="1"/>
  <c r="B653" i="1"/>
  <c r="A653" i="1"/>
  <c r="N652" i="1"/>
  <c r="M652" i="1"/>
  <c r="L652" i="1"/>
  <c r="K652" i="1"/>
  <c r="J652" i="1"/>
  <c r="H652" i="1"/>
  <c r="G652" i="1"/>
  <c r="E652" i="1"/>
  <c r="D652" i="1"/>
  <c r="C652" i="1"/>
  <c r="B652" i="1"/>
  <c r="A652" i="1"/>
  <c r="N651" i="1"/>
  <c r="M651" i="1"/>
  <c r="L651" i="1"/>
  <c r="K651" i="1"/>
  <c r="J651" i="1"/>
  <c r="H651" i="1"/>
  <c r="G651" i="1"/>
  <c r="F651" i="1"/>
  <c r="E651" i="1"/>
  <c r="D651" i="1"/>
  <c r="C651" i="1"/>
  <c r="B651" i="1"/>
  <c r="A651" i="1"/>
  <c r="N650" i="1"/>
  <c r="M650" i="1"/>
  <c r="L650" i="1"/>
  <c r="K650" i="1"/>
  <c r="J650" i="1"/>
  <c r="H650" i="1"/>
  <c r="G650" i="1"/>
  <c r="F650" i="1"/>
  <c r="E650" i="1"/>
  <c r="D650" i="1"/>
  <c r="C650" i="1"/>
  <c r="B650" i="1"/>
  <c r="A650" i="1"/>
  <c r="N649" i="1"/>
  <c r="M649" i="1"/>
  <c r="L649" i="1"/>
  <c r="K649" i="1"/>
  <c r="J649" i="1"/>
  <c r="H649" i="1"/>
  <c r="G649" i="1"/>
  <c r="E649" i="1"/>
  <c r="D649" i="1"/>
  <c r="C649" i="1"/>
  <c r="B649" i="1"/>
  <c r="A649" i="1"/>
  <c r="N648" i="1"/>
  <c r="M648" i="1"/>
  <c r="L648" i="1"/>
  <c r="K648" i="1"/>
  <c r="J648" i="1"/>
  <c r="H648" i="1"/>
  <c r="G648" i="1"/>
  <c r="E648" i="1"/>
  <c r="D648" i="1"/>
  <c r="C648" i="1"/>
  <c r="B648" i="1"/>
  <c r="A648" i="1"/>
  <c r="N647" i="1"/>
  <c r="M647" i="1"/>
  <c r="L647" i="1"/>
  <c r="K647" i="1"/>
  <c r="J647" i="1"/>
  <c r="H647" i="1"/>
  <c r="G647" i="1"/>
  <c r="E647" i="1"/>
  <c r="D647" i="1"/>
  <c r="C647" i="1"/>
  <c r="B647" i="1"/>
  <c r="A647" i="1"/>
  <c r="N646" i="1"/>
  <c r="L646" i="1"/>
  <c r="K646" i="1"/>
  <c r="J646" i="1"/>
  <c r="H646" i="1"/>
  <c r="G646" i="1"/>
  <c r="E646" i="1"/>
  <c r="D646" i="1"/>
  <c r="C646" i="1"/>
  <c r="B646" i="1"/>
  <c r="A646" i="1"/>
  <c r="N645" i="1"/>
  <c r="M645" i="1"/>
  <c r="L645" i="1"/>
  <c r="K645" i="1"/>
  <c r="J645" i="1"/>
  <c r="H645" i="1"/>
  <c r="G645" i="1"/>
  <c r="E645" i="1"/>
  <c r="D645" i="1"/>
  <c r="C645" i="1"/>
  <c r="B645" i="1"/>
  <c r="A645" i="1"/>
  <c r="N644" i="1"/>
  <c r="M644" i="1"/>
  <c r="L644" i="1"/>
  <c r="H644" i="1"/>
  <c r="G644" i="1"/>
  <c r="E644" i="1"/>
  <c r="D644" i="1"/>
  <c r="C644" i="1"/>
  <c r="B644" i="1"/>
  <c r="A644" i="1"/>
  <c r="N643" i="1"/>
  <c r="M643" i="1"/>
  <c r="L643" i="1"/>
  <c r="K643" i="1"/>
  <c r="J643" i="1"/>
  <c r="H643" i="1"/>
  <c r="G643" i="1"/>
  <c r="F643" i="1"/>
  <c r="E643" i="1"/>
  <c r="D643" i="1"/>
  <c r="C643" i="1"/>
  <c r="B643" i="1"/>
  <c r="A643" i="1"/>
  <c r="N642" i="1"/>
  <c r="M642" i="1"/>
  <c r="L642" i="1"/>
  <c r="K642" i="1"/>
  <c r="J642" i="1"/>
  <c r="H642" i="1"/>
  <c r="G642" i="1"/>
  <c r="F642" i="1"/>
  <c r="E642" i="1"/>
  <c r="D642" i="1"/>
  <c r="C642" i="1"/>
  <c r="B642" i="1"/>
  <c r="A642" i="1"/>
  <c r="N641" i="1"/>
  <c r="M641" i="1"/>
  <c r="L641" i="1"/>
  <c r="K641" i="1"/>
  <c r="J641" i="1"/>
  <c r="H641" i="1"/>
  <c r="G641" i="1"/>
  <c r="F641" i="1"/>
  <c r="E641" i="1"/>
  <c r="D641" i="1"/>
  <c r="C641" i="1"/>
  <c r="B641" i="1"/>
  <c r="A641" i="1"/>
  <c r="N640" i="1"/>
  <c r="M640" i="1"/>
  <c r="L640" i="1"/>
  <c r="J640" i="1"/>
  <c r="H640" i="1"/>
  <c r="G640" i="1"/>
  <c r="F640" i="1"/>
  <c r="E640" i="1"/>
  <c r="D640" i="1"/>
  <c r="C640" i="1"/>
  <c r="B640" i="1"/>
  <c r="A640" i="1"/>
  <c r="N639" i="1"/>
  <c r="M639" i="1"/>
  <c r="L639" i="1"/>
  <c r="J639" i="1"/>
  <c r="H639" i="1"/>
  <c r="G639" i="1"/>
  <c r="F639" i="1"/>
  <c r="E639" i="1"/>
  <c r="D639" i="1"/>
  <c r="C639" i="1"/>
  <c r="B639" i="1"/>
  <c r="A639" i="1"/>
  <c r="N638" i="1"/>
  <c r="M638" i="1"/>
  <c r="L638" i="1"/>
  <c r="K638" i="1"/>
  <c r="J638" i="1"/>
  <c r="I638" i="1"/>
  <c r="H638" i="1"/>
  <c r="G638" i="1"/>
  <c r="F638" i="1"/>
  <c r="E638" i="1"/>
  <c r="D638" i="1"/>
  <c r="C638" i="1"/>
  <c r="B638" i="1"/>
  <c r="A638" i="1"/>
  <c r="N637" i="1"/>
  <c r="M637" i="1"/>
  <c r="L637" i="1"/>
  <c r="K637" i="1"/>
  <c r="J637" i="1"/>
  <c r="H637" i="1"/>
  <c r="G637" i="1"/>
  <c r="F637" i="1"/>
  <c r="E637" i="1"/>
  <c r="D637" i="1"/>
  <c r="C637" i="1"/>
  <c r="B637" i="1"/>
  <c r="A637" i="1"/>
  <c r="N636" i="1"/>
  <c r="M636" i="1"/>
  <c r="L636" i="1"/>
  <c r="K636" i="1"/>
  <c r="J636" i="1"/>
  <c r="H636" i="1"/>
  <c r="G636" i="1"/>
  <c r="F636" i="1"/>
  <c r="E636" i="1"/>
  <c r="D636" i="1"/>
  <c r="C636" i="1"/>
  <c r="B636" i="1"/>
  <c r="A636" i="1"/>
  <c r="N635" i="1"/>
  <c r="M635" i="1"/>
  <c r="L635" i="1"/>
  <c r="K635" i="1"/>
  <c r="J635" i="1"/>
  <c r="H635" i="1"/>
  <c r="G635" i="1"/>
  <c r="F635" i="1"/>
  <c r="E635" i="1"/>
  <c r="D635" i="1"/>
  <c r="C635" i="1"/>
  <c r="B635" i="1"/>
  <c r="A635" i="1"/>
  <c r="N634" i="1"/>
  <c r="M634" i="1"/>
  <c r="L634" i="1"/>
  <c r="K634" i="1"/>
  <c r="J634" i="1"/>
  <c r="H634" i="1"/>
  <c r="G634" i="1"/>
  <c r="F634" i="1"/>
  <c r="E634" i="1"/>
  <c r="D634" i="1"/>
  <c r="C634" i="1"/>
  <c r="B634" i="1"/>
  <c r="A634" i="1"/>
  <c r="N633" i="1"/>
  <c r="M633" i="1"/>
  <c r="L633" i="1"/>
  <c r="J633" i="1"/>
  <c r="H633" i="1"/>
  <c r="G633" i="1"/>
  <c r="E633" i="1"/>
  <c r="D633" i="1"/>
  <c r="B633" i="1"/>
  <c r="A633" i="1"/>
  <c r="N632" i="1"/>
  <c r="M632" i="1"/>
  <c r="L632" i="1"/>
  <c r="J632" i="1"/>
  <c r="H632" i="1"/>
  <c r="G632" i="1"/>
  <c r="E632" i="1"/>
  <c r="D632" i="1"/>
  <c r="B632" i="1"/>
  <c r="A632" i="1"/>
  <c r="N631" i="1"/>
  <c r="M631" i="1"/>
  <c r="L631" i="1"/>
  <c r="J631" i="1"/>
  <c r="H631" i="1"/>
  <c r="G631" i="1"/>
  <c r="E631" i="1"/>
  <c r="D631" i="1"/>
  <c r="B631" i="1"/>
  <c r="A631" i="1"/>
  <c r="N630" i="1"/>
  <c r="M630" i="1"/>
  <c r="L630" i="1"/>
  <c r="J630" i="1"/>
  <c r="H630" i="1"/>
  <c r="G630" i="1"/>
  <c r="F630" i="1"/>
  <c r="E630" i="1"/>
  <c r="D630" i="1"/>
  <c r="B630" i="1"/>
  <c r="A630" i="1"/>
  <c r="N629" i="1"/>
  <c r="M629" i="1"/>
  <c r="L629" i="1"/>
  <c r="J629" i="1"/>
  <c r="H629" i="1"/>
  <c r="G629" i="1"/>
  <c r="E629" i="1"/>
  <c r="D629" i="1"/>
  <c r="B629" i="1"/>
  <c r="A629" i="1"/>
  <c r="N628" i="1"/>
  <c r="M628" i="1"/>
  <c r="L628" i="1"/>
  <c r="J628" i="1"/>
  <c r="H628" i="1"/>
  <c r="G628" i="1"/>
  <c r="E628" i="1"/>
  <c r="D628" i="1"/>
  <c r="B628" i="1"/>
  <c r="A628" i="1"/>
  <c r="N627" i="1"/>
  <c r="M627" i="1"/>
  <c r="L627" i="1"/>
  <c r="K627" i="1"/>
  <c r="J627" i="1"/>
  <c r="H627" i="1"/>
  <c r="G627" i="1"/>
  <c r="F627" i="1"/>
  <c r="E627" i="1"/>
  <c r="D627" i="1"/>
  <c r="C627" i="1"/>
  <c r="B627" i="1"/>
  <c r="A627" i="1"/>
  <c r="N626" i="1"/>
  <c r="M626" i="1"/>
  <c r="L626" i="1"/>
  <c r="K626" i="1"/>
  <c r="J626" i="1"/>
  <c r="H626" i="1"/>
  <c r="G626" i="1"/>
  <c r="F626" i="1"/>
  <c r="E626" i="1"/>
  <c r="D626" i="1"/>
  <c r="C626" i="1"/>
  <c r="B626" i="1"/>
  <c r="A626" i="1"/>
  <c r="N625" i="1"/>
  <c r="M625" i="1"/>
  <c r="L625" i="1"/>
  <c r="K625" i="1"/>
  <c r="J625" i="1"/>
  <c r="H625" i="1"/>
  <c r="G625" i="1"/>
  <c r="F625" i="1"/>
  <c r="E625" i="1"/>
  <c r="D625" i="1"/>
  <c r="C625" i="1"/>
  <c r="B625" i="1"/>
  <c r="A625" i="1"/>
  <c r="O624" i="1"/>
  <c r="N624" i="1"/>
  <c r="M624" i="1"/>
  <c r="L624" i="1"/>
  <c r="J624" i="1"/>
  <c r="H624" i="1"/>
  <c r="G624" i="1"/>
  <c r="E624" i="1"/>
  <c r="D624" i="1"/>
  <c r="C624" i="1"/>
  <c r="B624" i="1"/>
  <c r="A624" i="1"/>
  <c r="N623" i="1"/>
  <c r="M623" i="1"/>
  <c r="L623" i="1"/>
  <c r="K623" i="1"/>
  <c r="J623" i="1"/>
  <c r="H623" i="1"/>
  <c r="G623" i="1"/>
  <c r="E623" i="1"/>
  <c r="D623" i="1"/>
  <c r="C623" i="1"/>
  <c r="B623" i="1"/>
  <c r="A623" i="1"/>
  <c r="N622" i="1"/>
  <c r="M622" i="1"/>
  <c r="L622" i="1"/>
  <c r="K622" i="1"/>
  <c r="J622" i="1"/>
  <c r="I622" i="1"/>
  <c r="H622" i="1"/>
  <c r="G622" i="1"/>
  <c r="E622" i="1"/>
  <c r="D622" i="1"/>
  <c r="C622" i="1"/>
  <c r="B622" i="1"/>
  <c r="A622" i="1"/>
  <c r="O621" i="1"/>
  <c r="N621" i="1"/>
  <c r="L621" i="1"/>
  <c r="H621" i="1"/>
  <c r="G621" i="1"/>
  <c r="E621" i="1"/>
  <c r="D621" i="1"/>
  <c r="B621" i="1"/>
  <c r="A621" i="1"/>
  <c r="N620" i="1"/>
  <c r="M620" i="1"/>
  <c r="L620" i="1"/>
  <c r="K620" i="1"/>
  <c r="J620" i="1"/>
  <c r="H620" i="1"/>
  <c r="G620" i="1"/>
  <c r="E620" i="1"/>
  <c r="D620" i="1"/>
  <c r="C620" i="1"/>
  <c r="B620" i="1"/>
  <c r="A620" i="1"/>
  <c r="N619" i="1"/>
  <c r="M619" i="1"/>
  <c r="L619" i="1"/>
  <c r="K619" i="1"/>
  <c r="J619" i="1"/>
  <c r="H619" i="1"/>
  <c r="G619" i="1"/>
  <c r="E619" i="1"/>
  <c r="D619" i="1"/>
  <c r="C619" i="1"/>
  <c r="B619" i="1"/>
  <c r="A619" i="1"/>
  <c r="N618" i="1"/>
  <c r="M618" i="1"/>
  <c r="L618" i="1"/>
  <c r="K618" i="1"/>
  <c r="J618" i="1"/>
  <c r="H618" i="1"/>
  <c r="G618" i="1"/>
  <c r="E618" i="1"/>
  <c r="D618" i="1"/>
  <c r="C618" i="1"/>
  <c r="B618" i="1"/>
  <c r="A618" i="1"/>
  <c r="N617" i="1"/>
  <c r="M617" i="1"/>
  <c r="L617" i="1"/>
  <c r="K617" i="1"/>
  <c r="J617" i="1"/>
  <c r="H617" i="1"/>
  <c r="G617" i="1"/>
  <c r="E617" i="1"/>
  <c r="D617" i="1"/>
  <c r="C617" i="1"/>
  <c r="B617" i="1"/>
  <c r="A617" i="1"/>
  <c r="N616" i="1"/>
  <c r="M616" i="1"/>
  <c r="L616" i="1"/>
  <c r="K616" i="1"/>
  <c r="J616" i="1"/>
  <c r="I616" i="1"/>
  <c r="H616" i="1"/>
  <c r="G616" i="1"/>
  <c r="F616" i="1"/>
  <c r="E616" i="1"/>
  <c r="D616" i="1"/>
  <c r="C616" i="1"/>
  <c r="B616" i="1"/>
  <c r="A616" i="1"/>
  <c r="O615" i="1"/>
  <c r="N615" i="1"/>
  <c r="M615" i="1"/>
  <c r="L615" i="1"/>
  <c r="K615" i="1"/>
  <c r="J615" i="1"/>
  <c r="I615" i="1"/>
  <c r="H615" i="1"/>
  <c r="G615" i="1"/>
  <c r="F615" i="1"/>
  <c r="E615" i="1"/>
  <c r="D615" i="1"/>
  <c r="C615" i="1"/>
  <c r="B615" i="1"/>
  <c r="A615" i="1"/>
  <c r="O614" i="1"/>
  <c r="N614" i="1"/>
  <c r="M614" i="1"/>
  <c r="L614" i="1"/>
  <c r="K614" i="1"/>
  <c r="J614" i="1"/>
  <c r="I614" i="1"/>
  <c r="H614" i="1"/>
  <c r="G614" i="1"/>
  <c r="E614" i="1"/>
  <c r="D614" i="1"/>
  <c r="C614" i="1"/>
  <c r="B614" i="1"/>
  <c r="A614" i="1"/>
  <c r="O613" i="1"/>
  <c r="N613" i="1"/>
  <c r="M613" i="1"/>
  <c r="L613" i="1"/>
  <c r="K613" i="1"/>
  <c r="J613" i="1"/>
  <c r="H613" i="1"/>
  <c r="G613" i="1"/>
  <c r="F613" i="1"/>
  <c r="E613" i="1"/>
  <c r="D613" i="1"/>
  <c r="C613" i="1"/>
  <c r="B613" i="1"/>
  <c r="A613" i="1"/>
  <c r="O612" i="1"/>
  <c r="N612" i="1"/>
  <c r="M612" i="1"/>
  <c r="L612" i="1"/>
  <c r="K612" i="1"/>
  <c r="J612" i="1"/>
  <c r="I612" i="1"/>
  <c r="H612" i="1"/>
  <c r="G612" i="1"/>
  <c r="F612" i="1"/>
  <c r="E612" i="1"/>
  <c r="D612" i="1"/>
  <c r="C612" i="1"/>
  <c r="B612" i="1"/>
  <c r="A612" i="1"/>
  <c r="N611" i="1"/>
  <c r="L611" i="1"/>
  <c r="K611" i="1"/>
  <c r="J611" i="1"/>
  <c r="H611" i="1"/>
  <c r="G611" i="1"/>
  <c r="E611" i="1"/>
  <c r="D611" i="1"/>
  <c r="C611" i="1"/>
  <c r="B611" i="1"/>
  <c r="A611" i="1"/>
  <c r="N610" i="1"/>
  <c r="M610" i="1"/>
  <c r="L610" i="1"/>
  <c r="K610" i="1"/>
  <c r="J610" i="1"/>
  <c r="H610" i="1"/>
  <c r="G610" i="1"/>
  <c r="E610" i="1"/>
  <c r="D610" i="1"/>
  <c r="C610" i="1"/>
  <c r="B610" i="1"/>
  <c r="A610" i="1"/>
  <c r="O609" i="1"/>
  <c r="N609" i="1"/>
  <c r="M609" i="1"/>
  <c r="L609" i="1"/>
  <c r="K609" i="1"/>
  <c r="J609" i="1"/>
  <c r="H609" i="1"/>
  <c r="G609" i="1"/>
  <c r="E609" i="1"/>
  <c r="D609" i="1"/>
  <c r="C609" i="1"/>
  <c r="B609" i="1"/>
  <c r="A609" i="1"/>
  <c r="O608" i="1"/>
  <c r="N608" i="1"/>
  <c r="M608" i="1"/>
  <c r="L608" i="1"/>
  <c r="K608" i="1"/>
  <c r="J608" i="1"/>
  <c r="H608" i="1"/>
  <c r="G608" i="1"/>
  <c r="F608" i="1"/>
  <c r="E608" i="1"/>
  <c r="D608" i="1"/>
  <c r="C608" i="1"/>
  <c r="B608" i="1"/>
  <c r="A608" i="1"/>
  <c r="N607" i="1"/>
  <c r="M607" i="1"/>
  <c r="L607" i="1"/>
  <c r="K607" i="1"/>
  <c r="J607" i="1"/>
  <c r="H607" i="1"/>
  <c r="G607" i="1"/>
  <c r="E607" i="1"/>
  <c r="D607" i="1"/>
  <c r="C607" i="1"/>
  <c r="B607" i="1"/>
  <c r="A607" i="1"/>
  <c r="N606" i="1"/>
  <c r="M606" i="1"/>
  <c r="L606" i="1"/>
  <c r="K606" i="1"/>
  <c r="J606" i="1"/>
  <c r="H606" i="1"/>
  <c r="G606" i="1"/>
  <c r="F606" i="1"/>
  <c r="E606" i="1"/>
  <c r="D606" i="1"/>
  <c r="C606" i="1"/>
  <c r="B606" i="1"/>
  <c r="A606" i="1"/>
  <c r="N605" i="1"/>
  <c r="M605" i="1"/>
  <c r="L605" i="1"/>
  <c r="K605" i="1"/>
  <c r="J605" i="1"/>
  <c r="I605" i="1"/>
  <c r="H605" i="1"/>
  <c r="G605" i="1"/>
  <c r="F605" i="1"/>
  <c r="E605" i="1"/>
  <c r="D605" i="1"/>
  <c r="C605" i="1"/>
  <c r="B605" i="1"/>
  <c r="A605" i="1"/>
  <c r="N604" i="1"/>
  <c r="M604" i="1"/>
  <c r="L604" i="1"/>
  <c r="K604" i="1"/>
  <c r="J604" i="1"/>
  <c r="H604" i="1"/>
  <c r="G604" i="1"/>
  <c r="F604" i="1"/>
  <c r="E604" i="1"/>
  <c r="D604" i="1"/>
  <c r="C604" i="1"/>
  <c r="B604" i="1"/>
  <c r="A604" i="1"/>
  <c r="N603" i="1"/>
  <c r="M603" i="1"/>
  <c r="L603" i="1"/>
  <c r="K603" i="1"/>
  <c r="J603" i="1"/>
  <c r="H603" i="1"/>
  <c r="G603" i="1"/>
  <c r="F603" i="1"/>
  <c r="E603" i="1"/>
  <c r="D603" i="1"/>
  <c r="C603" i="1"/>
  <c r="B603" i="1"/>
  <c r="A603" i="1"/>
  <c r="O602" i="1"/>
  <c r="N602" i="1"/>
  <c r="M602" i="1"/>
  <c r="L602" i="1"/>
  <c r="K602" i="1"/>
  <c r="J602" i="1"/>
  <c r="I602" i="1"/>
  <c r="H602" i="1"/>
  <c r="G602" i="1"/>
  <c r="E602" i="1"/>
  <c r="D602" i="1"/>
  <c r="C602" i="1"/>
  <c r="B602" i="1"/>
  <c r="A602" i="1"/>
  <c r="N601" i="1"/>
  <c r="M601" i="1"/>
  <c r="L601" i="1"/>
  <c r="K601" i="1"/>
  <c r="J601" i="1"/>
  <c r="I601" i="1"/>
  <c r="H601" i="1"/>
  <c r="G601" i="1"/>
  <c r="F601" i="1"/>
  <c r="E601" i="1"/>
  <c r="D601" i="1"/>
  <c r="B601" i="1"/>
  <c r="A601" i="1"/>
  <c r="N600" i="1"/>
  <c r="M600" i="1"/>
  <c r="L600" i="1"/>
  <c r="K600" i="1"/>
  <c r="J600" i="1"/>
  <c r="I600" i="1"/>
  <c r="H600" i="1"/>
  <c r="G600" i="1"/>
  <c r="F600" i="1"/>
  <c r="E600" i="1"/>
  <c r="D600" i="1"/>
  <c r="C600" i="1"/>
  <c r="B600" i="1"/>
  <c r="A600" i="1"/>
  <c r="O599" i="1"/>
  <c r="N599" i="1"/>
  <c r="M599" i="1"/>
  <c r="L599" i="1"/>
  <c r="K599" i="1"/>
  <c r="J599" i="1"/>
  <c r="H599" i="1"/>
  <c r="G599" i="1"/>
  <c r="F599" i="1"/>
  <c r="E599" i="1"/>
  <c r="D599" i="1"/>
  <c r="C599" i="1"/>
  <c r="B599" i="1"/>
  <c r="A599" i="1"/>
  <c r="O598" i="1"/>
  <c r="N598" i="1"/>
  <c r="M598" i="1"/>
  <c r="L598" i="1"/>
  <c r="K598" i="1"/>
  <c r="J598" i="1"/>
  <c r="H598" i="1"/>
  <c r="G598" i="1"/>
  <c r="E598" i="1"/>
  <c r="D598" i="1"/>
  <c r="C598" i="1"/>
  <c r="B598" i="1"/>
  <c r="A598" i="1"/>
  <c r="O597" i="1"/>
  <c r="N597" i="1"/>
  <c r="M597" i="1"/>
  <c r="L597" i="1"/>
  <c r="K597" i="1"/>
  <c r="J597" i="1"/>
  <c r="H597" i="1"/>
  <c r="G597" i="1"/>
  <c r="E597" i="1"/>
  <c r="D597" i="1"/>
  <c r="C597" i="1"/>
  <c r="B597" i="1"/>
  <c r="A597" i="1"/>
  <c r="O596" i="1"/>
  <c r="N596" i="1"/>
  <c r="M596" i="1"/>
  <c r="L596" i="1"/>
  <c r="K596" i="1"/>
  <c r="J596" i="1"/>
  <c r="I596" i="1"/>
  <c r="H596" i="1"/>
  <c r="G596" i="1"/>
  <c r="E596" i="1"/>
  <c r="D596" i="1"/>
  <c r="C596" i="1"/>
  <c r="B596" i="1"/>
  <c r="A596" i="1"/>
  <c r="O595" i="1"/>
  <c r="N595" i="1"/>
  <c r="L595" i="1"/>
  <c r="K595" i="1"/>
  <c r="J595" i="1"/>
  <c r="H595" i="1"/>
  <c r="G595" i="1"/>
  <c r="E595" i="1"/>
  <c r="D595" i="1"/>
  <c r="C595" i="1"/>
  <c r="B595" i="1"/>
  <c r="A595" i="1"/>
  <c r="N594" i="1"/>
  <c r="M594" i="1"/>
  <c r="L594" i="1"/>
  <c r="K594" i="1"/>
  <c r="J594" i="1"/>
  <c r="I594" i="1"/>
  <c r="H594" i="1"/>
  <c r="G594" i="1"/>
  <c r="E594" i="1"/>
  <c r="D594" i="1"/>
  <c r="C594" i="1"/>
  <c r="B594" i="1"/>
  <c r="A594" i="1"/>
  <c r="N593" i="1"/>
  <c r="M593" i="1"/>
  <c r="L593" i="1"/>
  <c r="K593" i="1"/>
  <c r="J593" i="1"/>
  <c r="H593" i="1"/>
  <c r="G593" i="1"/>
  <c r="E593" i="1"/>
  <c r="D593" i="1"/>
  <c r="C593" i="1"/>
  <c r="B593" i="1"/>
  <c r="A593" i="1"/>
  <c r="O592" i="1"/>
  <c r="N592" i="1"/>
  <c r="M592" i="1"/>
  <c r="L592" i="1"/>
  <c r="H592" i="1"/>
  <c r="G592" i="1"/>
  <c r="E592" i="1"/>
  <c r="D592" i="1"/>
  <c r="C592" i="1"/>
  <c r="B592" i="1"/>
  <c r="A592" i="1"/>
  <c r="O591" i="1"/>
  <c r="N591" i="1"/>
  <c r="M591" i="1"/>
  <c r="L591" i="1"/>
  <c r="K591" i="1"/>
  <c r="J591" i="1"/>
  <c r="H591" i="1"/>
  <c r="G591" i="1"/>
  <c r="E591" i="1"/>
  <c r="D591" i="1"/>
  <c r="C591" i="1"/>
  <c r="B591" i="1"/>
  <c r="A591" i="1"/>
  <c r="O590" i="1"/>
  <c r="N590" i="1"/>
  <c r="M590" i="1"/>
  <c r="L590" i="1"/>
  <c r="K590" i="1"/>
  <c r="I590" i="1"/>
  <c r="H590" i="1"/>
  <c r="G590" i="1"/>
  <c r="F590" i="1"/>
  <c r="E590" i="1"/>
  <c r="D590" i="1"/>
  <c r="C590" i="1"/>
  <c r="B590" i="1"/>
  <c r="A590" i="1"/>
  <c r="N589" i="1"/>
  <c r="M589" i="1"/>
  <c r="L589" i="1"/>
  <c r="H589" i="1"/>
  <c r="G589" i="1"/>
  <c r="E589" i="1"/>
  <c r="D589" i="1"/>
  <c r="C589" i="1"/>
  <c r="B589" i="1"/>
  <c r="A589" i="1"/>
  <c r="O588" i="1"/>
  <c r="N588" i="1"/>
  <c r="M588" i="1"/>
  <c r="L588" i="1"/>
  <c r="K588" i="1"/>
  <c r="J588" i="1"/>
  <c r="H588" i="1"/>
  <c r="G588" i="1"/>
  <c r="E588" i="1"/>
  <c r="D588" i="1"/>
  <c r="C588" i="1"/>
  <c r="B588" i="1"/>
  <c r="A588" i="1"/>
  <c r="N587" i="1"/>
  <c r="M587" i="1"/>
  <c r="L587" i="1"/>
  <c r="K587" i="1"/>
  <c r="J587" i="1"/>
  <c r="H587" i="1"/>
  <c r="G587" i="1"/>
  <c r="E587" i="1"/>
  <c r="D587" i="1"/>
  <c r="C587" i="1"/>
  <c r="B587" i="1"/>
  <c r="A587" i="1"/>
  <c r="N586" i="1"/>
  <c r="M586" i="1"/>
  <c r="L586" i="1"/>
  <c r="K586" i="1"/>
  <c r="J586" i="1"/>
  <c r="H586" i="1"/>
  <c r="G586" i="1"/>
  <c r="E586" i="1"/>
  <c r="D586" i="1"/>
  <c r="C586" i="1"/>
  <c r="B586" i="1"/>
  <c r="A586" i="1"/>
  <c r="N585" i="1"/>
  <c r="M585" i="1"/>
  <c r="L585" i="1"/>
  <c r="K585" i="1"/>
  <c r="J585" i="1"/>
  <c r="H585" i="1"/>
  <c r="G585" i="1"/>
  <c r="E585" i="1"/>
  <c r="D585" i="1"/>
  <c r="C585" i="1"/>
  <c r="B585" i="1"/>
  <c r="A585" i="1"/>
  <c r="N584" i="1"/>
  <c r="M584" i="1"/>
  <c r="L584" i="1"/>
  <c r="K584" i="1"/>
  <c r="J584" i="1"/>
  <c r="I584" i="1"/>
  <c r="H584" i="1"/>
  <c r="G584" i="1"/>
  <c r="E584" i="1"/>
  <c r="D584" i="1"/>
  <c r="C584" i="1"/>
  <c r="B584" i="1"/>
  <c r="A584" i="1"/>
  <c r="N583" i="1"/>
  <c r="L583" i="1"/>
  <c r="H583" i="1"/>
  <c r="G583" i="1"/>
  <c r="D583" i="1"/>
  <c r="B583" i="1"/>
  <c r="A583" i="1"/>
  <c r="N582" i="1"/>
  <c r="M582" i="1"/>
  <c r="L582" i="1"/>
  <c r="J582" i="1"/>
  <c r="I582" i="1"/>
  <c r="H582" i="1"/>
  <c r="G582" i="1"/>
  <c r="E582" i="1"/>
  <c r="D582" i="1"/>
  <c r="C582" i="1"/>
  <c r="B582" i="1"/>
  <c r="A582" i="1"/>
  <c r="O581" i="1"/>
  <c r="N581" i="1"/>
  <c r="L581" i="1"/>
  <c r="K581" i="1"/>
  <c r="J581" i="1"/>
  <c r="I581" i="1"/>
  <c r="H581" i="1"/>
  <c r="G581" i="1"/>
  <c r="E581" i="1"/>
  <c r="D581" i="1"/>
  <c r="C581" i="1"/>
  <c r="B581" i="1"/>
  <c r="A581" i="1"/>
  <c r="O580" i="1"/>
  <c r="N580" i="1"/>
  <c r="L580" i="1"/>
  <c r="K580" i="1"/>
  <c r="J580" i="1"/>
  <c r="I580" i="1"/>
  <c r="H580" i="1"/>
  <c r="G580" i="1"/>
  <c r="E580" i="1"/>
  <c r="D580" i="1"/>
  <c r="C580" i="1"/>
  <c r="B580" i="1"/>
  <c r="A580" i="1"/>
  <c r="N579" i="1"/>
  <c r="M579" i="1"/>
  <c r="L579" i="1"/>
  <c r="K579" i="1"/>
  <c r="J579" i="1"/>
  <c r="H579" i="1"/>
  <c r="G579" i="1"/>
  <c r="F579" i="1"/>
  <c r="E579" i="1"/>
  <c r="D579" i="1"/>
  <c r="C579" i="1"/>
  <c r="B579" i="1"/>
  <c r="A579" i="1"/>
  <c r="O578" i="1"/>
  <c r="N578" i="1"/>
  <c r="L578" i="1"/>
  <c r="K578" i="1"/>
  <c r="J578" i="1"/>
  <c r="I578" i="1"/>
  <c r="H578" i="1"/>
  <c r="G578" i="1"/>
  <c r="E578" i="1"/>
  <c r="D578" i="1"/>
  <c r="C578" i="1"/>
  <c r="B578" i="1"/>
  <c r="A578" i="1"/>
  <c r="N577" i="1"/>
  <c r="M577" i="1"/>
  <c r="L577" i="1"/>
  <c r="K577" i="1"/>
  <c r="J577" i="1"/>
  <c r="I577" i="1"/>
  <c r="H577" i="1"/>
  <c r="G577" i="1"/>
  <c r="E577" i="1"/>
  <c r="D577" i="1"/>
  <c r="C577" i="1"/>
  <c r="B577" i="1"/>
  <c r="A577" i="1"/>
  <c r="O576" i="1"/>
  <c r="N576" i="1"/>
  <c r="M576" i="1"/>
  <c r="L576" i="1"/>
  <c r="J576" i="1"/>
  <c r="I576" i="1"/>
  <c r="H576" i="1"/>
  <c r="G576" i="1"/>
  <c r="E576" i="1"/>
  <c r="D576" i="1"/>
  <c r="B576" i="1"/>
  <c r="A576" i="1"/>
  <c r="O575" i="1"/>
  <c r="N575" i="1"/>
  <c r="L575" i="1"/>
  <c r="K575" i="1"/>
  <c r="J575" i="1"/>
  <c r="I575" i="1"/>
  <c r="H575" i="1"/>
  <c r="G575" i="1"/>
  <c r="F575" i="1"/>
  <c r="E575" i="1"/>
  <c r="D575" i="1"/>
  <c r="C575" i="1"/>
  <c r="B575" i="1"/>
  <c r="A575" i="1"/>
  <c r="N574" i="1"/>
  <c r="L574" i="1"/>
  <c r="K574" i="1"/>
  <c r="J574" i="1"/>
  <c r="H574" i="1"/>
  <c r="G574" i="1"/>
  <c r="E574" i="1"/>
  <c r="D574" i="1"/>
  <c r="C574" i="1"/>
  <c r="B574" i="1"/>
  <c r="A574" i="1"/>
  <c r="N573" i="1"/>
  <c r="L573" i="1"/>
  <c r="I573" i="1"/>
  <c r="H573" i="1"/>
  <c r="G573" i="1"/>
  <c r="E573" i="1"/>
  <c r="D573" i="1"/>
  <c r="B573" i="1"/>
  <c r="A573" i="1"/>
  <c r="N572" i="1"/>
  <c r="M572" i="1"/>
  <c r="L572" i="1"/>
  <c r="J572" i="1"/>
  <c r="H572" i="1"/>
  <c r="G572" i="1"/>
  <c r="F572" i="1"/>
  <c r="E572" i="1"/>
  <c r="D572" i="1"/>
  <c r="C572" i="1"/>
  <c r="B572" i="1"/>
  <c r="A572" i="1"/>
  <c r="O571" i="1"/>
  <c r="N571" i="1"/>
  <c r="M571" i="1"/>
  <c r="L571" i="1"/>
  <c r="K571" i="1"/>
  <c r="J571" i="1"/>
  <c r="I571" i="1"/>
  <c r="H571" i="1"/>
  <c r="G571" i="1"/>
  <c r="F571" i="1"/>
  <c r="E571" i="1"/>
  <c r="D571" i="1"/>
  <c r="C571" i="1"/>
  <c r="B571" i="1"/>
  <c r="A571" i="1"/>
  <c r="N570" i="1"/>
  <c r="M570" i="1"/>
  <c r="L570" i="1"/>
  <c r="J570" i="1"/>
  <c r="H570" i="1"/>
  <c r="G570" i="1"/>
  <c r="F570" i="1"/>
  <c r="E570" i="1"/>
  <c r="D570" i="1"/>
  <c r="B570" i="1"/>
  <c r="A570" i="1"/>
  <c r="N569" i="1"/>
  <c r="M569" i="1"/>
  <c r="L569" i="1"/>
  <c r="K569" i="1"/>
  <c r="J569" i="1"/>
  <c r="H569" i="1"/>
  <c r="G569" i="1"/>
  <c r="F569" i="1"/>
  <c r="E569" i="1"/>
  <c r="D569" i="1"/>
  <c r="C569" i="1"/>
  <c r="B569" i="1"/>
  <c r="A569" i="1"/>
  <c r="N568" i="1"/>
  <c r="M568" i="1"/>
  <c r="L568" i="1"/>
  <c r="K568" i="1"/>
  <c r="J568" i="1"/>
  <c r="H568" i="1"/>
  <c r="G568" i="1"/>
  <c r="F568" i="1"/>
  <c r="E568" i="1"/>
  <c r="D568" i="1"/>
  <c r="C568" i="1"/>
  <c r="B568" i="1"/>
  <c r="A568" i="1"/>
  <c r="O567" i="1"/>
  <c r="N567" i="1"/>
  <c r="M567" i="1"/>
  <c r="L567" i="1"/>
  <c r="K567" i="1"/>
  <c r="J567" i="1"/>
  <c r="H567" i="1"/>
  <c r="G567" i="1"/>
  <c r="F567" i="1"/>
  <c r="E567" i="1"/>
  <c r="D567" i="1"/>
  <c r="C567" i="1"/>
  <c r="B567" i="1"/>
  <c r="A567" i="1"/>
  <c r="O566" i="1"/>
  <c r="N566" i="1"/>
  <c r="M566" i="1"/>
  <c r="L566" i="1"/>
  <c r="J566" i="1"/>
  <c r="I566" i="1"/>
  <c r="H566" i="1"/>
  <c r="G566" i="1"/>
  <c r="E566" i="1"/>
  <c r="D566" i="1"/>
  <c r="C566" i="1"/>
  <c r="B566" i="1"/>
  <c r="A566" i="1"/>
  <c r="N565" i="1"/>
  <c r="M565" i="1"/>
  <c r="L565" i="1"/>
  <c r="H565" i="1"/>
  <c r="G565" i="1"/>
  <c r="F565" i="1"/>
  <c r="E565" i="1"/>
  <c r="D565" i="1"/>
  <c r="C565" i="1"/>
  <c r="B565" i="1"/>
  <c r="A565" i="1"/>
  <c r="N564" i="1"/>
  <c r="M564" i="1"/>
  <c r="L564" i="1"/>
  <c r="K564" i="1"/>
  <c r="J564" i="1"/>
  <c r="H564" i="1"/>
  <c r="G564" i="1"/>
  <c r="F564" i="1"/>
  <c r="E564" i="1"/>
  <c r="D564" i="1"/>
  <c r="C564" i="1"/>
  <c r="B564" i="1"/>
  <c r="A564" i="1"/>
  <c r="N563" i="1"/>
  <c r="M563" i="1"/>
  <c r="L563" i="1"/>
  <c r="K563" i="1"/>
  <c r="J563" i="1"/>
  <c r="H563" i="1"/>
  <c r="G563" i="1"/>
  <c r="F563" i="1"/>
  <c r="E563" i="1"/>
  <c r="D563" i="1"/>
  <c r="C563" i="1"/>
  <c r="B563" i="1"/>
  <c r="A563" i="1"/>
  <c r="O562" i="1"/>
  <c r="N562" i="1"/>
  <c r="M562" i="1"/>
  <c r="L562" i="1"/>
  <c r="K562" i="1"/>
  <c r="J562" i="1"/>
  <c r="I562" i="1"/>
  <c r="H562" i="1"/>
  <c r="G562" i="1"/>
  <c r="E562" i="1"/>
  <c r="D562" i="1"/>
  <c r="C562" i="1"/>
  <c r="B562" i="1"/>
  <c r="A562" i="1"/>
  <c r="O561" i="1"/>
  <c r="N561" i="1"/>
  <c r="M561" i="1"/>
  <c r="L561" i="1"/>
  <c r="K561" i="1"/>
  <c r="J561" i="1"/>
  <c r="I561" i="1"/>
  <c r="H561" i="1"/>
  <c r="G561" i="1"/>
  <c r="E561" i="1"/>
  <c r="D561" i="1"/>
  <c r="C561" i="1"/>
  <c r="B561" i="1"/>
  <c r="A561" i="1"/>
  <c r="N560" i="1"/>
  <c r="M560" i="1"/>
  <c r="L560" i="1"/>
  <c r="K560" i="1"/>
  <c r="J560" i="1"/>
  <c r="H560" i="1"/>
  <c r="G560" i="1"/>
  <c r="F560" i="1"/>
  <c r="E560" i="1"/>
  <c r="D560" i="1"/>
  <c r="C560" i="1"/>
  <c r="B560" i="1"/>
  <c r="A560" i="1"/>
  <c r="N559" i="1"/>
  <c r="M559" i="1"/>
  <c r="L559" i="1"/>
  <c r="K559" i="1"/>
  <c r="J559" i="1"/>
  <c r="H559" i="1"/>
  <c r="G559" i="1"/>
  <c r="F559" i="1"/>
  <c r="E559" i="1"/>
  <c r="D559" i="1"/>
  <c r="C559" i="1"/>
  <c r="B559" i="1"/>
  <c r="A559" i="1"/>
  <c r="N558" i="1"/>
  <c r="M558" i="1"/>
  <c r="L558" i="1"/>
  <c r="K558" i="1"/>
  <c r="J558" i="1"/>
  <c r="H558" i="1"/>
  <c r="G558" i="1"/>
  <c r="F558" i="1"/>
  <c r="E558" i="1"/>
  <c r="D558" i="1"/>
  <c r="C558" i="1"/>
  <c r="B558" i="1"/>
  <c r="A558" i="1"/>
  <c r="N557" i="1"/>
  <c r="M557" i="1"/>
  <c r="L557" i="1"/>
  <c r="K557" i="1"/>
  <c r="J557" i="1"/>
  <c r="H557" i="1"/>
  <c r="G557" i="1"/>
  <c r="F557" i="1"/>
  <c r="E557" i="1"/>
  <c r="D557" i="1"/>
  <c r="C557" i="1"/>
  <c r="B557" i="1"/>
  <c r="A557" i="1"/>
  <c r="N556" i="1"/>
  <c r="M556" i="1"/>
  <c r="L556" i="1"/>
  <c r="K556" i="1"/>
  <c r="J556" i="1"/>
  <c r="H556" i="1"/>
  <c r="G556" i="1"/>
  <c r="F556" i="1"/>
  <c r="E556" i="1"/>
  <c r="D556" i="1"/>
  <c r="C556" i="1"/>
  <c r="B556" i="1"/>
  <c r="A556" i="1"/>
  <c r="N555" i="1"/>
  <c r="M555" i="1"/>
  <c r="L555" i="1"/>
  <c r="K555" i="1"/>
  <c r="J555" i="1"/>
  <c r="H555" i="1"/>
  <c r="G555" i="1"/>
  <c r="F555" i="1"/>
  <c r="E555" i="1"/>
  <c r="D555" i="1"/>
  <c r="C555" i="1"/>
  <c r="B555" i="1"/>
  <c r="A555" i="1"/>
  <c r="O554" i="1"/>
  <c r="N554" i="1"/>
  <c r="L554" i="1"/>
  <c r="I554" i="1"/>
  <c r="H554" i="1"/>
  <c r="G554" i="1"/>
  <c r="E554" i="1"/>
  <c r="D554" i="1"/>
  <c r="B554" i="1"/>
  <c r="A554" i="1"/>
  <c r="O553" i="1"/>
  <c r="N553" i="1"/>
  <c r="M553" i="1"/>
  <c r="L553" i="1"/>
  <c r="K553" i="1"/>
  <c r="J553" i="1"/>
  <c r="I553" i="1"/>
  <c r="H553" i="1"/>
  <c r="G553" i="1"/>
  <c r="E553" i="1"/>
  <c r="D553" i="1"/>
  <c r="C553" i="1"/>
  <c r="B553" i="1"/>
  <c r="A553" i="1"/>
  <c r="O552" i="1"/>
  <c r="N552" i="1"/>
  <c r="L552" i="1"/>
  <c r="K552" i="1"/>
  <c r="J552" i="1"/>
  <c r="H552" i="1"/>
  <c r="G552" i="1"/>
  <c r="F552" i="1"/>
  <c r="E552" i="1"/>
  <c r="D552" i="1"/>
  <c r="C552" i="1"/>
  <c r="B552" i="1"/>
  <c r="A552" i="1"/>
  <c r="O551" i="1"/>
  <c r="N551" i="1"/>
  <c r="L551" i="1"/>
  <c r="H551" i="1"/>
  <c r="G551" i="1"/>
  <c r="D551" i="1"/>
  <c r="B551" i="1"/>
  <c r="A551" i="1"/>
  <c r="N550" i="1"/>
  <c r="M550" i="1"/>
  <c r="L550" i="1"/>
  <c r="H550" i="1"/>
  <c r="G550" i="1"/>
  <c r="F550" i="1"/>
  <c r="E550" i="1"/>
  <c r="D550" i="1"/>
  <c r="C550" i="1"/>
  <c r="B550" i="1"/>
  <c r="A550" i="1"/>
  <c r="O549" i="1"/>
  <c r="N549" i="1"/>
  <c r="L549" i="1"/>
  <c r="K549" i="1"/>
  <c r="J549" i="1"/>
  <c r="H549" i="1"/>
  <c r="G549" i="1"/>
  <c r="E549" i="1"/>
  <c r="D549" i="1"/>
  <c r="C549" i="1"/>
  <c r="B549" i="1"/>
  <c r="A549" i="1"/>
  <c r="N548" i="1"/>
  <c r="M548" i="1"/>
  <c r="L548" i="1"/>
  <c r="K548" i="1"/>
  <c r="J548" i="1"/>
  <c r="I548" i="1"/>
  <c r="H548" i="1"/>
  <c r="G548" i="1"/>
  <c r="E548" i="1"/>
  <c r="D548" i="1"/>
  <c r="C548" i="1"/>
  <c r="B548" i="1"/>
  <c r="A548" i="1"/>
  <c r="N547" i="1"/>
  <c r="M547" i="1"/>
  <c r="L547" i="1"/>
  <c r="H547" i="1"/>
  <c r="G547" i="1"/>
  <c r="E547" i="1"/>
  <c r="D547" i="1"/>
  <c r="C547" i="1"/>
  <c r="B547" i="1"/>
  <c r="A547" i="1"/>
  <c r="N546" i="1"/>
  <c r="M546" i="1"/>
  <c r="L546" i="1"/>
  <c r="K546" i="1"/>
  <c r="J546" i="1"/>
  <c r="I546" i="1"/>
  <c r="H546" i="1"/>
  <c r="G546" i="1"/>
  <c r="E546" i="1"/>
  <c r="D546" i="1"/>
  <c r="C546" i="1"/>
  <c r="B546" i="1"/>
  <c r="A546" i="1"/>
  <c r="N545" i="1"/>
  <c r="M545" i="1"/>
  <c r="L545" i="1"/>
  <c r="K545" i="1"/>
  <c r="J545" i="1"/>
  <c r="I545" i="1"/>
  <c r="H545" i="1"/>
  <c r="G545" i="1"/>
  <c r="E545" i="1"/>
  <c r="D545" i="1"/>
  <c r="C545" i="1"/>
  <c r="B545" i="1"/>
  <c r="A545" i="1"/>
  <c r="O544" i="1"/>
  <c r="N544" i="1"/>
  <c r="M544" i="1"/>
  <c r="L544" i="1"/>
  <c r="K544" i="1"/>
  <c r="J544" i="1"/>
  <c r="I544" i="1"/>
  <c r="H544" i="1"/>
  <c r="G544" i="1"/>
  <c r="E544" i="1"/>
  <c r="D544" i="1"/>
  <c r="C544" i="1"/>
  <c r="B544" i="1"/>
  <c r="A544" i="1"/>
  <c r="N543" i="1"/>
  <c r="M543" i="1"/>
  <c r="L543" i="1"/>
  <c r="K543" i="1"/>
  <c r="J543" i="1"/>
  <c r="H543" i="1"/>
  <c r="G543" i="1"/>
  <c r="F543" i="1"/>
  <c r="E543" i="1"/>
  <c r="D543" i="1"/>
  <c r="C543" i="1"/>
  <c r="B543" i="1"/>
  <c r="A543" i="1"/>
  <c r="O542" i="1"/>
  <c r="N542" i="1"/>
  <c r="L542" i="1"/>
  <c r="K542" i="1"/>
  <c r="J542" i="1"/>
  <c r="H542" i="1"/>
  <c r="G542" i="1"/>
  <c r="E542" i="1"/>
  <c r="D542" i="1"/>
  <c r="C542" i="1"/>
  <c r="B542" i="1"/>
  <c r="A542" i="1"/>
  <c r="N541" i="1"/>
  <c r="M541" i="1"/>
  <c r="L541" i="1"/>
  <c r="K541" i="1"/>
  <c r="J541" i="1"/>
  <c r="H541" i="1"/>
  <c r="G541" i="1"/>
  <c r="F541" i="1"/>
  <c r="E541" i="1"/>
  <c r="D541" i="1"/>
  <c r="C541" i="1"/>
  <c r="B541" i="1"/>
  <c r="A541" i="1"/>
  <c r="O540" i="1"/>
  <c r="N540" i="1"/>
  <c r="M540" i="1"/>
  <c r="L540" i="1"/>
  <c r="K540" i="1"/>
  <c r="J540" i="1"/>
  <c r="H540" i="1"/>
  <c r="G540" i="1"/>
  <c r="E540" i="1"/>
  <c r="D540" i="1"/>
  <c r="C540" i="1"/>
  <c r="B540" i="1"/>
  <c r="A540" i="1"/>
  <c r="O539" i="1"/>
  <c r="N539" i="1"/>
  <c r="M539" i="1"/>
  <c r="L539" i="1"/>
  <c r="K539" i="1"/>
  <c r="J539" i="1"/>
  <c r="H539" i="1"/>
  <c r="G539" i="1"/>
  <c r="E539" i="1"/>
  <c r="D539" i="1"/>
  <c r="C539" i="1"/>
  <c r="B539" i="1"/>
  <c r="A539" i="1"/>
  <c r="N538" i="1"/>
  <c r="M538" i="1"/>
  <c r="L538" i="1"/>
  <c r="K538" i="1"/>
  <c r="J538" i="1"/>
  <c r="H538" i="1"/>
  <c r="G538" i="1"/>
  <c r="E538" i="1"/>
  <c r="D538" i="1"/>
  <c r="C538" i="1"/>
  <c r="B538" i="1"/>
  <c r="A538" i="1"/>
  <c r="N537" i="1"/>
  <c r="M537" i="1"/>
  <c r="L537" i="1"/>
  <c r="K537" i="1"/>
  <c r="J537" i="1"/>
  <c r="H537" i="1"/>
  <c r="G537" i="1"/>
  <c r="E537" i="1"/>
  <c r="D537" i="1"/>
  <c r="C537" i="1"/>
  <c r="B537" i="1"/>
  <c r="A537" i="1"/>
  <c r="N536" i="1"/>
  <c r="L536" i="1"/>
  <c r="K536" i="1"/>
  <c r="J536" i="1"/>
  <c r="H536" i="1"/>
  <c r="G536" i="1"/>
  <c r="E536" i="1"/>
  <c r="D536" i="1"/>
  <c r="C536" i="1"/>
  <c r="B536" i="1"/>
  <c r="A536" i="1"/>
  <c r="N535" i="1"/>
  <c r="L535" i="1"/>
  <c r="K535" i="1"/>
  <c r="J535" i="1"/>
  <c r="H535" i="1"/>
  <c r="G535" i="1"/>
  <c r="E535" i="1"/>
  <c r="D535" i="1"/>
  <c r="C535" i="1"/>
  <c r="B535" i="1"/>
  <c r="A535" i="1"/>
  <c r="O534" i="1"/>
  <c r="N534" i="1"/>
  <c r="M534" i="1"/>
  <c r="L534" i="1"/>
  <c r="K534" i="1"/>
  <c r="J534" i="1"/>
  <c r="H534" i="1"/>
  <c r="G534" i="1"/>
  <c r="E534" i="1"/>
  <c r="D534" i="1"/>
  <c r="C534" i="1"/>
  <c r="B534" i="1"/>
  <c r="A534" i="1"/>
  <c r="N533" i="1"/>
  <c r="M533" i="1"/>
  <c r="L533" i="1"/>
  <c r="K533" i="1"/>
  <c r="J533" i="1"/>
  <c r="H533" i="1"/>
  <c r="G533" i="1"/>
  <c r="E533" i="1"/>
  <c r="D533" i="1"/>
  <c r="C533" i="1"/>
  <c r="B533" i="1"/>
  <c r="A533" i="1"/>
  <c r="O532" i="1"/>
  <c r="N532" i="1"/>
  <c r="M532" i="1"/>
  <c r="L532" i="1"/>
  <c r="K532" i="1"/>
  <c r="J532" i="1"/>
  <c r="I532" i="1"/>
  <c r="H532" i="1"/>
  <c r="G532" i="1"/>
  <c r="E532" i="1"/>
  <c r="D532" i="1"/>
  <c r="C532" i="1"/>
  <c r="B532" i="1"/>
  <c r="A532" i="1"/>
  <c r="N531" i="1"/>
  <c r="M531" i="1"/>
  <c r="L531" i="1"/>
  <c r="H531" i="1"/>
  <c r="G531" i="1"/>
  <c r="E531" i="1"/>
  <c r="D531" i="1"/>
  <c r="C531" i="1"/>
  <c r="B531" i="1"/>
  <c r="A531" i="1"/>
  <c r="N530" i="1"/>
  <c r="M530" i="1"/>
  <c r="L530" i="1"/>
  <c r="K530" i="1"/>
  <c r="J530" i="1"/>
  <c r="H530" i="1"/>
  <c r="G530" i="1"/>
  <c r="E530" i="1"/>
  <c r="D530" i="1"/>
  <c r="C530" i="1"/>
  <c r="B530" i="1"/>
  <c r="A530" i="1"/>
  <c r="N529" i="1"/>
  <c r="M529" i="1"/>
  <c r="L529" i="1"/>
  <c r="K529" i="1"/>
  <c r="J529" i="1"/>
  <c r="I529" i="1"/>
  <c r="H529" i="1"/>
  <c r="G529" i="1"/>
  <c r="F529" i="1"/>
  <c r="E529" i="1"/>
  <c r="D529" i="1"/>
  <c r="C529" i="1"/>
  <c r="B529" i="1"/>
  <c r="A529" i="1"/>
  <c r="N528" i="1"/>
  <c r="L528" i="1"/>
  <c r="K528" i="1"/>
  <c r="J528" i="1"/>
  <c r="H528" i="1"/>
  <c r="G528" i="1"/>
  <c r="E528" i="1"/>
  <c r="D528" i="1"/>
  <c r="C528" i="1"/>
  <c r="B528" i="1"/>
  <c r="A528" i="1"/>
  <c r="O527" i="1"/>
  <c r="N527" i="1"/>
  <c r="L527" i="1"/>
  <c r="K527" i="1"/>
  <c r="J527" i="1"/>
  <c r="H527" i="1"/>
  <c r="G527" i="1"/>
  <c r="E527" i="1"/>
  <c r="D527" i="1"/>
  <c r="C527" i="1"/>
  <c r="B527" i="1"/>
  <c r="A527" i="1"/>
  <c r="N526" i="1"/>
  <c r="M526" i="1"/>
  <c r="L526" i="1"/>
  <c r="K526" i="1"/>
  <c r="J526" i="1"/>
  <c r="H526" i="1"/>
  <c r="G526" i="1"/>
  <c r="F526" i="1"/>
  <c r="E526" i="1"/>
  <c r="D526" i="1"/>
  <c r="C526" i="1"/>
  <c r="B526" i="1"/>
  <c r="A526" i="1"/>
  <c r="N525" i="1"/>
  <c r="M525" i="1"/>
  <c r="L525" i="1"/>
  <c r="K525" i="1"/>
  <c r="J525" i="1"/>
  <c r="I525" i="1"/>
  <c r="H525" i="1"/>
  <c r="G525" i="1"/>
  <c r="E525" i="1"/>
  <c r="D525" i="1"/>
  <c r="C525" i="1"/>
  <c r="B525" i="1"/>
  <c r="A525" i="1"/>
  <c r="N524" i="1"/>
  <c r="M524" i="1"/>
  <c r="L524" i="1"/>
  <c r="K524" i="1"/>
  <c r="J524" i="1"/>
  <c r="H524" i="1"/>
  <c r="G524" i="1"/>
  <c r="F524" i="1"/>
  <c r="E524" i="1"/>
  <c r="D524" i="1"/>
  <c r="B524" i="1"/>
  <c r="A524" i="1"/>
  <c r="N523" i="1"/>
  <c r="M523" i="1"/>
  <c r="L523" i="1"/>
  <c r="H523" i="1"/>
  <c r="G523" i="1"/>
  <c r="F523" i="1"/>
  <c r="E523" i="1"/>
  <c r="D523" i="1"/>
  <c r="C523" i="1"/>
  <c r="B523" i="1"/>
  <c r="A523" i="1"/>
  <c r="O522" i="1"/>
  <c r="N522" i="1"/>
  <c r="M522" i="1"/>
  <c r="L522" i="1"/>
  <c r="K522" i="1"/>
  <c r="J522" i="1"/>
  <c r="H522" i="1"/>
  <c r="G522" i="1"/>
  <c r="F522" i="1"/>
  <c r="E522" i="1"/>
  <c r="D522" i="1"/>
  <c r="C522" i="1"/>
  <c r="B522" i="1"/>
  <c r="A522" i="1"/>
  <c r="O521" i="1"/>
  <c r="N521" i="1"/>
  <c r="L521" i="1"/>
  <c r="I521" i="1"/>
  <c r="H521" i="1"/>
  <c r="G521" i="1"/>
  <c r="E521" i="1"/>
  <c r="D521" i="1"/>
  <c r="B521" i="1"/>
  <c r="A521" i="1"/>
  <c r="O520" i="1"/>
  <c r="N520" i="1"/>
  <c r="M520" i="1"/>
  <c r="L520" i="1"/>
  <c r="K520" i="1"/>
  <c r="J520" i="1"/>
  <c r="H520" i="1"/>
  <c r="G520" i="1"/>
  <c r="E520" i="1"/>
  <c r="D520" i="1"/>
  <c r="C520" i="1"/>
  <c r="B520" i="1"/>
  <c r="A520" i="1"/>
  <c r="N519" i="1"/>
  <c r="M519" i="1"/>
  <c r="L519" i="1"/>
  <c r="J519" i="1"/>
  <c r="I519" i="1"/>
  <c r="H519" i="1"/>
  <c r="G519" i="1"/>
  <c r="E519" i="1"/>
  <c r="D519" i="1"/>
  <c r="B519" i="1"/>
  <c r="A519" i="1"/>
  <c r="O518" i="1"/>
  <c r="N518" i="1"/>
  <c r="M518" i="1"/>
  <c r="L518" i="1"/>
  <c r="J518" i="1"/>
  <c r="I518" i="1"/>
  <c r="H518" i="1"/>
  <c r="G518" i="1"/>
  <c r="E518" i="1"/>
  <c r="D518" i="1"/>
  <c r="B518" i="1"/>
  <c r="A518" i="1"/>
  <c r="N517" i="1"/>
  <c r="M517" i="1"/>
  <c r="L517" i="1"/>
  <c r="J517" i="1"/>
  <c r="I517" i="1"/>
  <c r="H517" i="1"/>
  <c r="G517" i="1"/>
  <c r="E517" i="1"/>
  <c r="D517" i="1"/>
  <c r="B517" i="1"/>
  <c r="A517" i="1"/>
  <c r="N516" i="1"/>
  <c r="M516" i="1"/>
  <c r="L516" i="1"/>
  <c r="J516" i="1"/>
  <c r="I516" i="1"/>
  <c r="H516" i="1"/>
  <c r="G516" i="1"/>
  <c r="E516" i="1"/>
  <c r="D516" i="1"/>
  <c r="B516" i="1"/>
  <c r="A516" i="1"/>
  <c r="N515" i="1"/>
  <c r="L515" i="1"/>
  <c r="K515" i="1"/>
  <c r="J515" i="1"/>
  <c r="I515" i="1"/>
  <c r="H515" i="1"/>
  <c r="G515" i="1"/>
  <c r="E515" i="1"/>
  <c r="D515" i="1"/>
  <c r="C515" i="1"/>
  <c r="B515" i="1"/>
  <c r="A515" i="1"/>
  <c r="O514" i="1"/>
  <c r="N514" i="1"/>
  <c r="L514" i="1"/>
  <c r="H514" i="1"/>
  <c r="G514" i="1"/>
  <c r="D514" i="1"/>
  <c r="B514" i="1"/>
  <c r="A514" i="1"/>
  <c r="O513" i="1"/>
  <c r="N513" i="1"/>
  <c r="L513" i="1"/>
  <c r="H513" i="1"/>
  <c r="G513" i="1"/>
  <c r="D513" i="1"/>
  <c r="B513" i="1"/>
  <c r="A513" i="1"/>
  <c r="O512" i="1"/>
  <c r="N512" i="1"/>
  <c r="M512" i="1"/>
  <c r="L512" i="1"/>
  <c r="K512" i="1"/>
  <c r="J512" i="1"/>
  <c r="H512" i="1"/>
  <c r="G512" i="1"/>
  <c r="F512" i="1"/>
  <c r="E512" i="1"/>
  <c r="D512" i="1"/>
  <c r="C512" i="1"/>
  <c r="B512" i="1"/>
  <c r="A512" i="1"/>
  <c r="O511" i="1"/>
  <c r="N511" i="1"/>
  <c r="M511" i="1"/>
  <c r="L511" i="1"/>
  <c r="K511" i="1"/>
  <c r="J511" i="1"/>
  <c r="H511" i="1"/>
  <c r="G511" i="1"/>
  <c r="F511" i="1"/>
  <c r="E511" i="1"/>
  <c r="D511" i="1"/>
  <c r="C511" i="1"/>
  <c r="B511" i="1"/>
  <c r="A511" i="1"/>
  <c r="O510" i="1"/>
  <c r="N510" i="1"/>
  <c r="M510" i="1"/>
  <c r="L510" i="1"/>
  <c r="J510" i="1"/>
  <c r="I510" i="1"/>
  <c r="H510" i="1"/>
  <c r="G510" i="1"/>
  <c r="E510" i="1"/>
  <c r="D510" i="1"/>
  <c r="C510" i="1"/>
  <c r="B510" i="1"/>
  <c r="A510" i="1"/>
  <c r="O509" i="1"/>
  <c r="N509" i="1"/>
  <c r="M509" i="1"/>
  <c r="L509" i="1"/>
  <c r="J509" i="1"/>
  <c r="I509" i="1"/>
  <c r="H509" i="1"/>
  <c r="G509" i="1"/>
  <c r="E509" i="1"/>
  <c r="D509" i="1"/>
  <c r="C509" i="1"/>
  <c r="B509" i="1"/>
  <c r="A509" i="1"/>
  <c r="O508" i="1"/>
  <c r="N508" i="1"/>
  <c r="M508" i="1"/>
  <c r="L508" i="1"/>
  <c r="J508" i="1"/>
  <c r="I508" i="1"/>
  <c r="H508" i="1"/>
  <c r="G508" i="1"/>
  <c r="E508" i="1"/>
  <c r="D508" i="1"/>
  <c r="C508" i="1"/>
  <c r="B508" i="1"/>
  <c r="A508" i="1"/>
  <c r="N507" i="1"/>
  <c r="M507" i="1"/>
  <c r="L507" i="1"/>
  <c r="K507" i="1"/>
  <c r="J507" i="1"/>
  <c r="H507" i="1"/>
  <c r="G507" i="1"/>
  <c r="E507" i="1"/>
  <c r="D507" i="1"/>
  <c r="C507" i="1"/>
  <c r="B507" i="1"/>
  <c r="A507" i="1"/>
  <c r="N506" i="1"/>
  <c r="M506" i="1"/>
  <c r="L506" i="1"/>
  <c r="K506" i="1"/>
  <c r="J506" i="1"/>
  <c r="H506" i="1"/>
  <c r="G506" i="1"/>
  <c r="F506" i="1"/>
  <c r="E506" i="1"/>
  <c r="D506" i="1"/>
  <c r="C506" i="1"/>
  <c r="B506" i="1"/>
  <c r="A506" i="1"/>
  <c r="N505" i="1"/>
  <c r="M505" i="1"/>
  <c r="L505" i="1"/>
  <c r="K505" i="1"/>
  <c r="J505" i="1"/>
  <c r="H505" i="1"/>
  <c r="G505" i="1"/>
  <c r="E505" i="1"/>
  <c r="D505" i="1"/>
  <c r="C505" i="1"/>
  <c r="B505" i="1"/>
  <c r="A505" i="1"/>
  <c r="N504" i="1"/>
  <c r="M504" i="1"/>
  <c r="L504" i="1"/>
  <c r="K504" i="1"/>
  <c r="J504" i="1"/>
  <c r="I504" i="1"/>
  <c r="H504" i="1"/>
  <c r="G504" i="1"/>
  <c r="E504" i="1"/>
  <c r="D504" i="1"/>
  <c r="C504" i="1"/>
  <c r="B504" i="1"/>
  <c r="A504" i="1"/>
  <c r="O503" i="1"/>
  <c r="N503" i="1"/>
  <c r="M503" i="1"/>
  <c r="L503" i="1"/>
  <c r="K503" i="1"/>
  <c r="J503" i="1"/>
  <c r="I503" i="1"/>
  <c r="H503" i="1"/>
  <c r="G503" i="1"/>
  <c r="E503" i="1"/>
  <c r="D503" i="1"/>
  <c r="C503" i="1"/>
  <c r="B503" i="1"/>
  <c r="A503" i="1"/>
  <c r="O502" i="1"/>
  <c r="N502" i="1"/>
  <c r="M502" i="1"/>
  <c r="L502" i="1"/>
  <c r="K502" i="1"/>
  <c r="J502" i="1"/>
  <c r="I502" i="1"/>
  <c r="H502" i="1"/>
  <c r="G502" i="1"/>
  <c r="E502" i="1"/>
  <c r="D502" i="1"/>
  <c r="C502" i="1"/>
  <c r="B502" i="1"/>
  <c r="A502" i="1"/>
  <c r="N501" i="1"/>
  <c r="M501" i="1"/>
  <c r="L501" i="1"/>
  <c r="K501" i="1"/>
  <c r="J501" i="1"/>
  <c r="H501" i="1"/>
  <c r="G501" i="1"/>
  <c r="E501" i="1"/>
  <c r="D501" i="1"/>
  <c r="C501" i="1"/>
  <c r="B501" i="1"/>
  <c r="A501" i="1"/>
  <c r="N500" i="1"/>
  <c r="M500" i="1"/>
  <c r="L500" i="1"/>
  <c r="K500" i="1"/>
  <c r="J500" i="1"/>
  <c r="I500" i="1"/>
  <c r="H500" i="1"/>
  <c r="G500" i="1"/>
  <c r="F500" i="1"/>
  <c r="E500" i="1"/>
  <c r="D500" i="1"/>
  <c r="C500" i="1"/>
  <c r="B500" i="1"/>
  <c r="A500" i="1"/>
  <c r="N499" i="1"/>
  <c r="M499" i="1"/>
  <c r="L499" i="1"/>
  <c r="K499" i="1"/>
  <c r="J499" i="1"/>
  <c r="H499" i="1"/>
  <c r="G499" i="1"/>
  <c r="E499" i="1"/>
  <c r="D499" i="1"/>
  <c r="C499" i="1"/>
  <c r="B499" i="1"/>
  <c r="A499" i="1"/>
  <c r="N498" i="1"/>
  <c r="M498" i="1"/>
  <c r="L498" i="1"/>
  <c r="K498" i="1"/>
  <c r="J498" i="1"/>
  <c r="H498" i="1"/>
  <c r="G498" i="1"/>
  <c r="E498" i="1"/>
  <c r="D498" i="1"/>
  <c r="C498" i="1"/>
  <c r="B498" i="1"/>
  <c r="A498" i="1"/>
  <c r="O497" i="1"/>
  <c r="N497" i="1"/>
  <c r="L497" i="1"/>
  <c r="I497" i="1"/>
  <c r="H497" i="1"/>
  <c r="G497" i="1"/>
  <c r="D497" i="1"/>
  <c r="B497" i="1"/>
  <c r="A497" i="1"/>
  <c r="O496" i="1"/>
  <c r="N496" i="1"/>
  <c r="M496" i="1"/>
  <c r="L496" i="1"/>
  <c r="H496" i="1"/>
  <c r="G496" i="1"/>
  <c r="F496" i="1"/>
  <c r="E496" i="1"/>
  <c r="D496" i="1"/>
  <c r="C496" i="1"/>
  <c r="B496" i="1"/>
  <c r="A496" i="1"/>
  <c r="N495" i="1"/>
  <c r="M495" i="1"/>
  <c r="L495" i="1"/>
  <c r="K495" i="1"/>
  <c r="J495" i="1"/>
  <c r="H495" i="1"/>
  <c r="G495" i="1"/>
  <c r="E495" i="1"/>
  <c r="D495" i="1"/>
  <c r="C495" i="1"/>
  <c r="B495" i="1"/>
  <c r="A495" i="1"/>
  <c r="N494" i="1"/>
  <c r="M494" i="1"/>
  <c r="L494" i="1"/>
  <c r="K494" i="1"/>
  <c r="J494" i="1"/>
  <c r="H494" i="1"/>
  <c r="G494" i="1"/>
  <c r="E494" i="1"/>
  <c r="D494" i="1"/>
  <c r="C494" i="1"/>
  <c r="B494" i="1"/>
  <c r="A494" i="1"/>
  <c r="O493" i="1"/>
  <c r="N493" i="1"/>
  <c r="M493" i="1"/>
  <c r="L493" i="1"/>
  <c r="J493" i="1"/>
  <c r="I493" i="1"/>
  <c r="H493" i="1"/>
  <c r="G493" i="1"/>
  <c r="F493" i="1"/>
  <c r="E493" i="1"/>
  <c r="D493" i="1"/>
  <c r="C493" i="1"/>
  <c r="B493" i="1"/>
  <c r="A493" i="1"/>
  <c r="N492" i="1"/>
  <c r="M492" i="1"/>
  <c r="L492" i="1"/>
  <c r="K492" i="1"/>
  <c r="J492" i="1"/>
  <c r="H492" i="1"/>
  <c r="G492" i="1"/>
  <c r="E492" i="1"/>
  <c r="D492" i="1"/>
  <c r="C492" i="1"/>
  <c r="B492" i="1"/>
  <c r="A492" i="1"/>
  <c r="O491" i="1"/>
  <c r="N491" i="1"/>
  <c r="M491" i="1"/>
  <c r="L491" i="1"/>
  <c r="K491" i="1"/>
  <c r="J491" i="1"/>
  <c r="I491" i="1"/>
  <c r="H491" i="1"/>
  <c r="G491" i="1"/>
  <c r="E491" i="1"/>
  <c r="D491" i="1"/>
  <c r="C491" i="1"/>
  <c r="B491" i="1"/>
  <c r="A491" i="1"/>
  <c r="N490" i="1"/>
  <c r="M490" i="1"/>
  <c r="L490" i="1"/>
  <c r="K490" i="1"/>
  <c r="J490" i="1"/>
  <c r="I490" i="1"/>
  <c r="H490" i="1"/>
  <c r="G490" i="1"/>
  <c r="E490" i="1"/>
  <c r="D490" i="1"/>
  <c r="C490" i="1"/>
  <c r="B490" i="1"/>
  <c r="A490" i="1"/>
  <c r="N489" i="1"/>
  <c r="M489" i="1"/>
  <c r="L489" i="1"/>
  <c r="K489" i="1"/>
  <c r="J489" i="1"/>
  <c r="H489" i="1"/>
  <c r="G489" i="1"/>
  <c r="E489" i="1"/>
  <c r="D489" i="1"/>
  <c r="C489" i="1"/>
  <c r="B489" i="1"/>
  <c r="A489" i="1"/>
  <c r="N488" i="1"/>
  <c r="M488" i="1"/>
  <c r="L488" i="1"/>
  <c r="K488" i="1"/>
  <c r="J488" i="1"/>
  <c r="H488" i="1"/>
  <c r="G488" i="1"/>
  <c r="E488" i="1"/>
  <c r="D488" i="1"/>
  <c r="C488" i="1"/>
  <c r="B488" i="1"/>
  <c r="A488" i="1"/>
  <c r="O487" i="1"/>
  <c r="N487" i="1"/>
  <c r="M487" i="1"/>
  <c r="L487" i="1"/>
  <c r="K487" i="1"/>
  <c r="J487" i="1"/>
  <c r="I487" i="1"/>
  <c r="H487" i="1"/>
  <c r="G487" i="1"/>
  <c r="E487" i="1"/>
  <c r="D487" i="1"/>
  <c r="B487" i="1"/>
  <c r="A487" i="1"/>
  <c r="N486" i="1"/>
  <c r="M486" i="1"/>
  <c r="L486" i="1"/>
  <c r="K486" i="1"/>
  <c r="H486" i="1"/>
  <c r="G486" i="1"/>
  <c r="E486" i="1"/>
  <c r="D486" i="1"/>
  <c r="C486" i="1"/>
  <c r="B486" i="1"/>
  <c r="A486" i="1"/>
  <c r="N485" i="1"/>
  <c r="M485" i="1"/>
  <c r="L485" i="1"/>
  <c r="K485" i="1"/>
  <c r="J485" i="1"/>
  <c r="H485" i="1"/>
  <c r="G485" i="1"/>
  <c r="E485" i="1"/>
  <c r="D485" i="1"/>
  <c r="C485" i="1"/>
  <c r="B485" i="1"/>
  <c r="A485" i="1"/>
  <c r="N484" i="1"/>
  <c r="M484" i="1"/>
  <c r="L484" i="1"/>
  <c r="K484" i="1"/>
  <c r="J484" i="1"/>
  <c r="H484" i="1"/>
  <c r="G484" i="1"/>
  <c r="E484" i="1"/>
  <c r="D484" i="1"/>
  <c r="C484" i="1"/>
  <c r="B484" i="1"/>
  <c r="A484" i="1"/>
  <c r="N483" i="1"/>
  <c r="M483" i="1"/>
  <c r="L483" i="1"/>
  <c r="K483" i="1"/>
  <c r="J483" i="1"/>
  <c r="H483" i="1"/>
  <c r="G483" i="1"/>
  <c r="E483" i="1"/>
  <c r="D483" i="1"/>
  <c r="C483" i="1"/>
  <c r="B483" i="1"/>
  <c r="A483" i="1"/>
  <c r="O482" i="1"/>
  <c r="N482" i="1"/>
  <c r="M482" i="1"/>
  <c r="L482" i="1"/>
  <c r="K482" i="1"/>
  <c r="J482" i="1"/>
  <c r="H482" i="1"/>
  <c r="G482" i="1"/>
  <c r="E482" i="1"/>
  <c r="D482" i="1"/>
  <c r="C482" i="1"/>
  <c r="B482" i="1"/>
  <c r="A482" i="1"/>
  <c r="N481" i="1"/>
  <c r="M481" i="1"/>
  <c r="L481" i="1"/>
  <c r="K481" i="1"/>
  <c r="J481" i="1"/>
  <c r="H481" i="1"/>
  <c r="G481" i="1"/>
  <c r="E481" i="1"/>
  <c r="D481" i="1"/>
  <c r="C481" i="1"/>
  <c r="B481" i="1"/>
  <c r="A481" i="1"/>
  <c r="N480" i="1"/>
  <c r="L480" i="1"/>
  <c r="J480" i="1"/>
  <c r="I480" i="1"/>
  <c r="H480" i="1"/>
  <c r="G480" i="1"/>
  <c r="E480" i="1"/>
  <c r="D480" i="1"/>
  <c r="B480" i="1"/>
  <c r="A480" i="1"/>
  <c r="O479" i="1"/>
  <c r="N479" i="1"/>
  <c r="M479" i="1"/>
  <c r="L479" i="1"/>
  <c r="H479" i="1"/>
  <c r="G479" i="1"/>
  <c r="E479" i="1"/>
  <c r="D479" i="1"/>
  <c r="C479" i="1"/>
  <c r="B479" i="1"/>
  <c r="A479" i="1"/>
  <c r="N478" i="1"/>
  <c r="M478" i="1"/>
  <c r="L478" i="1"/>
  <c r="K478" i="1"/>
  <c r="J478" i="1"/>
  <c r="H478" i="1"/>
  <c r="G478" i="1"/>
  <c r="E478" i="1"/>
  <c r="D478" i="1"/>
  <c r="C478" i="1"/>
  <c r="B478" i="1"/>
  <c r="A478" i="1"/>
  <c r="N477" i="1"/>
  <c r="M477" i="1"/>
  <c r="L477" i="1"/>
  <c r="K477" i="1"/>
  <c r="J477" i="1"/>
  <c r="H477" i="1"/>
  <c r="G477" i="1"/>
  <c r="F477" i="1"/>
  <c r="E477" i="1"/>
  <c r="D477" i="1"/>
  <c r="C477" i="1"/>
  <c r="B477" i="1"/>
  <c r="A477" i="1"/>
  <c r="N476" i="1"/>
  <c r="L476" i="1"/>
  <c r="K476" i="1"/>
  <c r="J476" i="1"/>
  <c r="H476" i="1"/>
  <c r="G476" i="1"/>
  <c r="F476" i="1"/>
  <c r="E476" i="1"/>
  <c r="D476" i="1"/>
  <c r="C476" i="1"/>
  <c r="B476" i="1"/>
  <c r="A476" i="1"/>
  <c r="N475" i="1"/>
  <c r="M475" i="1"/>
  <c r="L475" i="1"/>
  <c r="K475" i="1"/>
  <c r="J475" i="1"/>
  <c r="H475" i="1"/>
  <c r="G475" i="1"/>
  <c r="F475" i="1"/>
  <c r="E475" i="1"/>
  <c r="D475" i="1"/>
  <c r="C475" i="1"/>
  <c r="B475" i="1"/>
  <c r="A475" i="1"/>
  <c r="N474" i="1"/>
  <c r="M474" i="1"/>
  <c r="L474" i="1"/>
  <c r="J474" i="1"/>
  <c r="H474" i="1"/>
  <c r="G474" i="1"/>
  <c r="F474" i="1"/>
  <c r="E474" i="1"/>
  <c r="D474" i="1"/>
  <c r="C474" i="1"/>
  <c r="B474" i="1"/>
  <c r="A474" i="1"/>
  <c r="N473" i="1"/>
  <c r="M473" i="1"/>
  <c r="L473" i="1"/>
  <c r="K473" i="1"/>
  <c r="J473" i="1"/>
  <c r="I473" i="1"/>
  <c r="H473" i="1"/>
  <c r="G473" i="1"/>
  <c r="F473" i="1"/>
  <c r="E473" i="1"/>
  <c r="D473" i="1"/>
  <c r="C473" i="1"/>
  <c r="B473" i="1"/>
  <c r="A473" i="1"/>
  <c r="O472" i="1"/>
  <c r="N472" i="1"/>
  <c r="M472" i="1"/>
  <c r="L472" i="1"/>
  <c r="K472" i="1"/>
  <c r="J472" i="1"/>
  <c r="H472" i="1"/>
  <c r="G472" i="1"/>
  <c r="F472" i="1"/>
  <c r="E472" i="1"/>
  <c r="D472" i="1"/>
  <c r="C472" i="1"/>
  <c r="B472" i="1"/>
  <c r="A472" i="1"/>
  <c r="O471" i="1"/>
  <c r="N471" i="1"/>
  <c r="M471" i="1"/>
  <c r="L471" i="1"/>
  <c r="K471" i="1"/>
  <c r="J471" i="1"/>
  <c r="H471" i="1"/>
  <c r="G471" i="1"/>
  <c r="F471" i="1"/>
  <c r="E471" i="1"/>
  <c r="D471" i="1"/>
  <c r="C471" i="1"/>
  <c r="B471" i="1"/>
  <c r="A471" i="1"/>
  <c r="N470" i="1"/>
  <c r="M470" i="1"/>
  <c r="L470" i="1"/>
  <c r="K470" i="1"/>
  <c r="J470" i="1"/>
  <c r="I470" i="1"/>
  <c r="H470" i="1"/>
  <c r="G470" i="1"/>
  <c r="F470" i="1"/>
  <c r="E470" i="1"/>
  <c r="D470" i="1"/>
  <c r="C470" i="1"/>
  <c r="B470" i="1"/>
  <c r="A470" i="1"/>
  <c r="N469" i="1"/>
  <c r="M469" i="1"/>
  <c r="L469" i="1"/>
  <c r="K469" i="1"/>
  <c r="J469" i="1"/>
  <c r="H469" i="1"/>
  <c r="G469" i="1"/>
  <c r="F469" i="1"/>
  <c r="E469" i="1"/>
  <c r="D469" i="1"/>
  <c r="C469" i="1"/>
  <c r="B469" i="1"/>
  <c r="A469" i="1"/>
  <c r="N468" i="1"/>
  <c r="M468" i="1"/>
  <c r="L468" i="1"/>
  <c r="J468" i="1"/>
  <c r="H468" i="1"/>
  <c r="G468" i="1"/>
  <c r="F468" i="1"/>
  <c r="E468" i="1"/>
  <c r="D468" i="1"/>
  <c r="B468" i="1"/>
  <c r="A468" i="1"/>
  <c r="N467" i="1"/>
  <c r="M467" i="1"/>
  <c r="L467" i="1"/>
  <c r="K467" i="1"/>
  <c r="J467" i="1"/>
  <c r="H467" i="1"/>
  <c r="G467" i="1"/>
  <c r="F467" i="1"/>
  <c r="E467" i="1"/>
  <c r="D467" i="1"/>
  <c r="C467" i="1"/>
  <c r="B467" i="1"/>
  <c r="A467" i="1"/>
  <c r="N466" i="1"/>
  <c r="M466" i="1"/>
  <c r="L466" i="1"/>
  <c r="K466" i="1"/>
  <c r="J466" i="1"/>
  <c r="H466" i="1"/>
  <c r="G466" i="1"/>
  <c r="F466" i="1"/>
  <c r="E466" i="1"/>
  <c r="D466" i="1"/>
  <c r="C466" i="1"/>
  <c r="B466" i="1"/>
  <c r="A466" i="1"/>
  <c r="N465" i="1"/>
  <c r="M465" i="1"/>
  <c r="L465" i="1"/>
  <c r="K465" i="1"/>
  <c r="J465" i="1"/>
  <c r="H465" i="1"/>
  <c r="G465" i="1"/>
  <c r="F465" i="1"/>
  <c r="E465" i="1"/>
  <c r="D465" i="1"/>
  <c r="C465" i="1"/>
  <c r="B465" i="1"/>
  <c r="A465" i="1"/>
  <c r="N464" i="1"/>
  <c r="M464" i="1"/>
  <c r="L464" i="1"/>
  <c r="K464" i="1"/>
  <c r="J464" i="1"/>
  <c r="H464" i="1"/>
  <c r="G464" i="1"/>
  <c r="F464" i="1"/>
  <c r="E464" i="1"/>
  <c r="D464" i="1"/>
  <c r="C464" i="1"/>
  <c r="B464" i="1"/>
  <c r="A464" i="1"/>
  <c r="N463" i="1"/>
  <c r="M463" i="1"/>
  <c r="L463" i="1"/>
  <c r="K463" i="1"/>
  <c r="J463" i="1"/>
  <c r="H463" i="1"/>
  <c r="G463" i="1"/>
  <c r="F463" i="1"/>
  <c r="E463" i="1"/>
  <c r="D463" i="1"/>
  <c r="C463" i="1"/>
  <c r="B463" i="1"/>
  <c r="A463" i="1"/>
  <c r="N462" i="1"/>
  <c r="M462" i="1"/>
  <c r="L462" i="1"/>
  <c r="K462" i="1"/>
  <c r="J462" i="1"/>
  <c r="H462" i="1"/>
  <c r="G462" i="1"/>
  <c r="F462" i="1"/>
  <c r="E462" i="1"/>
  <c r="D462" i="1"/>
  <c r="C462" i="1"/>
  <c r="B462" i="1"/>
  <c r="A462" i="1"/>
  <c r="N461" i="1"/>
  <c r="M461" i="1"/>
  <c r="L461" i="1"/>
  <c r="J461" i="1"/>
  <c r="H461" i="1"/>
  <c r="G461" i="1"/>
  <c r="F461" i="1"/>
  <c r="E461" i="1"/>
  <c r="D461" i="1"/>
  <c r="C461" i="1"/>
  <c r="B461" i="1"/>
  <c r="A461" i="1"/>
  <c r="N460" i="1"/>
  <c r="M460" i="1"/>
  <c r="L460" i="1"/>
  <c r="K460" i="1"/>
  <c r="J460" i="1"/>
  <c r="H460" i="1"/>
  <c r="G460" i="1"/>
  <c r="F460" i="1"/>
  <c r="E460" i="1"/>
  <c r="D460" i="1"/>
  <c r="C460" i="1"/>
  <c r="B460" i="1"/>
  <c r="A460" i="1"/>
  <c r="N459" i="1"/>
  <c r="M459" i="1"/>
  <c r="L459" i="1"/>
  <c r="K459" i="1"/>
  <c r="J459" i="1"/>
  <c r="H459" i="1"/>
  <c r="G459" i="1"/>
  <c r="E459" i="1"/>
  <c r="D459" i="1"/>
  <c r="C459" i="1"/>
  <c r="B459" i="1"/>
  <c r="A459" i="1"/>
  <c r="O458" i="1"/>
  <c r="N458" i="1"/>
  <c r="M458" i="1"/>
  <c r="L458" i="1"/>
  <c r="K458" i="1"/>
  <c r="J458" i="1"/>
  <c r="I458" i="1"/>
  <c r="H458" i="1"/>
  <c r="G458" i="1"/>
  <c r="E458" i="1"/>
  <c r="D458" i="1"/>
  <c r="C458" i="1"/>
  <c r="B458" i="1"/>
  <c r="A458" i="1"/>
  <c r="O457" i="1"/>
  <c r="N457" i="1"/>
  <c r="L457" i="1"/>
  <c r="H457" i="1"/>
  <c r="G457" i="1"/>
  <c r="E457" i="1"/>
  <c r="D457" i="1"/>
  <c r="B457" i="1"/>
  <c r="A457" i="1"/>
  <c r="O456" i="1"/>
  <c r="N456" i="1"/>
  <c r="M456" i="1"/>
  <c r="L456" i="1"/>
  <c r="K456" i="1"/>
  <c r="J456" i="1"/>
  <c r="I456" i="1"/>
  <c r="H456" i="1"/>
  <c r="G456" i="1"/>
  <c r="E456" i="1"/>
  <c r="D456" i="1"/>
  <c r="C456" i="1"/>
  <c r="B456" i="1"/>
  <c r="A456" i="1"/>
  <c r="O455" i="1"/>
  <c r="N455" i="1"/>
  <c r="M455" i="1"/>
  <c r="L455" i="1"/>
  <c r="K455" i="1"/>
  <c r="J455" i="1"/>
  <c r="H455" i="1"/>
  <c r="G455" i="1"/>
  <c r="E455" i="1"/>
  <c r="D455" i="1"/>
  <c r="C455" i="1"/>
  <c r="B455" i="1"/>
  <c r="A455" i="1"/>
  <c r="N454" i="1"/>
  <c r="M454" i="1"/>
  <c r="L454" i="1"/>
  <c r="K454" i="1"/>
  <c r="J454" i="1"/>
  <c r="H454" i="1"/>
  <c r="G454" i="1"/>
  <c r="E454" i="1"/>
  <c r="D454" i="1"/>
  <c r="C454" i="1"/>
  <c r="B454" i="1"/>
  <c r="A454" i="1"/>
  <c r="N453" i="1"/>
  <c r="M453" i="1"/>
  <c r="L453" i="1"/>
  <c r="K453" i="1"/>
  <c r="J453" i="1"/>
  <c r="I453" i="1"/>
  <c r="H453" i="1"/>
  <c r="G453" i="1"/>
  <c r="E453" i="1"/>
  <c r="D453" i="1"/>
  <c r="C453" i="1"/>
  <c r="B453" i="1"/>
  <c r="A453" i="1"/>
  <c r="N452" i="1"/>
  <c r="M452" i="1"/>
  <c r="L452" i="1"/>
  <c r="K452" i="1"/>
  <c r="J452" i="1"/>
  <c r="I452" i="1"/>
  <c r="H452" i="1"/>
  <c r="G452" i="1"/>
  <c r="E452" i="1"/>
  <c r="D452" i="1"/>
  <c r="C452" i="1"/>
  <c r="B452" i="1"/>
  <c r="A452" i="1"/>
  <c r="O451" i="1"/>
  <c r="N451" i="1"/>
  <c r="M451" i="1"/>
  <c r="L451" i="1"/>
  <c r="K451" i="1"/>
  <c r="J451" i="1"/>
  <c r="H451" i="1"/>
  <c r="G451" i="1"/>
  <c r="E451" i="1"/>
  <c r="D451" i="1"/>
  <c r="C451" i="1"/>
  <c r="B451" i="1"/>
  <c r="A451" i="1"/>
  <c r="N450" i="1"/>
  <c r="M450" i="1"/>
  <c r="L450" i="1"/>
  <c r="K450" i="1"/>
  <c r="J450" i="1"/>
  <c r="H450" i="1"/>
  <c r="G450" i="1"/>
  <c r="E450" i="1"/>
  <c r="D450" i="1"/>
  <c r="C450" i="1"/>
  <c r="B450" i="1"/>
  <c r="A450" i="1"/>
  <c r="N449" i="1"/>
  <c r="M449" i="1"/>
  <c r="L449" i="1"/>
  <c r="K449" i="1"/>
  <c r="J449" i="1"/>
  <c r="H449" i="1"/>
  <c r="E449" i="1"/>
  <c r="D449" i="1"/>
  <c r="C449" i="1"/>
  <c r="B449" i="1"/>
  <c r="A449" i="1"/>
  <c r="N448" i="1"/>
  <c r="M448" i="1"/>
  <c r="L448" i="1"/>
  <c r="K448" i="1"/>
  <c r="J448" i="1"/>
  <c r="H448" i="1"/>
  <c r="G448" i="1"/>
  <c r="E448" i="1"/>
  <c r="D448" i="1"/>
  <c r="C448" i="1"/>
  <c r="B448" i="1"/>
  <c r="A448" i="1"/>
  <c r="O447" i="1"/>
  <c r="N447" i="1"/>
  <c r="M447" i="1"/>
  <c r="L447" i="1"/>
  <c r="H447" i="1"/>
  <c r="G447" i="1"/>
  <c r="E447" i="1"/>
  <c r="D447" i="1"/>
  <c r="C447" i="1"/>
  <c r="B447" i="1"/>
  <c r="A447" i="1"/>
  <c r="N446" i="1"/>
  <c r="M446" i="1"/>
  <c r="L446" i="1"/>
  <c r="H446" i="1"/>
  <c r="G446" i="1"/>
  <c r="F446" i="1"/>
  <c r="E446" i="1"/>
  <c r="D446" i="1"/>
  <c r="C446" i="1"/>
  <c r="B446" i="1"/>
  <c r="A446" i="1"/>
  <c r="N445" i="1"/>
  <c r="M445" i="1"/>
  <c r="L445" i="1"/>
  <c r="K445" i="1"/>
  <c r="J445" i="1"/>
  <c r="H445" i="1"/>
  <c r="G445" i="1"/>
  <c r="F445" i="1"/>
  <c r="E445" i="1"/>
  <c r="D445" i="1"/>
  <c r="B445" i="1"/>
  <c r="A445" i="1"/>
  <c r="O444" i="1"/>
  <c r="N444" i="1"/>
  <c r="M444" i="1"/>
  <c r="L444" i="1"/>
  <c r="K444" i="1"/>
  <c r="J444" i="1"/>
  <c r="H444" i="1"/>
  <c r="G444" i="1"/>
  <c r="E444" i="1"/>
  <c r="D444" i="1"/>
  <c r="C444" i="1"/>
  <c r="B444" i="1"/>
  <c r="A444" i="1"/>
  <c r="N443" i="1"/>
  <c r="M443" i="1"/>
  <c r="L443" i="1"/>
  <c r="H443" i="1"/>
  <c r="G443" i="1"/>
  <c r="E443" i="1"/>
  <c r="D443" i="1"/>
  <c r="C443" i="1"/>
  <c r="B443" i="1"/>
  <c r="A443" i="1"/>
  <c r="N442" i="1"/>
  <c r="M442" i="1"/>
  <c r="L442" i="1"/>
  <c r="J442" i="1"/>
  <c r="I442" i="1"/>
  <c r="H442" i="1"/>
  <c r="G442" i="1"/>
  <c r="E442" i="1"/>
  <c r="D442" i="1"/>
  <c r="C442" i="1"/>
  <c r="B442" i="1"/>
  <c r="A442" i="1"/>
  <c r="N441" i="1"/>
  <c r="M441" i="1"/>
  <c r="L441" i="1"/>
  <c r="K441" i="1"/>
  <c r="J441" i="1"/>
  <c r="I441" i="1"/>
  <c r="H441" i="1"/>
  <c r="G441" i="1"/>
  <c r="E441" i="1"/>
  <c r="D441" i="1"/>
  <c r="C441" i="1"/>
  <c r="B441" i="1"/>
  <c r="A441" i="1"/>
  <c r="N440" i="1"/>
  <c r="M440" i="1"/>
  <c r="L440" i="1"/>
  <c r="K440" i="1"/>
  <c r="J440" i="1"/>
  <c r="I440" i="1"/>
  <c r="H440" i="1"/>
  <c r="G440" i="1"/>
  <c r="E440" i="1"/>
  <c r="D440" i="1"/>
  <c r="C440" i="1"/>
  <c r="B440" i="1"/>
  <c r="A440" i="1"/>
  <c r="N439" i="1"/>
  <c r="M439" i="1"/>
  <c r="L439" i="1"/>
  <c r="K439" i="1"/>
  <c r="J439" i="1"/>
  <c r="H439" i="1"/>
  <c r="G439" i="1"/>
  <c r="E439" i="1"/>
  <c r="D439" i="1"/>
  <c r="C439" i="1"/>
  <c r="B439" i="1"/>
  <c r="A439" i="1"/>
  <c r="N438" i="1"/>
  <c r="M438" i="1"/>
  <c r="L438" i="1"/>
  <c r="K438" i="1"/>
  <c r="J438" i="1"/>
  <c r="H438" i="1"/>
  <c r="G438" i="1"/>
  <c r="E438" i="1"/>
  <c r="D438" i="1"/>
  <c r="C438" i="1"/>
  <c r="B438" i="1"/>
  <c r="A438" i="1"/>
  <c r="N437" i="1"/>
  <c r="M437" i="1"/>
  <c r="L437" i="1"/>
  <c r="J437" i="1"/>
  <c r="I437" i="1"/>
  <c r="H437" i="1"/>
  <c r="G437" i="1"/>
  <c r="F437" i="1"/>
  <c r="E437" i="1"/>
  <c r="D437" i="1"/>
  <c r="C437" i="1"/>
  <c r="B437" i="1"/>
  <c r="A437" i="1"/>
  <c r="O436" i="1"/>
  <c r="N436" i="1"/>
  <c r="L436" i="1"/>
  <c r="H436" i="1"/>
  <c r="G436" i="1"/>
  <c r="E436" i="1"/>
  <c r="D436" i="1"/>
  <c r="B436" i="1"/>
  <c r="A436" i="1"/>
  <c r="O435" i="1"/>
  <c r="N435" i="1"/>
  <c r="L435" i="1"/>
  <c r="H435" i="1"/>
  <c r="G435" i="1"/>
  <c r="E435" i="1"/>
  <c r="D435" i="1"/>
  <c r="B435" i="1"/>
  <c r="A435" i="1"/>
  <c r="N434" i="1"/>
  <c r="M434" i="1"/>
  <c r="L434" i="1"/>
  <c r="K434" i="1"/>
  <c r="J434" i="1"/>
  <c r="I434" i="1"/>
  <c r="H434" i="1"/>
  <c r="G434" i="1"/>
  <c r="F434" i="1"/>
  <c r="E434" i="1"/>
  <c r="D434" i="1"/>
  <c r="C434" i="1"/>
  <c r="B434" i="1"/>
  <c r="A434" i="1"/>
  <c r="N433" i="1"/>
  <c r="M433" i="1"/>
  <c r="L433" i="1"/>
  <c r="K433" i="1"/>
  <c r="J433" i="1"/>
  <c r="H433" i="1"/>
  <c r="G433" i="1"/>
  <c r="E433" i="1"/>
  <c r="D433" i="1"/>
  <c r="C433" i="1"/>
  <c r="B433" i="1"/>
  <c r="A433" i="1"/>
  <c r="N432" i="1"/>
  <c r="M432" i="1"/>
  <c r="L432" i="1"/>
  <c r="K432" i="1"/>
  <c r="J432" i="1"/>
  <c r="H432" i="1"/>
  <c r="G432" i="1"/>
  <c r="E432" i="1"/>
  <c r="D432" i="1"/>
  <c r="C432" i="1"/>
  <c r="B432" i="1"/>
  <c r="A432" i="1"/>
  <c r="N431" i="1"/>
  <c r="M431" i="1"/>
  <c r="L431" i="1"/>
  <c r="K431" i="1"/>
  <c r="J431" i="1"/>
  <c r="I431" i="1"/>
  <c r="H431" i="1"/>
  <c r="G431" i="1"/>
  <c r="F431" i="1"/>
  <c r="E431" i="1"/>
  <c r="D431" i="1"/>
  <c r="C431" i="1"/>
  <c r="B431" i="1"/>
  <c r="A431" i="1"/>
  <c r="O430" i="1"/>
  <c r="N430" i="1"/>
  <c r="M430" i="1"/>
  <c r="L430" i="1"/>
  <c r="K430" i="1"/>
  <c r="J430" i="1"/>
  <c r="I430" i="1"/>
  <c r="H430" i="1"/>
  <c r="G430" i="1"/>
  <c r="F430" i="1"/>
  <c r="E430" i="1"/>
  <c r="D430" i="1"/>
  <c r="C430" i="1"/>
  <c r="B430" i="1"/>
  <c r="A430" i="1"/>
  <c r="N429" i="1"/>
  <c r="M429" i="1"/>
  <c r="L429" i="1"/>
  <c r="J429" i="1"/>
  <c r="H429" i="1"/>
  <c r="G429" i="1"/>
  <c r="F429" i="1"/>
  <c r="E429" i="1"/>
  <c r="D429" i="1"/>
  <c r="C429" i="1"/>
  <c r="B429" i="1"/>
  <c r="A429" i="1"/>
  <c r="N428" i="1"/>
  <c r="M428" i="1"/>
  <c r="L428" i="1"/>
  <c r="K428" i="1"/>
  <c r="J428" i="1"/>
  <c r="I428" i="1"/>
  <c r="H428" i="1"/>
  <c r="G428" i="1"/>
  <c r="E428" i="1"/>
  <c r="D428" i="1"/>
  <c r="C428" i="1"/>
  <c r="B428" i="1"/>
  <c r="A428" i="1"/>
  <c r="N427" i="1"/>
  <c r="M427" i="1"/>
  <c r="L427" i="1"/>
  <c r="K427" i="1"/>
  <c r="J427" i="1"/>
  <c r="I427" i="1"/>
  <c r="H427" i="1"/>
  <c r="G427" i="1"/>
  <c r="F427" i="1"/>
  <c r="E427" i="1"/>
  <c r="D427" i="1"/>
  <c r="C427" i="1"/>
  <c r="B427" i="1"/>
  <c r="A427" i="1"/>
  <c r="N426" i="1"/>
  <c r="M426" i="1"/>
  <c r="L426" i="1"/>
  <c r="J426" i="1"/>
  <c r="H426" i="1"/>
  <c r="G426" i="1"/>
  <c r="E426" i="1"/>
  <c r="D426" i="1"/>
  <c r="C426" i="1"/>
  <c r="B426" i="1"/>
  <c r="A426" i="1"/>
  <c r="O425" i="1"/>
  <c r="N425" i="1"/>
  <c r="M425" i="1"/>
  <c r="L425" i="1"/>
  <c r="K425" i="1"/>
  <c r="J425" i="1"/>
  <c r="I425" i="1"/>
  <c r="H425" i="1"/>
  <c r="G425" i="1"/>
  <c r="E425" i="1"/>
  <c r="D425" i="1"/>
  <c r="C425" i="1"/>
  <c r="B425" i="1"/>
  <c r="A425" i="1"/>
  <c r="N424" i="1"/>
  <c r="M424" i="1"/>
  <c r="L424" i="1"/>
  <c r="K424" i="1"/>
  <c r="J424" i="1"/>
  <c r="H424" i="1"/>
  <c r="E424" i="1"/>
  <c r="D424" i="1"/>
  <c r="C424" i="1"/>
  <c r="B424" i="1"/>
  <c r="A424" i="1"/>
  <c r="O423" i="1"/>
  <c r="N423" i="1"/>
  <c r="M423" i="1"/>
  <c r="L423" i="1"/>
  <c r="K423" i="1"/>
  <c r="J423" i="1"/>
  <c r="I423" i="1"/>
  <c r="H423" i="1"/>
  <c r="G423" i="1"/>
  <c r="E423" i="1"/>
  <c r="D423" i="1"/>
  <c r="C423" i="1"/>
  <c r="B423" i="1"/>
  <c r="A423" i="1"/>
  <c r="N422" i="1"/>
  <c r="M422" i="1"/>
  <c r="L422" i="1"/>
  <c r="K422" i="1"/>
  <c r="J422" i="1"/>
  <c r="H422" i="1"/>
  <c r="G422" i="1"/>
  <c r="F422" i="1"/>
  <c r="E422" i="1"/>
  <c r="D422" i="1"/>
  <c r="C422" i="1"/>
  <c r="B422" i="1"/>
  <c r="A422" i="1"/>
  <c r="O421" i="1"/>
  <c r="N421" i="1"/>
  <c r="M421" i="1"/>
  <c r="L421" i="1"/>
  <c r="K421" i="1"/>
  <c r="J421" i="1"/>
  <c r="I421" i="1"/>
  <c r="H421" i="1"/>
  <c r="G421" i="1"/>
  <c r="E421" i="1"/>
  <c r="D421" i="1"/>
  <c r="C421" i="1"/>
  <c r="B421" i="1"/>
  <c r="A421" i="1"/>
  <c r="N420" i="1"/>
  <c r="M420" i="1"/>
  <c r="L420" i="1"/>
  <c r="J420" i="1"/>
  <c r="I420" i="1"/>
  <c r="H420" i="1"/>
  <c r="G420" i="1"/>
  <c r="F420" i="1"/>
  <c r="E420" i="1"/>
  <c r="D420" i="1"/>
  <c r="C420" i="1"/>
  <c r="B420" i="1"/>
  <c r="A420" i="1"/>
  <c r="O419" i="1"/>
  <c r="N419" i="1"/>
  <c r="M419" i="1"/>
  <c r="L419" i="1"/>
  <c r="J419" i="1"/>
  <c r="H419" i="1"/>
  <c r="G419" i="1"/>
  <c r="F419" i="1"/>
  <c r="E419" i="1"/>
  <c r="D419" i="1"/>
  <c r="C419" i="1"/>
  <c r="B419" i="1"/>
  <c r="A419" i="1"/>
  <c r="O418" i="1"/>
  <c r="N418" i="1"/>
  <c r="M418" i="1"/>
  <c r="L418" i="1"/>
  <c r="K418" i="1"/>
  <c r="J418" i="1"/>
  <c r="H418" i="1"/>
  <c r="G418" i="1"/>
  <c r="F418" i="1"/>
  <c r="E418" i="1"/>
  <c r="D418" i="1"/>
  <c r="C418" i="1"/>
  <c r="B418" i="1"/>
  <c r="A418" i="1"/>
  <c r="O417" i="1"/>
  <c r="N417" i="1"/>
  <c r="M417" i="1"/>
  <c r="L417" i="1"/>
  <c r="K417" i="1"/>
  <c r="J417" i="1"/>
  <c r="H417" i="1"/>
  <c r="G417" i="1"/>
  <c r="E417" i="1"/>
  <c r="D417" i="1"/>
  <c r="C417" i="1"/>
  <c r="B417" i="1"/>
  <c r="A417" i="1"/>
  <c r="N416" i="1"/>
  <c r="M416" i="1"/>
  <c r="L416" i="1"/>
  <c r="K416" i="1"/>
  <c r="J416" i="1"/>
  <c r="H416" i="1"/>
  <c r="G416" i="1"/>
  <c r="E416" i="1"/>
  <c r="D416" i="1"/>
  <c r="C416" i="1"/>
  <c r="B416" i="1"/>
  <c r="A416" i="1"/>
  <c r="N415" i="1"/>
  <c r="M415" i="1"/>
  <c r="L415" i="1"/>
  <c r="K415" i="1"/>
  <c r="J415" i="1"/>
  <c r="H415" i="1"/>
  <c r="G415" i="1"/>
  <c r="E415" i="1"/>
  <c r="D415" i="1"/>
  <c r="C415" i="1"/>
  <c r="B415" i="1"/>
  <c r="A415" i="1"/>
  <c r="O414" i="1"/>
  <c r="N414" i="1"/>
  <c r="M414" i="1"/>
  <c r="L414" i="1"/>
  <c r="K414" i="1"/>
  <c r="J414" i="1"/>
  <c r="H414" i="1"/>
  <c r="G414" i="1"/>
  <c r="E414" i="1"/>
  <c r="D414" i="1"/>
  <c r="C414" i="1"/>
  <c r="B414" i="1"/>
  <c r="A414" i="1"/>
  <c r="N413" i="1"/>
  <c r="L413" i="1"/>
  <c r="J413" i="1"/>
  <c r="I413" i="1"/>
  <c r="H413" i="1"/>
  <c r="G413" i="1"/>
  <c r="E413" i="1"/>
  <c r="D413" i="1"/>
  <c r="A413" i="1"/>
  <c r="N412" i="1"/>
  <c r="L412" i="1"/>
  <c r="J412" i="1"/>
  <c r="I412" i="1"/>
  <c r="H412" i="1"/>
  <c r="G412" i="1"/>
  <c r="E412" i="1"/>
  <c r="D412" i="1"/>
  <c r="A412" i="1"/>
  <c r="N411" i="1"/>
  <c r="L411" i="1"/>
  <c r="J411" i="1"/>
  <c r="I411" i="1"/>
  <c r="H411" i="1"/>
  <c r="G411" i="1"/>
  <c r="E411" i="1"/>
  <c r="D411" i="1"/>
  <c r="A411" i="1"/>
  <c r="N410" i="1"/>
  <c r="M410" i="1"/>
  <c r="L410" i="1"/>
  <c r="K410" i="1"/>
  <c r="J410" i="1"/>
  <c r="I410" i="1"/>
  <c r="H410" i="1"/>
  <c r="G410" i="1"/>
  <c r="F410" i="1"/>
  <c r="E410" i="1"/>
  <c r="D410" i="1"/>
  <c r="C410" i="1"/>
  <c r="B410" i="1"/>
  <c r="A410" i="1"/>
  <c r="O409" i="1"/>
  <c r="N409" i="1"/>
  <c r="M409" i="1"/>
  <c r="L409" i="1"/>
  <c r="J409" i="1"/>
  <c r="I409" i="1"/>
  <c r="H409" i="1"/>
  <c r="G409" i="1"/>
  <c r="F409" i="1"/>
  <c r="E409" i="1"/>
  <c r="D409" i="1"/>
  <c r="C409" i="1"/>
  <c r="B409" i="1"/>
  <c r="A409" i="1"/>
  <c r="O408" i="1"/>
  <c r="N408" i="1"/>
  <c r="M408" i="1"/>
  <c r="L408" i="1"/>
  <c r="J408" i="1"/>
  <c r="H408" i="1"/>
  <c r="G408" i="1"/>
  <c r="E408" i="1"/>
  <c r="D408" i="1"/>
  <c r="C408" i="1"/>
  <c r="B408" i="1"/>
  <c r="A408" i="1"/>
  <c r="N407" i="1"/>
  <c r="M407" i="1"/>
  <c r="L407" i="1"/>
  <c r="K407" i="1"/>
  <c r="J407" i="1"/>
  <c r="H407" i="1"/>
  <c r="G407" i="1"/>
  <c r="E407" i="1"/>
  <c r="D407" i="1"/>
  <c r="C407" i="1"/>
  <c r="B407" i="1"/>
  <c r="A407" i="1"/>
  <c r="N406" i="1"/>
  <c r="M406" i="1"/>
  <c r="L406" i="1"/>
  <c r="K406" i="1"/>
  <c r="J406" i="1"/>
  <c r="H406" i="1"/>
  <c r="G406" i="1"/>
  <c r="E406" i="1"/>
  <c r="D406" i="1"/>
  <c r="A406" i="1"/>
  <c r="N405" i="1"/>
  <c r="M405" i="1"/>
  <c r="L405" i="1"/>
  <c r="K405" i="1"/>
  <c r="J405" i="1"/>
  <c r="H405" i="1"/>
  <c r="G405" i="1"/>
  <c r="F405" i="1"/>
  <c r="E405" i="1"/>
  <c r="D405" i="1"/>
  <c r="C405" i="1"/>
  <c r="B405" i="1"/>
  <c r="A405" i="1"/>
  <c r="N404" i="1"/>
  <c r="M404" i="1"/>
  <c r="L404" i="1"/>
  <c r="J404" i="1"/>
  <c r="H404" i="1"/>
  <c r="G404" i="1"/>
  <c r="E404" i="1"/>
  <c r="D404" i="1"/>
  <c r="C404" i="1"/>
  <c r="B404" i="1"/>
  <c r="A404" i="1"/>
  <c r="N403" i="1"/>
  <c r="M403" i="1"/>
  <c r="L403" i="1"/>
  <c r="K403" i="1"/>
  <c r="J403" i="1"/>
  <c r="I403" i="1"/>
  <c r="H403" i="1"/>
  <c r="G403" i="1"/>
  <c r="E403" i="1"/>
  <c r="D403" i="1"/>
  <c r="C403" i="1"/>
  <c r="B403" i="1"/>
  <c r="A403" i="1"/>
  <c r="O402" i="1"/>
  <c r="N402" i="1"/>
  <c r="L402" i="1"/>
  <c r="J402" i="1"/>
  <c r="I402" i="1"/>
  <c r="H402" i="1"/>
  <c r="G402" i="1"/>
  <c r="E402" i="1"/>
  <c r="D402" i="1"/>
  <c r="A402" i="1"/>
  <c r="O401" i="1"/>
  <c r="N401" i="1"/>
  <c r="L401" i="1"/>
  <c r="J401" i="1"/>
  <c r="I401" i="1"/>
  <c r="H401" i="1"/>
  <c r="G401" i="1"/>
  <c r="E401" i="1"/>
  <c r="D401" i="1"/>
  <c r="A401" i="1"/>
  <c r="N400" i="1"/>
  <c r="L400" i="1"/>
  <c r="J400" i="1"/>
  <c r="I400" i="1"/>
  <c r="H400" i="1"/>
  <c r="G400" i="1"/>
  <c r="E400" i="1"/>
  <c r="D400" i="1"/>
  <c r="A400" i="1"/>
  <c r="O399" i="1"/>
  <c r="N399" i="1"/>
  <c r="M399" i="1"/>
  <c r="L399" i="1"/>
  <c r="I399" i="1"/>
  <c r="H399" i="1"/>
  <c r="G399" i="1"/>
  <c r="E399" i="1"/>
  <c r="D399" i="1"/>
  <c r="C399" i="1"/>
  <c r="B399" i="1"/>
  <c r="A399" i="1"/>
  <c r="N398" i="1"/>
  <c r="M398" i="1"/>
  <c r="L398" i="1"/>
  <c r="K398" i="1"/>
  <c r="J398" i="1"/>
  <c r="H398" i="1"/>
  <c r="G398" i="1"/>
  <c r="F398" i="1"/>
  <c r="E398" i="1"/>
  <c r="D398" i="1"/>
  <c r="C398" i="1"/>
  <c r="B398" i="1"/>
  <c r="A398" i="1"/>
  <c r="N397" i="1"/>
  <c r="M397" i="1"/>
  <c r="L397" i="1"/>
  <c r="K397" i="1"/>
  <c r="J397" i="1"/>
  <c r="H397" i="1"/>
  <c r="G397" i="1"/>
  <c r="F397" i="1"/>
  <c r="E397" i="1"/>
  <c r="D397" i="1"/>
  <c r="C397" i="1"/>
  <c r="B397" i="1"/>
  <c r="A397" i="1"/>
  <c r="N396" i="1"/>
  <c r="M396" i="1"/>
  <c r="L396" i="1"/>
  <c r="K396" i="1"/>
  <c r="J396" i="1"/>
  <c r="H396" i="1"/>
  <c r="G396" i="1"/>
  <c r="F396" i="1"/>
  <c r="E396" i="1"/>
  <c r="D396" i="1"/>
  <c r="C396" i="1"/>
  <c r="B396" i="1"/>
  <c r="A396" i="1"/>
  <c r="N395" i="1"/>
  <c r="M395" i="1"/>
  <c r="L395" i="1"/>
  <c r="K395" i="1"/>
  <c r="J395" i="1"/>
  <c r="I395" i="1"/>
  <c r="H395" i="1"/>
  <c r="G395" i="1"/>
  <c r="F395" i="1"/>
  <c r="E395" i="1"/>
  <c r="D395" i="1"/>
  <c r="C395" i="1"/>
  <c r="B395" i="1"/>
  <c r="A395" i="1"/>
  <c r="N394" i="1"/>
  <c r="M394" i="1"/>
  <c r="L394" i="1"/>
  <c r="J394" i="1"/>
  <c r="I394" i="1"/>
  <c r="H394" i="1"/>
  <c r="G394" i="1"/>
  <c r="E394" i="1"/>
  <c r="D394" i="1"/>
  <c r="C394" i="1"/>
  <c r="B394" i="1"/>
  <c r="A394" i="1"/>
  <c r="N393" i="1"/>
  <c r="M393" i="1"/>
  <c r="L393" i="1"/>
  <c r="K393" i="1"/>
  <c r="J393" i="1"/>
  <c r="H393" i="1"/>
  <c r="G393" i="1"/>
  <c r="E393" i="1"/>
  <c r="D393" i="1"/>
  <c r="C393" i="1"/>
  <c r="B393" i="1"/>
  <c r="A393" i="1"/>
  <c r="N392" i="1"/>
  <c r="M392" i="1"/>
  <c r="L392" i="1"/>
  <c r="K392" i="1"/>
  <c r="J392" i="1"/>
  <c r="H392" i="1"/>
  <c r="G392" i="1"/>
  <c r="E392" i="1"/>
  <c r="D392" i="1"/>
  <c r="C392" i="1"/>
  <c r="B392" i="1"/>
  <c r="A392" i="1"/>
  <c r="N391" i="1"/>
  <c r="M391" i="1"/>
  <c r="L391" i="1"/>
  <c r="K391" i="1"/>
  <c r="J391" i="1"/>
  <c r="H391" i="1"/>
  <c r="G391" i="1"/>
  <c r="E391" i="1"/>
  <c r="D391" i="1"/>
  <c r="A391" i="1"/>
  <c r="O390" i="1"/>
  <c r="N390" i="1"/>
  <c r="M390" i="1"/>
  <c r="L390" i="1"/>
  <c r="K390" i="1"/>
  <c r="J390" i="1"/>
  <c r="H390" i="1"/>
  <c r="G390" i="1"/>
  <c r="E390" i="1"/>
  <c r="D390" i="1"/>
  <c r="C390" i="1"/>
  <c r="B390" i="1"/>
  <c r="A390" i="1"/>
  <c r="N389" i="1"/>
  <c r="M389" i="1"/>
  <c r="L389" i="1"/>
  <c r="H389" i="1"/>
  <c r="G389" i="1"/>
  <c r="E389" i="1"/>
  <c r="D389" i="1"/>
  <c r="C389" i="1"/>
  <c r="B389" i="1"/>
  <c r="A389" i="1"/>
  <c r="N388" i="1"/>
  <c r="M388" i="1"/>
  <c r="L388" i="1"/>
  <c r="K388" i="1"/>
  <c r="J388" i="1"/>
  <c r="H388" i="1"/>
  <c r="G388" i="1"/>
  <c r="E388" i="1"/>
  <c r="D388" i="1"/>
  <c r="C388" i="1"/>
  <c r="B388" i="1"/>
  <c r="A388" i="1"/>
  <c r="N387" i="1"/>
  <c r="M387" i="1"/>
  <c r="L387" i="1"/>
  <c r="K387" i="1"/>
  <c r="J387" i="1"/>
  <c r="H387" i="1"/>
  <c r="G387" i="1"/>
  <c r="E387" i="1"/>
  <c r="D387" i="1"/>
  <c r="C387" i="1"/>
  <c r="B387" i="1"/>
  <c r="A387" i="1"/>
  <c r="N386" i="1"/>
  <c r="M386" i="1"/>
  <c r="L386" i="1"/>
  <c r="K386" i="1"/>
  <c r="J386" i="1"/>
  <c r="H386" i="1"/>
  <c r="G386" i="1"/>
  <c r="E386" i="1"/>
  <c r="D386" i="1"/>
  <c r="C386" i="1"/>
  <c r="B386" i="1"/>
  <c r="A386" i="1"/>
  <c r="N385" i="1"/>
  <c r="M385" i="1"/>
  <c r="L385" i="1"/>
  <c r="K385" i="1"/>
  <c r="J385" i="1"/>
  <c r="H385" i="1"/>
  <c r="G385" i="1"/>
  <c r="E385" i="1"/>
  <c r="D385" i="1"/>
  <c r="C385" i="1"/>
  <c r="B385" i="1"/>
  <c r="A385" i="1"/>
  <c r="N384" i="1"/>
  <c r="L384" i="1"/>
  <c r="K384" i="1"/>
  <c r="H384" i="1"/>
  <c r="G384" i="1"/>
  <c r="E384" i="1"/>
  <c r="D384" i="1"/>
  <c r="A384" i="1"/>
  <c r="O383" i="1"/>
  <c r="N383" i="1"/>
  <c r="L383" i="1"/>
  <c r="H383" i="1"/>
  <c r="G383" i="1"/>
  <c r="E383" i="1"/>
  <c r="D383" i="1"/>
  <c r="B383" i="1"/>
  <c r="A383" i="1"/>
  <c r="N382" i="1"/>
  <c r="M382" i="1"/>
  <c r="L382" i="1"/>
  <c r="J382" i="1"/>
  <c r="I382" i="1"/>
  <c r="H382" i="1"/>
  <c r="G382" i="1"/>
  <c r="E382" i="1"/>
  <c r="D382" i="1"/>
  <c r="C382" i="1"/>
  <c r="B382" i="1"/>
  <c r="A382" i="1"/>
  <c r="N381" i="1"/>
  <c r="M381" i="1"/>
  <c r="L381" i="1"/>
  <c r="K381" i="1"/>
  <c r="J381" i="1"/>
  <c r="I381" i="1"/>
  <c r="H381" i="1"/>
  <c r="G381" i="1"/>
  <c r="F381" i="1"/>
  <c r="E381" i="1"/>
  <c r="D381" i="1"/>
  <c r="C381" i="1"/>
  <c r="B381" i="1"/>
  <c r="A381" i="1"/>
  <c r="N380" i="1"/>
  <c r="L380" i="1"/>
  <c r="K380" i="1"/>
  <c r="J380" i="1"/>
  <c r="I380" i="1"/>
  <c r="H380" i="1"/>
  <c r="G380" i="1"/>
  <c r="F380" i="1"/>
  <c r="E380" i="1"/>
  <c r="D380" i="1"/>
  <c r="C380" i="1"/>
  <c r="B380" i="1"/>
  <c r="A380" i="1"/>
  <c r="N379" i="1"/>
  <c r="M379" i="1"/>
  <c r="L379" i="1"/>
  <c r="K379" i="1"/>
  <c r="J379" i="1"/>
  <c r="H379" i="1"/>
  <c r="G379" i="1"/>
  <c r="F379" i="1"/>
  <c r="E379" i="1"/>
  <c r="D379" i="1"/>
  <c r="C379" i="1"/>
  <c r="B379" i="1"/>
  <c r="A379" i="1"/>
  <c r="N378" i="1"/>
  <c r="L378" i="1"/>
  <c r="K378" i="1"/>
  <c r="I378" i="1"/>
  <c r="H378" i="1"/>
  <c r="G378" i="1"/>
  <c r="E378" i="1"/>
  <c r="D378" i="1"/>
  <c r="A378" i="1"/>
  <c r="O377" i="1"/>
  <c r="N377" i="1"/>
  <c r="M377" i="1"/>
  <c r="L377" i="1"/>
  <c r="J377" i="1"/>
  <c r="I377" i="1"/>
  <c r="H377" i="1"/>
  <c r="G377" i="1"/>
  <c r="E377" i="1"/>
  <c r="D377" i="1"/>
  <c r="C377" i="1"/>
  <c r="B377" i="1"/>
  <c r="A377" i="1"/>
  <c r="N376" i="1"/>
  <c r="M376" i="1"/>
  <c r="L376" i="1"/>
  <c r="K376" i="1"/>
  <c r="J376" i="1"/>
  <c r="H376" i="1"/>
  <c r="G376" i="1"/>
  <c r="E376" i="1"/>
  <c r="D376" i="1"/>
  <c r="C376" i="1"/>
  <c r="B376" i="1"/>
  <c r="A376" i="1"/>
  <c r="O375" i="1"/>
  <c r="N375" i="1"/>
  <c r="M375" i="1"/>
  <c r="L375" i="1"/>
  <c r="H375" i="1"/>
  <c r="G375" i="1"/>
  <c r="E375" i="1"/>
  <c r="D375" i="1"/>
  <c r="C375" i="1"/>
  <c r="B375" i="1"/>
  <c r="A375" i="1"/>
  <c r="N374" i="1"/>
  <c r="M374" i="1"/>
  <c r="L374" i="1"/>
  <c r="K374" i="1"/>
  <c r="J374" i="1"/>
  <c r="H374" i="1"/>
  <c r="G374" i="1"/>
  <c r="F374" i="1"/>
  <c r="E374" i="1"/>
  <c r="D374" i="1"/>
  <c r="C374" i="1"/>
  <c r="B374" i="1"/>
  <c r="A374" i="1"/>
  <c r="N373" i="1"/>
  <c r="M373" i="1"/>
  <c r="L373" i="1"/>
  <c r="K373" i="1"/>
  <c r="J373" i="1"/>
  <c r="H373" i="1"/>
  <c r="G373" i="1"/>
  <c r="F373" i="1"/>
  <c r="E373" i="1"/>
  <c r="D373" i="1"/>
  <c r="C373" i="1"/>
  <c r="B373" i="1"/>
  <c r="A373" i="1"/>
  <c r="O372" i="1"/>
  <c r="N372" i="1"/>
  <c r="M372" i="1"/>
  <c r="L372" i="1"/>
  <c r="I372" i="1"/>
  <c r="H372" i="1"/>
  <c r="G372" i="1"/>
  <c r="F372" i="1"/>
  <c r="E372" i="1"/>
  <c r="D372" i="1"/>
  <c r="C372" i="1"/>
  <c r="B372" i="1"/>
  <c r="A372" i="1"/>
  <c r="N371" i="1"/>
  <c r="M371" i="1"/>
  <c r="L371" i="1"/>
  <c r="K371" i="1"/>
  <c r="J371" i="1"/>
  <c r="H371" i="1"/>
  <c r="G371" i="1"/>
  <c r="F371" i="1"/>
  <c r="E371" i="1"/>
  <c r="D371" i="1"/>
  <c r="C371" i="1"/>
  <c r="B371" i="1"/>
  <c r="A371" i="1"/>
  <c r="N370" i="1"/>
  <c r="M370" i="1"/>
  <c r="L370" i="1"/>
  <c r="J370" i="1"/>
  <c r="H370" i="1"/>
  <c r="G370" i="1"/>
  <c r="F370" i="1"/>
  <c r="E370" i="1"/>
  <c r="D370" i="1"/>
  <c r="C370" i="1"/>
  <c r="B370" i="1"/>
  <c r="A370" i="1"/>
  <c r="O369" i="1"/>
  <c r="N369" i="1"/>
  <c r="M369" i="1"/>
  <c r="L369" i="1"/>
  <c r="J369" i="1"/>
  <c r="H369" i="1"/>
  <c r="G369" i="1"/>
  <c r="F369" i="1"/>
  <c r="E369" i="1"/>
  <c r="D369" i="1"/>
  <c r="C369" i="1"/>
  <c r="B369" i="1"/>
  <c r="A369" i="1"/>
  <c r="N368" i="1"/>
  <c r="M368" i="1"/>
  <c r="L368" i="1"/>
  <c r="J368" i="1"/>
  <c r="H368" i="1"/>
  <c r="G368" i="1"/>
  <c r="F368" i="1"/>
  <c r="E368" i="1"/>
  <c r="D368" i="1"/>
  <c r="C368" i="1"/>
  <c r="B368" i="1"/>
  <c r="A368" i="1"/>
  <c r="N367" i="1"/>
  <c r="M367" i="1"/>
  <c r="L367" i="1"/>
  <c r="J367" i="1"/>
  <c r="H367" i="1"/>
  <c r="G367" i="1"/>
  <c r="F367" i="1"/>
  <c r="E367" i="1"/>
  <c r="D367" i="1"/>
  <c r="C367" i="1"/>
  <c r="B367" i="1"/>
  <c r="A367" i="1"/>
  <c r="N366" i="1"/>
  <c r="M366" i="1"/>
  <c r="L366" i="1"/>
  <c r="J366" i="1"/>
  <c r="H366" i="1"/>
  <c r="G366" i="1"/>
  <c r="F366" i="1"/>
  <c r="E366" i="1"/>
  <c r="D366" i="1"/>
  <c r="C366" i="1"/>
  <c r="B366" i="1"/>
  <c r="A366" i="1"/>
  <c r="N365" i="1"/>
  <c r="M365" i="1"/>
  <c r="L365" i="1"/>
  <c r="J365" i="1"/>
  <c r="H365" i="1"/>
  <c r="G365" i="1"/>
  <c r="F365" i="1"/>
  <c r="E365" i="1"/>
  <c r="D365" i="1"/>
  <c r="C365" i="1"/>
  <c r="B365" i="1"/>
  <c r="A365" i="1"/>
  <c r="O364" i="1"/>
  <c r="N364" i="1"/>
  <c r="M364" i="1"/>
  <c r="L364" i="1"/>
  <c r="H364" i="1"/>
  <c r="G364" i="1"/>
  <c r="F364" i="1"/>
  <c r="E364" i="1"/>
  <c r="D364" i="1"/>
  <c r="C364" i="1"/>
  <c r="B364" i="1"/>
  <c r="A364" i="1"/>
  <c r="O363" i="1"/>
  <c r="N363" i="1"/>
  <c r="M363" i="1"/>
  <c r="L363" i="1"/>
  <c r="K363" i="1"/>
  <c r="J363" i="1"/>
  <c r="H363" i="1"/>
  <c r="G363" i="1"/>
  <c r="F363" i="1"/>
  <c r="E363" i="1"/>
  <c r="D363" i="1"/>
  <c r="C363" i="1"/>
  <c r="B363" i="1"/>
  <c r="A363" i="1"/>
  <c r="O362" i="1"/>
  <c r="N362" i="1"/>
  <c r="M362" i="1"/>
  <c r="L362" i="1"/>
  <c r="K362" i="1"/>
  <c r="J362" i="1"/>
  <c r="I362" i="1"/>
  <c r="H362" i="1"/>
  <c r="G362" i="1"/>
  <c r="F362" i="1"/>
  <c r="E362" i="1"/>
  <c r="D362" i="1"/>
  <c r="C362" i="1"/>
  <c r="B362" i="1"/>
  <c r="A362" i="1"/>
  <c r="N361" i="1"/>
  <c r="M361" i="1"/>
  <c r="L361" i="1"/>
  <c r="J361" i="1"/>
  <c r="H361" i="1"/>
  <c r="G361" i="1"/>
  <c r="F361" i="1"/>
  <c r="E361" i="1"/>
  <c r="D361" i="1"/>
  <c r="C361" i="1"/>
  <c r="B361" i="1"/>
  <c r="A361" i="1"/>
  <c r="N360" i="1"/>
  <c r="M360" i="1"/>
  <c r="L360" i="1"/>
  <c r="K360" i="1"/>
  <c r="J360" i="1"/>
  <c r="H360" i="1"/>
  <c r="G360" i="1"/>
  <c r="F360" i="1"/>
  <c r="E360" i="1"/>
  <c r="D360" i="1"/>
  <c r="C360" i="1"/>
  <c r="B360" i="1"/>
  <c r="A360" i="1"/>
  <c r="O359" i="1"/>
  <c r="N359" i="1"/>
  <c r="M359" i="1"/>
  <c r="L359" i="1"/>
  <c r="K359" i="1"/>
  <c r="J359" i="1"/>
  <c r="I359" i="1"/>
  <c r="H359" i="1"/>
  <c r="G359" i="1"/>
  <c r="E359" i="1"/>
  <c r="D359" i="1"/>
  <c r="C359" i="1"/>
  <c r="B359" i="1"/>
  <c r="A359" i="1"/>
  <c r="N358" i="1"/>
  <c r="M358" i="1"/>
  <c r="L358" i="1"/>
  <c r="K358" i="1"/>
  <c r="J358" i="1"/>
  <c r="I358" i="1"/>
  <c r="H358" i="1"/>
  <c r="G358" i="1"/>
  <c r="F358" i="1"/>
  <c r="E358" i="1"/>
  <c r="D358" i="1"/>
  <c r="C358" i="1"/>
  <c r="B358" i="1"/>
  <c r="A358" i="1"/>
  <c r="N357" i="1"/>
  <c r="M357" i="1"/>
  <c r="L357" i="1"/>
  <c r="J357" i="1"/>
  <c r="H357" i="1"/>
  <c r="G357" i="1"/>
  <c r="F357" i="1"/>
  <c r="E357" i="1"/>
  <c r="D357" i="1"/>
  <c r="C357" i="1"/>
  <c r="B357" i="1"/>
  <c r="A357" i="1"/>
  <c r="O356" i="1"/>
  <c r="N356" i="1"/>
  <c r="M356" i="1"/>
  <c r="L356" i="1"/>
  <c r="J356" i="1"/>
  <c r="H356" i="1"/>
  <c r="G356" i="1"/>
  <c r="F356" i="1"/>
  <c r="E356" i="1"/>
  <c r="D356" i="1"/>
  <c r="C356" i="1"/>
  <c r="B356" i="1"/>
  <c r="A356" i="1"/>
  <c r="N355" i="1"/>
  <c r="M355" i="1"/>
  <c r="L355" i="1"/>
  <c r="I355" i="1"/>
  <c r="H355" i="1"/>
  <c r="G355" i="1"/>
  <c r="E355" i="1"/>
  <c r="D355" i="1"/>
  <c r="C355" i="1"/>
  <c r="B355" i="1"/>
  <c r="A355" i="1"/>
  <c r="N354" i="1"/>
  <c r="M354" i="1"/>
  <c r="L354" i="1"/>
  <c r="K354" i="1"/>
  <c r="J354" i="1"/>
  <c r="H354" i="1"/>
  <c r="G354" i="1"/>
  <c r="E354" i="1"/>
  <c r="D354" i="1"/>
  <c r="C354" i="1"/>
  <c r="B354" i="1"/>
  <c r="A354" i="1"/>
  <c r="N353" i="1"/>
  <c r="M353" i="1"/>
  <c r="L353" i="1"/>
  <c r="K353" i="1"/>
  <c r="J353" i="1"/>
  <c r="I353" i="1"/>
  <c r="H353" i="1"/>
  <c r="G353" i="1"/>
  <c r="E353" i="1"/>
  <c r="D353" i="1"/>
  <c r="C353" i="1"/>
  <c r="B353" i="1"/>
  <c r="A353" i="1"/>
  <c r="N352" i="1"/>
  <c r="M352" i="1"/>
  <c r="L352" i="1"/>
  <c r="K352" i="1"/>
  <c r="J352" i="1"/>
  <c r="I352" i="1"/>
  <c r="H352" i="1"/>
  <c r="G352" i="1"/>
  <c r="E352" i="1"/>
  <c r="D352" i="1"/>
  <c r="C352" i="1"/>
  <c r="B352" i="1"/>
  <c r="A352" i="1"/>
  <c r="O351" i="1"/>
  <c r="N351" i="1"/>
  <c r="M351" i="1"/>
  <c r="L351" i="1"/>
  <c r="K351" i="1"/>
  <c r="J351" i="1"/>
  <c r="H351" i="1"/>
  <c r="G351" i="1"/>
  <c r="E351" i="1"/>
  <c r="D351" i="1"/>
  <c r="C351" i="1"/>
  <c r="B351" i="1"/>
  <c r="A351" i="1"/>
  <c r="O350" i="1"/>
  <c r="N350" i="1"/>
  <c r="L350" i="1"/>
  <c r="I350" i="1"/>
  <c r="H350" i="1"/>
  <c r="G350" i="1"/>
  <c r="E350" i="1"/>
  <c r="D350" i="1"/>
  <c r="B350" i="1"/>
  <c r="A350" i="1"/>
  <c r="O349" i="1"/>
  <c r="N349" i="1"/>
  <c r="M349" i="1"/>
  <c r="L349" i="1"/>
  <c r="K349" i="1"/>
  <c r="J349" i="1"/>
  <c r="I349" i="1"/>
  <c r="H349" i="1"/>
  <c r="G349" i="1"/>
  <c r="E349" i="1"/>
  <c r="D349" i="1"/>
  <c r="C349" i="1"/>
  <c r="B349" i="1"/>
  <c r="A349" i="1"/>
  <c r="N348" i="1"/>
  <c r="M348" i="1"/>
  <c r="L348" i="1"/>
  <c r="J348" i="1"/>
  <c r="I348" i="1"/>
  <c r="H348" i="1"/>
  <c r="G348" i="1"/>
  <c r="E348" i="1"/>
  <c r="D348" i="1"/>
  <c r="C348" i="1"/>
  <c r="B348" i="1"/>
  <c r="A348" i="1"/>
  <c r="O347" i="1"/>
  <c r="N347" i="1"/>
  <c r="M347" i="1"/>
  <c r="L347" i="1"/>
  <c r="J347" i="1"/>
  <c r="I347" i="1"/>
  <c r="H347" i="1"/>
  <c r="G347" i="1"/>
  <c r="E347" i="1"/>
  <c r="D347" i="1"/>
  <c r="C347" i="1"/>
  <c r="B347" i="1"/>
  <c r="A347" i="1"/>
  <c r="O346" i="1"/>
  <c r="N346" i="1"/>
  <c r="M346" i="1"/>
  <c r="L346" i="1"/>
  <c r="I346" i="1"/>
  <c r="H346" i="1"/>
  <c r="G346" i="1"/>
  <c r="E346" i="1"/>
  <c r="D346" i="1"/>
  <c r="C346" i="1"/>
  <c r="B346" i="1"/>
  <c r="A346" i="1"/>
  <c r="N345" i="1"/>
  <c r="M345" i="1"/>
  <c r="L345" i="1"/>
  <c r="K345" i="1"/>
  <c r="J345" i="1"/>
  <c r="I345" i="1"/>
  <c r="H345" i="1"/>
  <c r="G345" i="1"/>
  <c r="E345" i="1"/>
  <c r="D345" i="1"/>
  <c r="C345" i="1"/>
  <c r="B345" i="1"/>
  <c r="A345" i="1"/>
  <c r="O344" i="1"/>
  <c r="N344" i="1"/>
  <c r="M344" i="1"/>
  <c r="L344" i="1"/>
  <c r="I344" i="1"/>
  <c r="H344" i="1"/>
  <c r="G344" i="1"/>
  <c r="E344" i="1"/>
  <c r="D344" i="1"/>
  <c r="C344" i="1"/>
  <c r="B344" i="1"/>
  <c r="A344" i="1"/>
  <c r="O343" i="1"/>
  <c r="N343" i="1"/>
  <c r="M343" i="1"/>
  <c r="L343" i="1"/>
  <c r="H343" i="1"/>
  <c r="G343" i="1"/>
  <c r="E343" i="1"/>
  <c r="D343" i="1"/>
  <c r="C343" i="1"/>
  <c r="B343" i="1"/>
  <c r="A343" i="1"/>
  <c r="N342" i="1"/>
  <c r="M342" i="1"/>
  <c r="L342" i="1"/>
  <c r="K342" i="1"/>
  <c r="J342" i="1"/>
  <c r="I342" i="1"/>
  <c r="H342" i="1"/>
  <c r="G342" i="1"/>
  <c r="E342" i="1"/>
  <c r="D342" i="1"/>
  <c r="C342" i="1"/>
  <c r="B342" i="1"/>
  <c r="A342" i="1"/>
  <c r="N341" i="1"/>
  <c r="M341" i="1"/>
  <c r="L341" i="1"/>
  <c r="H341" i="1"/>
  <c r="G341" i="1"/>
  <c r="E341" i="1"/>
  <c r="D341" i="1"/>
  <c r="C341" i="1"/>
  <c r="B341" i="1"/>
  <c r="A341" i="1"/>
  <c r="N340" i="1"/>
  <c r="M340" i="1"/>
  <c r="L340" i="1"/>
  <c r="K340" i="1"/>
  <c r="J340" i="1"/>
  <c r="H340" i="1"/>
  <c r="G340" i="1"/>
  <c r="E340" i="1"/>
  <c r="D340" i="1"/>
  <c r="C340" i="1"/>
  <c r="B340" i="1"/>
  <c r="A340" i="1"/>
  <c r="N339" i="1"/>
  <c r="M339" i="1"/>
  <c r="L339" i="1"/>
  <c r="K339" i="1"/>
  <c r="J339" i="1"/>
  <c r="H339" i="1"/>
  <c r="G339" i="1"/>
  <c r="E339" i="1"/>
  <c r="D339" i="1"/>
  <c r="C339" i="1"/>
  <c r="B339" i="1"/>
  <c r="A339" i="1"/>
  <c r="O338" i="1"/>
  <c r="N338" i="1"/>
  <c r="M338" i="1"/>
  <c r="L338" i="1"/>
  <c r="K338" i="1"/>
  <c r="J338" i="1"/>
  <c r="I338" i="1"/>
  <c r="H338" i="1"/>
  <c r="G338" i="1"/>
  <c r="E338" i="1"/>
  <c r="D338" i="1"/>
  <c r="C338" i="1"/>
  <c r="B338" i="1"/>
  <c r="A338" i="1"/>
  <c r="N337" i="1"/>
  <c r="M337" i="1"/>
  <c r="L337" i="1"/>
  <c r="J337" i="1"/>
  <c r="H337" i="1"/>
  <c r="G337" i="1"/>
  <c r="F337" i="1"/>
  <c r="E337" i="1"/>
  <c r="D337" i="1"/>
  <c r="C337" i="1"/>
  <c r="B337" i="1"/>
  <c r="A337" i="1"/>
  <c r="O336" i="1"/>
  <c r="N336" i="1"/>
  <c r="M336" i="1"/>
  <c r="L336" i="1"/>
  <c r="J336" i="1"/>
  <c r="H336" i="1"/>
  <c r="G336" i="1"/>
  <c r="E336" i="1"/>
  <c r="D336" i="1"/>
  <c r="C336" i="1"/>
  <c r="B336" i="1"/>
  <c r="A336" i="1"/>
  <c r="N335" i="1"/>
  <c r="M335" i="1"/>
  <c r="L335" i="1"/>
  <c r="J335" i="1"/>
  <c r="H335" i="1"/>
  <c r="G335" i="1"/>
  <c r="F335" i="1"/>
  <c r="E335" i="1"/>
  <c r="D335" i="1"/>
  <c r="C335" i="1"/>
  <c r="B335" i="1"/>
  <c r="A335" i="1"/>
  <c r="N334" i="1"/>
  <c r="M334" i="1"/>
  <c r="L334" i="1"/>
  <c r="K334" i="1"/>
  <c r="J334" i="1"/>
  <c r="I334" i="1"/>
  <c r="H334" i="1"/>
  <c r="G334" i="1"/>
  <c r="E334" i="1"/>
  <c r="D334" i="1"/>
  <c r="C334" i="1"/>
  <c r="B334" i="1"/>
  <c r="A334" i="1"/>
  <c r="N333" i="1"/>
  <c r="M333" i="1"/>
  <c r="L333" i="1"/>
  <c r="K333" i="1"/>
  <c r="J333" i="1"/>
  <c r="I333" i="1"/>
  <c r="H333" i="1"/>
  <c r="G333" i="1"/>
  <c r="E333" i="1"/>
  <c r="D333" i="1"/>
  <c r="C333" i="1"/>
  <c r="B333" i="1"/>
  <c r="A333" i="1"/>
  <c r="N332" i="1"/>
  <c r="M332" i="1"/>
  <c r="L332" i="1"/>
  <c r="H332" i="1"/>
  <c r="G332" i="1"/>
  <c r="F332" i="1"/>
  <c r="E332" i="1"/>
  <c r="D332" i="1"/>
  <c r="C332" i="1"/>
  <c r="B332" i="1"/>
  <c r="A332" i="1"/>
  <c r="N331" i="1"/>
  <c r="M331" i="1"/>
  <c r="L331" i="1"/>
  <c r="H331" i="1"/>
  <c r="G331" i="1"/>
  <c r="E331" i="1"/>
  <c r="D331" i="1"/>
  <c r="C331" i="1"/>
  <c r="B331" i="1"/>
  <c r="A331" i="1"/>
  <c r="O330" i="1"/>
  <c r="N330" i="1"/>
  <c r="M330" i="1"/>
  <c r="L330" i="1"/>
  <c r="K330" i="1"/>
  <c r="J330" i="1"/>
  <c r="I330" i="1"/>
  <c r="H330" i="1"/>
  <c r="G330" i="1"/>
  <c r="E330" i="1"/>
  <c r="D330" i="1"/>
  <c r="C330" i="1"/>
  <c r="B330" i="1"/>
  <c r="A330" i="1"/>
  <c r="O329" i="1"/>
  <c r="N329" i="1"/>
  <c r="M329" i="1"/>
  <c r="L329" i="1"/>
  <c r="K329" i="1"/>
  <c r="J329" i="1"/>
  <c r="I329" i="1"/>
  <c r="H329" i="1"/>
  <c r="G329" i="1"/>
  <c r="E329" i="1"/>
  <c r="D329" i="1"/>
  <c r="C329" i="1"/>
  <c r="B329" i="1"/>
  <c r="A329" i="1"/>
  <c r="N328" i="1"/>
  <c r="M328" i="1"/>
  <c r="L328" i="1"/>
  <c r="K328" i="1"/>
  <c r="J328" i="1"/>
  <c r="H328" i="1"/>
  <c r="G328" i="1"/>
  <c r="E328" i="1"/>
  <c r="D328" i="1"/>
  <c r="C328" i="1"/>
  <c r="B328" i="1"/>
  <c r="A328" i="1"/>
  <c r="N327" i="1"/>
  <c r="M327" i="1"/>
  <c r="L327" i="1"/>
  <c r="J327" i="1"/>
  <c r="H327" i="1"/>
  <c r="G327" i="1"/>
  <c r="F327" i="1"/>
  <c r="E327" i="1"/>
  <c r="D327" i="1"/>
  <c r="C327" i="1"/>
  <c r="B327" i="1"/>
  <c r="A327" i="1"/>
  <c r="N326" i="1"/>
  <c r="M326" i="1"/>
  <c r="L326" i="1"/>
  <c r="K326" i="1"/>
  <c r="J326" i="1"/>
  <c r="H326" i="1"/>
  <c r="G326" i="1"/>
  <c r="F326" i="1"/>
  <c r="E326" i="1"/>
  <c r="D326" i="1"/>
  <c r="C326" i="1"/>
  <c r="B326" i="1"/>
  <c r="A326" i="1"/>
  <c r="N325" i="1"/>
  <c r="M325" i="1"/>
  <c r="L325" i="1"/>
  <c r="K325" i="1"/>
  <c r="J325" i="1"/>
  <c r="H325" i="1"/>
  <c r="G325" i="1"/>
  <c r="F325" i="1"/>
  <c r="E325" i="1"/>
  <c r="D325" i="1"/>
  <c r="C325" i="1"/>
  <c r="B325" i="1"/>
  <c r="A325" i="1"/>
  <c r="N324" i="1"/>
  <c r="M324" i="1"/>
  <c r="L324" i="1"/>
  <c r="K324" i="1"/>
  <c r="J324" i="1"/>
  <c r="I324" i="1"/>
  <c r="H324" i="1"/>
  <c r="G324" i="1"/>
  <c r="E324" i="1"/>
  <c r="D324" i="1"/>
  <c r="C324" i="1"/>
  <c r="B324" i="1"/>
  <c r="A324" i="1"/>
  <c r="N323" i="1"/>
  <c r="M323" i="1"/>
  <c r="L323" i="1"/>
  <c r="K323" i="1"/>
  <c r="J323" i="1"/>
  <c r="H323" i="1"/>
  <c r="G323" i="1"/>
  <c r="F323" i="1"/>
  <c r="E323" i="1"/>
  <c r="D323" i="1"/>
  <c r="C323" i="1"/>
  <c r="B323" i="1"/>
  <c r="A323" i="1"/>
  <c r="N322" i="1"/>
  <c r="M322" i="1"/>
  <c r="L322" i="1"/>
  <c r="K322" i="1"/>
  <c r="J322" i="1"/>
  <c r="H322" i="1"/>
  <c r="G322" i="1"/>
  <c r="F322" i="1"/>
  <c r="E322" i="1"/>
  <c r="D322" i="1"/>
  <c r="C322" i="1"/>
  <c r="B322" i="1"/>
  <c r="A322" i="1"/>
  <c r="N321" i="1"/>
  <c r="M321" i="1"/>
  <c r="L321" i="1"/>
  <c r="K321" i="1"/>
  <c r="J321" i="1"/>
  <c r="H321" i="1"/>
  <c r="G321" i="1"/>
  <c r="F321" i="1"/>
  <c r="E321" i="1"/>
  <c r="D321" i="1"/>
  <c r="C321" i="1"/>
  <c r="B321" i="1"/>
  <c r="A321" i="1"/>
  <c r="N320" i="1"/>
  <c r="M320" i="1"/>
  <c r="L320" i="1"/>
  <c r="H320" i="1"/>
  <c r="G320" i="1"/>
  <c r="E320" i="1"/>
  <c r="D320" i="1"/>
  <c r="C320" i="1"/>
  <c r="B320" i="1"/>
  <c r="A320" i="1"/>
  <c r="N319" i="1"/>
  <c r="M319" i="1"/>
  <c r="L319" i="1"/>
  <c r="K319" i="1"/>
  <c r="J319" i="1"/>
  <c r="H319" i="1"/>
  <c r="G319" i="1"/>
  <c r="F319" i="1"/>
  <c r="E319" i="1"/>
  <c r="D319" i="1"/>
  <c r="C319" i="1"/>
  <c r="B319" i="1"/>
  <c r="A319" i="1"/>
  <c r="N318" i="1"/>
  <c r="M318" i="1"/>
  <c r="L318" i="1"/>
  <c r="H318" i="1"/>
  <c r="G318" i="1"/>
  <c r="F318" i="1"/>
  <c r="E318" i="1"/>
  <c r="D318" i="1"/>
  <c r="C318" i="1"/>
  <c r="B318" i="1"/>
  <c r="A318" i="1"/>
  <c r="N317" i="1"/>
  <c r="M317" i="1"/>
  <c r="L317" i="1"/>
  <c r="H317" i="1"/>
  <c r="G317" i="1"/>
  <c r="E317" i="1"/>
  <c r="D317" i="1"/>
  <c r="C317" i="1"/>
  <c r="B317" i="1"/>
  <c r="A317" i="1"/>
  <c r="N316" i="1"/>
  <c r="M316" i="1"/>
  <c r="L316" i="1"/>
  <c r="K316" i="1"/>
  <c r="J316" i="1"/>
  <c r="I316" i="1"/>
  <c r="H316" i="1"/>
  <c r="G316" i="1"/>
  <c r="E316" i="1"/>
  <c r="D316" i="1"/>
  <c r="C316" i="1"/>
  <c r="A316" i="1"/>
  <c r="N315" i="1"/>
  <c r="M315" i="1"/>
  <c r="L315" i="1"/>
  <c r="K315" i="1"/>
  <c r="J315" i="1"/>
  <c r="I315" i="1"/>
  <c r="H315" i="1"/>
  <c r="G315" i="1"/>
  <c r="E315" i="1"/>
  <c r="D315" i="1"/>
  <c r="C315" i="1"/>
  <c r="B315" i="1"/>
  <c r="A315" i="1"/>
  <c r="O314" i="1"/>
  <c r="N314" i="1"/>
  <c r="L314" i="1"/>
  <c r="H314" i="1"/>
  <c r="G314" i="1"/>
  <c r="E314" i="1"/>
  <c r="D314" i="1"/>
  <c r="B314" i="1"/>
  <c r="A314" i="1"/>
  <c r="O313" i="1"/>
  <c r="N313" i="1"/>
  <c r="M313" i="1"/>
  <c r="L313" i="1"/>
  <c r="J313" i="1"/>
  <c r="I313" i="1"/>
  <c r="H313" i="1"/>
  <c r="G313" i="1"/>
  <c r="E313" i="1"/>
  <c r="D313" i="1"/>
  <c r="C313" i="1"/>
  <c r="B313" i="1"/>
  <c r="A313" i="1"/>
  <c r="N312" i="1"/>
  <c r="M312" i="1"/>
  <c r="L312" i="1"/>
  <c r="K312" i="1"/>
  <c r="J312" i="1"/>
  <c r="H312" i="1"/>
  <c r="G312" i="1"/>
  <c r="E312" i="1"/>
  <c r="D312" i="1"/>
  <c r="C312" i="1"/>
  <c r="B312" i="1"/>
  <c r="A312" i="1"/>
  <c r="N311" i="1"/>
  <c r="M311" i="1"/>
  <c r="L311" i="1"/>
  <c r="H311" i="1"/>
  <c r="G311" i="1"/>
  <c r="E311" i="1"/>
  <c r="D311" i="1"/>
  <c r="C311" i="1"/>
  <c r="B311" i="1"/>
  <c r="A311" i="1"/>
  <c r="N310" i="1"/>
  <c r="M310" i="1"/>
  <c r="L310" i="1"/>
  <c r="K310" i="1"/>
  <c r="J310" i="1"/>
  <c r="H310" i="1"/>
  <c r="G310" i="1"/>
  <c r="E310" i="1"/>
  <c r="D310" i="1"/>
  <c r="C310" i="1"/>
  <c r="B310" i="1"/>
  <c r="A310" i="1"/>
  <c r="O309" i="1"/>
  <c r="N309" i="1"/>
  <c r="M309" i="1"/>
  <c r="L309" i="1"/>
  <c r="H309" i="1"/>
  <c r="G309" i="1"/>
  <c r="E309" i="1"/>
  <c r="D309" i="1"/>
  <c r="C309" i="1"/>
  <c r="B309" i="1"/>
  <c r="A309" i="1"/>
  <c r="N308" i="1"/>
  <c r="M308" i="1"/>
  <c r="L308" i="1"/>
  <c r="K308" i="1"/>
  <c r="J308" i="1"/>
  <c r="H308" i="1"/>
  <c r="G308" i="1"/>
  <c r="E308" i="1"/>
  <c r="D308" i="1"/>
  <c r="C308" i="1"/>
  <c r="B308" i="1"/>
  <c r="A308" i="1"/>
  <c r="N307" i="1"/>
  <c r="M307" i="1"/>
  <c r="L307" i="1"/>
  <c r="K307" i="1"/>
  <c r="J307" i="1"/>
  <c r="H307" i="1"/>
  <c r="G307" i="1"/>
  <c r="E307" i="1"/>
  <c r="D307" i="1"/>
  <c r="C307" i="1"/>
  <c r="B307" i="1"/>
  <c r="A307" i="1"/>
  <c r="N306" i="1"/>
  <c r="M306" i="1"/>
  <c r="L306" i="1"/>
  <c r="K306" i="1"/>
  <c r="J306" i="1"/>
  <c r="H306" i="1"/>
  <c r="G306" i="1"/>
  <c r="E306" i="1"/>
  <c r="D306" i="1"/>
  <c r="C306" i="1"/>
  <c r="B306" i="1"/>
  <c r="A306" i="1"/>
  <c r="N305" i="1"/>
  <c r="M305" i="1"/>
  <c r="L305" i="1"/>
  <c r="J305" i="1"/>
  <c r="I305" i="1"/>
  <c r="H305" i="1"/>
  <c r="G305" i="1"/>
  <c r="F305" i="1"/>
  <c r="E305" i="1"/>
  <c r="D305" i="1"/>
  <c r="C305" i="1"/>
  <c r="B305" i="1"/>
  <c r="A305" i="1"/>
  <c r="N304" i="1"/>
  <c r="M304" i="1"/>
  <c r="L304" i="1"/>
  <c r="K304" i="1"/>
  <c r="J304" i="1"/>
  <c r="H304" i="1"/>
  <c r="G304" i="1"/>
  <c r="E304" i="1"/>
  <c r="D304" i="1"/>
  <c r="C304" i="1"/>
  <c r="B304" i="1"/>
  <c r="A304" i="1"/>
  <c r="N303" i="1"/>
  <c r="M303" i="1"/>
  <c r="L303" i="1"/>
  <c r="K303" i="1"/>
  <c r="J303" i="1"/>
  <c r="I303" i="1"/>
  <c r="H303" i="1"/>
  <c r="G303" i="1"/>
  <c r="E303" i="1"/>
  <c r="D303" i="1"/>
  <c r="C303" i="1"/>
  <c r="B303" i="1"/>
  <c r="A303" i="1"/>
  <c r="N302" i="1"/>
  <c r="M302" i="1"/>
  <c r="L302" i="1"/>
  <c r="K302" i="1"/>
  <c r="J302" i="1"/>
  <c r="H302" i="1"/>
  <c r="G302" i="1"/>
  <c r="E302" i="1"/>
  <c r="D302" i="1"/>
  <c r="C302" i="1"/>
  <c r="B302" i="1"/>
  <c r="A302" i="1"/>
  <c r="N301" i="1"/>
  <c r="M301" i="1"/>
  <c r="L301" i="1"/>
  <c r="K301" i="1"/>
  <c r="J301" i="1"/>
  <c r="H301" i="1"/>
  <c r="G301" i="1"/>
  <c r="E301" i="1"/>
  <c r="D301" i="1"/>
  <c r="C301" i="1"/>
  <c r="B301" i="1"/>
  <c r="A301" i="1"/>
  <c r="N300" i="1"/>
  <c r="M300" i="1"/>
  <c r="L300" i="1"/>
  <c r="K300" i="1"/>
  <c r="J300" i="1"/>
  <c r="H300" i="1"/>
  <c r="G300" i="1"/>
  <c r="E300" i="1"/>
  <c r="D300" i="1"/>
  <c r="C300" i="1"/>
  <c r="B300" i="1"/>
  <c r="A300" i="1"/>
  <c r="N299" i="1"/>
  <c r="M299" i="1"/>
  <c r="L299" i="1"/>
  <c r="K299" i="1"/>
  <c r="J299" i="1"/>
  <c r="H299" i="1"/>
  <c r="G299" i="1"/>
  <c r="E299" i="1"/>
  <c r="D299" i="1"/>
  <c r="C299" i="1"/>
  <c r="B299" i="1"/>
  <c r="A299" i="1"/>
  <c r="N298" i="1"/>
  <c r="M298" i="1"/>
  <c r="L298" i="1"/>
  <c r="J298" i="1"/>
  <c r="H298" i="1"/>
  <c r="G298" i="1"/>
  <c r="E298" i="1"/>
  <c r="D298" i="1"/>
  <c r="C298" i="1"/>
  <c r="B298" i="1"/>
  <c r="A298" i="1"/>
  <c r="N297" i="1"/>
  <c r="M297" i="1"/>
  <c r="L297" i="1"/>
  <c r="K297" i="1"/>
  <c r="J297" i="1"/>
  <c r="H297" i="1"/>
  <c r="G297" i="1"/>
  <c r="E297" i="1"/>
  <c r="D297" i="1"/>
  <c r="C297" i="1"/>
  <c r="B297" i="1"/>
  <c r="A297" i="1"/>
  <c r="N296" i="1"/>
  <c r="M296" i="1"/>
  <c r="L296" i="1"/>
  <c r="H296" i="1"/>
  <c r="G296" i="1"/>
  <c r="E296" i="1"/>
  <c r="D296" i="1"/>
  <c r="A296" i="1"/>
  <c r="N295" i="1"/>
  <c r="M295" i="1"/>
  <c r="L295" i="1"/>
  <c r="K295" i="1"/>
  <c r="J295" i="1"/>
  <c r="H295" i="1"/>
  <c r="G295" i="1"/>
  <c r="E295" i="1"/>
  <c r="D295" i="1"/>
  <c r="C295" i="1"/>
  <c r="B295" i="1"/>
  <c r="A295" i="1"/>
  <c r="N294" i="1"/>
  <c r="M294" i="1"/>
  <c r="L294" i="1"/>
  <c r="K294" i="1"/>
  <c r="J294" i="1"/>
  <c r="I294" i="1"/>
  <c r="H294" i="1"/>
  <c r="G294" i="1"/>
  <c r="E294" i="1"/>
  <c r="D294" i="1"/>
  <c r="C294" i="1"/>
  <c r="B294" i="1"/>
  <c r="A294" i="1"/>
  <c r="N293" i="1"/>
  <c r="M293" i="1"/>
  <c r="L293" i="1"/>
  <c r="K293" i="1"/>
  <c r="J293" i="1"/>
  <c r="H293" i="1"/>
  <c r="G293" i="1"/>
  <c r="E293" i="1"/>
  <c r="D293" i="1"/>
  <c r="C293" i="1"/>
  <c r="B293" i="1"/>
  <c r="A293" i="1"/>
  <c r="N292" i="1"/>
  <c r="M292" i="1"/>
  <c r="L292" i="1"/>
  <c r="K292" i="1"/>
  <c r="J292" i="1"/>
  <c r="H292" i="1"/>
  <c r="G292" i="1"/>
  <c r="E292" i="1"/>
  <c r="D292" i="1"/>
  <c r="C292" i="1"/>
  <c r="B292" i="1"/>
  <c r="A292" i="1"/>
  <c r="N291" i="1"/>
  <c r="M291" i="1"/>
  <c r="L291" i="1"/>
  <c r="K291" i="1"/>
  <c r="J291" i="1"/>
  <c r="H291" i="1"/>
  <c r="G291" i="1"/>
  <c r="E291" i="1"/>
  <c r="D291" i="1"/>
  <c r="C291" i="1"/>
  <c r="B291" i="1"/>
  <c r="A291" i="1"/>
  <c r="N290" i="1"/>
  <c r="M290" i="1"/>
  <c r="L290" i="1"/>
  <c r="K290" i="1"/>
  <c r="J290" i="1"/>
  <c r="H290" i="1"/>
  <c r="G290" i="1"/>
  <c r="E290" i="1"/>
  <c r="D290" i="1"/>
  <c r="C290" i="1"/>
  <c r="B290" i="1"/>
  <c r="A290" i="1"/>
  <c r="N289" i="1"/>
  <c r="M289" i="1"/>
  <c r="L289" i="1"/>
  <c r="K289" i="1"/>
  <c r="J289" i="1"/>
  <c r="H289" i="1"/>
  <c r="G289" i="1"/>
  <c r="E289" i="1"/>
  <c r="D289" i="1"/>
  <c r="C289" i="1"/>
  <c r="B289" i="1"/>
  <c r="A289" i="1"/>
  <c r="N288" i="1"/>
  <c r="M288" i="1"/>
  <c r="L288" i="1"/>
  <c r="K288" i="1"/>
  <c r="J288" i="1"/>
  <c r="H288" i="1"/>
  <c r="G288" i="1"/>
  <c r="E288" i="1"/>
  <c r="D288" i="1"/>
  <c r="C288" i="1"/>
  <c r="B288" i="1"/>
  <c r="A288" i="1"/>
  <c r="N287" i="1"/>
  <c r="M287" i="1"/>
  <c r="L287" i="1"/>
  <c r="K287" i="1"/>
  <c r="J287" i="1"/>
  <c r="I287" i="1"/>
  <c r="H287" i="1"/>
  <c r="G287" i="1"/>
  <c r="E287" i="1"/>
  <c r="D287" i="1"/>
  <c r="C287" i="1"/>
  <c r="B287" i="1"/>
  <c r="A287" i="1"/>
  <c r="N286" i="1"/>
  <c r="M286" i="1"/>
  <c r="L286" i="1"/>
  <c r="K286" i="1"/>
  <c r="J286" i="1"/>
  <c r="H286" i="1"/>
  <c r="G286" i="1"/>
  <c r="E286" i="1"/>
  <c r="D286" i="1"/>
  <c r="C286" i="1"/>
  <c r="B286" i="1"/>
  <c r="A286" i="1"/>
  <c r="N285" i="1"/>
  <c r="M285" i="1"/>
  <c r="L285" i="1"/>
  <c r="H285" i="1"/>
  <c r="G285" i="1"/>
  <c r="E285" i="1"/>
  <c r="D285" i="1"/>
  <c r="C285" i="1"/>
  <c r="B285" i="1"/>
  <c r="A285" i="1"/>
  <c r="N284" i="1"/>
  <c r="M284" i="1"/>
  <c r="L284" i="1"/>
  <c r="H284" i="1"/>
  <c r="G284" i="1"/>
  <c r="E284" i="1"/>
  <c r="D284" i="1"/>
  <c r="C284" i="1"/>
  <c r="B284" i="1"/>
  <c r="A284" i="1"/>
  <c r="N283" i="1"/>
  <c r="M283" i="1"/>
  <c r="L283" i="1"/>
  <c r="J283" i="1"/>
  <c r="I283" i="1"/>
  <c r="H283" i="1"/>
  <c r="G283" i="1"/>
  <c r="E283" i="1"/>
  <c r="D283" i="1"/>
  <c r="C283" i="1"/>
  <c r="A283" i="1"/>
  <c r="N282" i="1"/>
  <c r="M282" i="1"/>
  <c r="L282" i="1"/>
  <c r="K282" i="1"/>
  <c r="J282" i="1"/>
  <c r="H282" i="1"/>
  <c r="G282" i="1"/>
  <c r="E282" i="1"/>
  <c r="D282" i="1"/>
  <c r="C282" i="1"/>
  <c r="B282" i="1"/>
  <c r="A282" i="1"/>
  <c r="N281" i="1"/>
  <c r="M281" i="1"/>
  <c r="L281" i="1"/>
  <c r="K281" i="1"/>
  <c r="J281" i="1"/>
  <c r="H281" i="1"/>
  <c r="G281" i="1"/>
  <c r="E281" i="1"/>
  <c r="D281" i="1"/>
  <c r="C281" i="1"/>
  <c r="A281" i="1"/>
  <c r="O280" i="1"/>
  <c r="N280" i="1"/>
  <c r="L280" i="1"/>
  <c r="H280" i="1"/>
  <c r="G280" i="1"/>
  <c r="E280" i="1"/>
  <c r="D280" i="1"/>
  <c r="B280" i="1"/>
  <c r="A280" i="1"/>
  <c r="N279" i="1"/>
  <c r="M279" i="1"/>
  <c r="L279" i="1"/>
  <c r="K279" i="1"/>
  <c r="J279" i="1"/>
  <c r="H279" i="1"/>
  <c r="G279" i="1"/>
  <c r="E279" i="1"/>
  <c r="D279" i="1"/>
  <c r="C279" i="1"/>
  <c r="B279" i="1"/>
  <c r="A279" i="1"/>
  <c r="N278" i="1"/>
  <c r="M278" i="1"/>
  <c r="L278" i="1"/>
  <c r="K278" i="1"/>
  <c r="J278" i="1"/>
  <c r="H278" i="1"/>
  <c r="G278" i="1"/>
  <c r="E278" i="1"/>
  <c r="D278" i="1"/>
  <c r="C278" i="1"/>
  <c r="B278" i="1"/>
  <c r="A278" i="1"/>
  <c r="N277" i="1"/>
  <c r="M277" i="1"/>
  <c r="L277" i="1"/>
  <c r="J277" i="1"/>
  <c r="I277" i="1"/>
  <c r="H277" i="1"/>
  <c r="G277" i="1"/>
  <c r="E277" i="1"/>
  <c r="D277" i="1"/>
  <c r="C277" i="1"/>
  <c r="A277" i="1"/>
  <c r="N276" i="1"/>
  <c r="M276" i="1"/>
  <c r="L276" i="1"/>
  <c r="K276" i="1"/>
  <c r="J276" i="1"/>
  <c r="H276" i="1"/>
  <c r="G276" i="1"/>
  <c r="F276" i="1"/>
  <c r="E276" i="1"/>
  <c r="D276" i="1"/>
  <c r="C276" i="1"/>
  <c r="B276" i="1"/>
  <c r="A276" i="1"/>
  <c r="N275" i="1"/>
  <c r="M275" i="1"/>
  <c r="L275" i="1"/>
  <c r="K275" i="1"/>
  <c r="J275" i="1"/>
  <c r="H275" i="1"/>
  <c r="G275" i="1"/>
  <c r="E275" i="1"/>
  <c r="D275" i="1"/>
  <c r="C275" i="1"/>
  <c r="B275" i="1"/>
  <c r="A275" i="1"/>
  <c r="N274" i="1"/>
  <c r="M274" i="1"/>
  <c r="L274" i="1"/>
  <c r="K274" i="1"/>
  <c r="J274" i="1"/>
  <c r="I274" i="1"/>
  <c r="H274" i="1"/>
  <c r="G274" i="1"/>
  <c r="E274" i="1"/>
  <c r="D274" i="1"/>
  <c r="C274" i="1"/>
  <c r="B274" i="1"/>
  <c r="A274" i="1"/>
  <c r="N273" i="1"/>
  <c r="M273" i="1"/>
  <c r="L273" i="1"/>
  <c r="K273" i="1"/>
  <c r="J273" i="1"/>
  <c r="H273" i="1"/>
  <c r="G273" i="1"/>
  <c r="F273" i="1"/>
  <c r="E273" i="1"/>
  <c r="D273" i="1"/>
  <c r="C273" i="1"/>
  <c r="B273" i="1"/>
  <c r="A273" i="1"/>
  <c r="N272" i="1"/>
  <c r="M272" i="1"/>
  <c r="L272" i="1"/>
  <c r="K272" i="1"/>
  <c r="J272" i="1"/>
  <c r="H272" i="1"/>
  <c r="G272" i="1"/>
  <c r="E272" i="1"/>
  <c r="D272" i="1"/>
  <c r="C272" i="1"/>
  <c r="B272" i="1"/>
  <c r="A272" i="1"/>
  <c r="N271" i="1"/>
  <c r="M271" i="1"/>
  <c r="L271" i="1"/>
  <c r="K271" i="1"/>
  <c r="J271" i="1"/>
  <c r="I271" i="1"/>
  <c r="H271" i="1"/>
  <c r="G271" i="1"/>
  <c r="E271" i="1"/>
  <c r="D271" i="1"/>
  <c r="C271" i="1"/>
  <c r="B271" i="1"/>
  <c r="A271" i="1"/>
  <c r="N270" i="1"/>
  <c r="M270" i="1"/>
  <c r="L270" i="1"/>
  <c r="K270" i="1"/>
  <c r="J270" i="1"/>
  <c r="H270" i="1"/>
  <c r="G270" i="1"/>
  <c r="E270" i="1"/>
  <c r="D270" i="1"/>
  <c r="C270" i="1"/>
  <c r="B270" i="1"/>
  <c r="A270" i="1"/>
  <c r="N269" i="1"/>
  <c r="M269" i="1"/>
  <c r="L269" i="1"/>
  <c r="K269" i="1"/>
  <c r="J269" i="1"/>
  <c r="I269" i="1"/>
  <c r="H269" i="1"/>
  <c r="G269" i="1"/>
  <c r="E269" i="1"/>
  <c r="D269" i="1"/>
  <c r="C269" i="1"/>
  <c r="B269" i="1"/>
  <c r="A269" i="1"/>
  <c r="N268" i="1"/>
  <c r="M268" i="1"/>
  <c r="L268" i="1"/>
  <c r="K268" i="1"/>
  <c r="J268" i="1"/>
  <c r="I268" i="1"/>
  <c r="H268" i="1"/>
  <c r="G268" i="1"/>
  <c r="E268" i="1"/>
  <c r="D268" i="1"/>
  <c r="C268" i="1"/>
  <c r="B268" i="1"/>
  <c r="A268" i="1"/>
  <c r="N267" i="1"/>
  <c r="M267" i="1"/>
  <c r="L267" i="1"/>
  <c r="K267" i="1"/>
  <c r="J267" i="1"/>
  <c r="H267" i="1"/>
  <c r="G267" i="1"/>
  <c r="E267" i="1"/>
  <c r="D267" i="1"/>
  <c r="C267" i="1"/>
  <c r="B267" i="1"/>
  <c r="A267" i="1"/>
  <c r="N266" i="1"/>
  <c r="M266" i="1"/>
  <c r="L266" i="1"/>
  <c r="K266" i="1"/>
  <c r="J266" i="1"/>
  <c r="H266" i="1"/>
  <c r="G266" i="1"/>
  <c r="E266" i="1"/>
  <c r="D266" i="1"/>
  <c r="C266" i="1"/>
  <c r="B266" i="1"/>
  <c r="A266" i="1"/>
  <c r="N265" i="1"/>
  <c r="M265" i="1"/>
  <c r="L265" i="1"/>
  <c r="K265" i="1"/>
  <c r="J265" i="1"/>
  <c r="H265" i="1"/>
  <c r="G265" i="1"/>
  <c r="E265" i="1"/>
  <c r="D265" i="1"/>
  <c r="C265" i="1"/>
  <c r="B265" i="1"/>
  <c r="A265" i="1"/>
  <c r="N264" i="1"/>
  <c r="M264" i="1"/>
  <c r="L264" i="1"/>
  <c r="H264" i="1"/>
  <c r="G264" i="1"/>
  <c r="E264" i="1"/>
  <c r="D264" i="1"/>
  <c r="C264" i="1"/>
  <c r="B264" i="1"/>
  <c r="A264" i="1"/>
  <c r="N263" i="1"/>
  <c r="M263" i="1"/>
  <c r="L263" i="1"/>
  <c r="K263" i="1"/>
  <c r="J263" i="1"/>
  <c r="H263" i="1"/>
  <c r="G263" i="1"/>
  <c r="E263" i="1"/>
  <c r="D263" i="1"/>
  <c r="C263" i="1"/>
  <c r="B263" i="1"/>
  <c r="A263" i="1"/>
  <c r="N262" i="1"/>
  <c r="M262" i="1"/>
  <c r="L262" i="1"/>
  <c r="J262" i="1"/>
  <c r="I262" i="1"/>
  <c r="H262" i="1"/>
  <c r="G262" i="1"/>
  <c r="E262" i="1"/>
  <c r="D262" i="1"/>
  <c r="C262" i="1"/>
  <c r="B262" i="1"/>
  <c r="A262" i="1"/>
  <c r="N261" i="1"/>
  <c r="M261" i="1"/>
  <c r="L261" i="1"/>
  <c r="I261" i="1"/>
  <c r="H261" i="1"/>
  <c r="G261" i="1"/>
  <c r="E261" i="1"/>
  <c r="D261" i="1"/>
  <c r="C261" i="1"/>
  <c r="B261" i="1"/>
  <c r="A261" i="1"/>
  <c r="N260" i="1"/>
  <c r="M260" i="1"/>
  <c r="L260" i="1"/>
  <c r="H260" i="1"/>
  <c r="G260" i="1"/>
  <c r="E260" i="1"/>
  <c r="D260" i="1"/>
  <c r="C260" i="1"/>
  <c r="B260" i="1"/>
  <c r="A260" i="1"/>
  <c r="N259" i="1"/>
  <c r="M259" i="1"/>
  <c r="L259" i="1"/>
  <c r="H259" i="1"/>
  <c r="G259" i="1"/>
  <c r="E259" i="1"/>
  <c r="D259" i="1"/>
  <c r="C259" i="1"/>
  <c r="B259" i="1"/>
  <c r="A259" i="1"/>
  <c r="N258" i="1"/>
  <c r="M258" i="1"/>
  <c r="L258" i="1"/>
  <c r="K258" i="1"/>
  <c r="J258" i="1"/>
  <c r="H258" i="1"/>
  <c r="G258" i="1"/>
  <c r="E258" i="1"/>
  <c r="D258" i="1"/>
  <c r="C258" i="1"/>
  <c r="B258" i="1"/>
  <c r="A258" i="1"/>
  <c r="N257" i="1"/>
  <c r="M257" i="1"/>
  <c r="L257" i="1"/>
  <c r="K257" i="1"/>
  <c r="J257" i="1"/>
  <c r="I257" i="1"/>
  <c r="H257" i="1"/>
  <c r="G257" i="1"/>
  <c r="E257" i="1"/>
  <c r="D257" i="1"/>
  <c r="C257" i="1"/>
  <c r="B257" i="1"/>
  <c r="A257" i="1"/>
  <c r="N256" i="1"/>
  <c r="M256" i="1"/>
  <c r="L256" i="1"/>
  <c r="K256" i="1"/>
  <c r="J256" i="1"/>
  <c r="H256" i="1"/>
  <c r="G256" i="1"/>
  <c r="E256" i="1"/>
  <c r="D256" i="1"/>
  <c r="C256" i="1"/>
  <c r="B256" i="1"/>
  <c r="A256" i="1"/>
  <c r="N255" i="1"/>
  <c r="M255" i="1"/>
  <c r="L255" i="1"/>
  <c r="K255" i="1"/>
  <c r="J255" i="1"/>
  <c r="H255" i="1"/>
  <c r="G255" i="1"/>
  <c r="E255" i="1"/>
  <c r="D255" i="1"/>
  <c r="C255" i="1"/>
  <c r="B255" i="1"/>
  <c r="A255" i="1"/>
  <c r="N254" i="1"/>
  <c r="M254" i="1"/>
  <c r="L254" i="1"/>
  <c r="K254" i="1"/>
  <c r="J254" i="1"/>
  <c r="H254" i="1"/>
  <c r="G254" i="1"/>
  <c r="E254" i="1"/>
  <c r="D254" i="1"/>
  <c r="C254" i="1"/>
  <c r="B254" i="1"/>
  <c r="A254" i="1"/>
  <c r="N253" i="1"/>
  <c r="M253" i="1"/>
  <c r="L253" i="1"/>
  <c r="K253" i="1"/>
  <c r="J253" i="1"/>
  <c r="H253" i="1"/>
  <c r="G253" i="1"/>
  <c r="E253" i="1"/>
  <c r="D253" i="1"/>
  <c r="C253" i="1"/>
  <c r="B253" i="1"/>
  <c r="A253" i="1"/>
  <c r="N252" i="1"/>
  <c r="M252" i="1"/>
  <c r="L252" i="1"/>
  <c r="K252" i="1"/>
  <c r="J252" i="1"/>
  <c r="H252" i="1"/>
  <c r="G252" i="1"/>
  <c r="E252" i="1"/>
  <c r="D252" i="1"/>
  <c r="C252" i="1"/>
  <c r="B252" i="1"/>
  <c r="A252" i="1"/>
  <c r="N251" i="1"/>
  <c r="M251" i="1"/>
  <c r="L251" i="1"/>
  <c r="H251" i="1"/>
  <c r="G251" i="1"/>
  <c r="E251" i="1"/>
  <c r="D251" i="1"/>
  <c r="C251" i="1"/>
  <c r="B251" i="1"/>
  <c r="A251" i="1"/>
  <c r="N250" i="1"/>
  <c r="M250" i="1"/>
  <c r="L250" i="1"/>
  <c r="K250" i="1"/>
  <c r="J250" i="1"/>
  <c r="I250" i="1"/>
  <c r="H250" i="1"/>
  <c r="G250" i="1"/>
  <c r="E250" i="1"/>
  <c r="D250" i="1"/>
  <c r="C250" i="1"/>
  <c r="B250" i="1"/>
  <c r="A250" i="1"/>
  <c r="N249" i="1"/>
  <c r="M249" i="1"/>
  <c r="L249" i="1"/>
  <c r="K249" i="1"/>
  <c r="J249" i="1"/>
  <c r="H249" i="1"/>
  <c r="G249" i="1"/>
  <c r="E249" i="1"/>
  <c r="D249" i="1"/>
  <c r="C249" i="1"/>
  <c r="B249" i="1"/>
  <c r="A249" i="1"/>
  <c r="N248" i="1"/>
  <c r="M248" i="1"/>
  <c r="L248" i="1"/>
  <c r="K248" i="1"/>
  <c r="J248" i="1"/>
  <c r="I248" i="1"/>
  <c r="H248" i="1"/>
  <c r="G248" i="1"/>
  <c r="E248" i="1"/>
  <c r="D248" i="1"/>
  <c r="C248" i="1"/>
  <c r="B248" i="1"/>
  <c r="A248" i="1"/>
  <c r="N247" i="1"/>
  <c r="L247" i="1"/>
  <c r="K247" i="1"/>
  <c r="J247" i="1"/>
  <c r="H247" i="1"/>
  <c r="G247" i="1"/>
  <c r="E247" i="1"/>
  <c r="D247" i="1"/>
  <c r="C247" i="1"/>
  <c r="B247" i="1"/>
  <c r="A247" i="1"/>
  <c r="N246" i="1"/>
  <c r="M246" i="1"/>
  <c r="L246" i="1"/>
  <c r="K246" i="1"/>
  <c r="J246" i="1"/>
  <c r="H246" i="1"/>
  <c r="G246" i="1"/>
  <c r="E246" i="1"/>
  <c r="D246" i="1"/>
  <c r="C246" i="1"/>
  <c r="B246" i="1"/>
  <c r="A246" i="1"/>
  <c r="N245" i="1"/>
  <c r="M245" i="1"/>
  <c r="L245" i="1"/>
  <c r="K245" i="1"/>
  <c r="J245" i="1"/>
  <c r="I245" i="1"/>
  <c r="H245" i="1"/>
  <c r="G245" i="1"/>
  <c r="E245" i="1"/>
  <c r="D245" i="1"/>
  <c r="C245" i="1"/>
  <c r="B245" i="1"/>
  <c r="A245" i="1"/>
  <c r="O244" i="1"/>
  <c r="N244" i="1"/>
  <c r="M244" i="1"/>
  <c r="L244" i="1"/>
  <c r="H244" i="1"/>
  <c r="G244" i="1"/>
  <c r="E244" i="1"/>
  <c r="D244" i="1"/>
  <c r="C244" i="1"/>
  <c r="B244" i="1"/>
  <c r="A244" i="1"/>
  <c r="N243" i="1"/>
  <c r="M243" i="1"/>
  <c r="L243" i="1"/>
  <c r="K243" i="1"/>
  <c r="J243" i="1"/>
  <c r="H243" i="1"/>
  <c r="G243" i="1"/>
  <c r="E243" i="1"/>
  <c r="D243" i="1"/>
  <c r="C243" i="1"/>
  <c r="B243" i="1"/>
  <c r="A243" i="1"/>
  <c r="N242" i="1"/>
  <c r="M242" i="1"/>
  <c r="L242" i="1"/>
  <c r="K242" i="1"/>
  <c r="J242" i="1"/>
  <c r="H242" i="1"/>
  <c r="G242" i="1"/>
  <c r="E242" i="1"/>
  <c r="D242" i="1"/>
  <c r="C242" i="1"/>
  <c r="B242" i="1"/>
  <c r="A242" i="1"/>
  <c r="N241" i="1"/>
  <c r="M241" i="1"/>
  <c r="L241" i="1"/>
  <c r="J241" i="1"/>
  <c r="H241" i="1"/>
  <c r="G241" i="1"/>
  <c r="E241" i="1"/>
  <c r="D241" i="1"/>
  <c r="C241" i="1"/>
  <c r="B241" i="1"/>
  <c r="A241" i="1"/>
  <c r="N240" i="1"/>
  <c r="M240" i="1"/>
  <c r="L240" i="1"/>
  <c r="K240" i="1"/>
  <c r="J240" i="1"/>
  <c r="H240" i="1"/>
  <c r="G240" i="1"/>
  <c r="E240" i="1"/>
  <c r="D240" i="1"/>
  <c r="C240" i="1"/>
  <c r="B240" i="1"/>
  <c r="A240" i="1"/>
  <c r="N239" i="1"/>
  <c r="M239" i="1"/>
  <c r="L239" i="1"/>
  <c r="K239" i="1"/>
  <c r="J239" i="1"/>
  <c r="H239" i="1"/>
  <c r="G239" i="1"/>
  <c r="E239" i="1"/>
  <c r="D239" i="1"/>
  <c r="C239" i="1"/>
  <c r="B239" i="1"/>
  <c r="A239" i="1"/>
  <c r="N238" i="1"/>
  <c r="M238" i="1"/>
  <c r="L238" i="1"/>
  <c r="K238" i="1"/>
  <c r="J238" i="1"/>
  <c r="H238" i="1"/>
  <c r="G238" i="1"/>
  <c r="E238" i="1"/>
  <c r="D238" i="1"/>
  <c r="C238" i="1"/>
  <c r="B238" i="1"/>
  <c r="A238" i="1"/>
  <c r="N237" i="1"/>
  <c r="M237" i="1"/>
  <c r="L237" i="1"/>
  <c r="K237" i="1"/>
  <c r="J237" i="1"/>
  <c r="H237" i="1"/>
  <c r="G237" i="1"/>
  <c r="E237" i="1"/>
  <c r="D237" i="1"/>
  <c r="C237" i="1"/>
  <c r="B237" i="1"/>
  <c r="A237" i="1"/>
  <c r="N236" i="1"/>
  <c r="M236" i="1"/>
  <c r="L236" i="1"/>
  <c r="K236" i="1"/>
  <c r="J236" i="1"/>
  <c r="H236" i="1"/>
  <c r="G236" i="1"/>
  <c r="E236" i="1"/>
  <c r="D236" i="1"/>
  <c r="C236" i="1"/>
  <c r="B236" i="1"/>
  <c r="A236" i="1"/>
  <c r="O235" i="1"/>
  <c r="N235" i="1"/>
  <c r="M235" i="1"/>
  <c r="L235" i="1"/>
  <c r="I235" i="1"/>
  <c r="H235" i="1"/>
  <c r="G235" i="1"/>
  <c r="E235" i="1"/>
  <c r="D235" i="1"/>
  <c r="C235" i="1"/>
  <c r="B235" i="1"/>
  <c r="A235" i="1"/>
  <c r="O234" i="1"/>
  <c r="N234" i="1"/>
  <c r="M234" i="1"/>
  <c r="L234" i="1"/>
  <c r="H234" i="1"/>
  <c r="G234" i="1"/>
  <c r="E234" i="1"/>
  <c r="D234" i="1"/>
  <c r="C234" i="1"/>
  <c r="B234" i="1"/>
  <c r="A234" i="1"/>
  <c r="N233" i="1"/>
  <c r="M233" i="1"/>
  <c r="L233" i="1"/>
  <c r="K233" i="1"/>
  <c r="J233" i="1"/>
  <c r="H233" i="1"/>
  <c r="G233" i="1"/>
  <c r="E233" i="1"/>
  <c r="D233" i="1"/>
  <c r="C233" i="1"/>
  <c r="B233" i="1"/>
  <c r="A233" i="1"/>
  <c r="N232" i="1"/>
  <c r="M232" i="1"/>
  <c r="L232" i="1"/>
  <c r="K232" i="1"/>
  <c r="J232" i="1"/>
  <c r="H232" i="1"/>
  <c r="G232" i="1"/>
  <c r="E232" i="1"/>
  <c r="D232" i="1"/>
  <c r="C232" i="1"/>
  <c r="B232" i="1"/>
  <c r="A232" i="1"/>
  <c r="N231" i="1"/>
  <c r="M231" i="1"/>
  <c r="L231" i="1"/>
  <c r="K231" i="1"/>
  <c r="J231" i="1"/>
  <c r="H231" i="1"/>
  <c r="G231" i="1"/>
  <c r="E231" i="1"/>
  <c r="D231" i="1"/>
  <c r="C231" i="1"/>
  <c r="B231" i="1"/>
  <c r="A231" i="1"/>
  <c r="N230" i="1"/>
  <c r="M230" i="1"/>
  <c r="L230" i="1"/>
  <c r="K230" i="1"/>
  <c r="J230" i="1"/>
  <c r="I230" i="1"/>
  <c r="H230" i="1"/>
  <c r="G230" i="1"/>
  <c r="E230" i="1"/>
  <c r="D230" i="1"/>
  <c r="C230" i="1"/>
  <c r="B230" i="1"/>
  <c r="A230" i="1"/>
  <c r="N229" i="1"/>
  <c r="M229" i="1"/>
  <c r="L229" i="1"/>
  <c r="H229" i="1"/>
  <c r="G229" i="1"/>
  <c r="E229" i="1"/>
  <c r="D229" i="1"/>
  <c r="C229" i="1"/>
  <c r="B229" i="1"/>
  <c r="A229" i="1"/>
  <c r="N228" i="1"/>
  <c r="M228" i="1"/>
  <c r="L228" i="1"/>
  <c r="K228" i="1"/>
  <c r="J228" i="1"/>
  <c r="H228" i="1"/>
  <c r="G228" i="1"/>
  <c r="E228" i="1"/>
  <c r="D228" i="1"/>
  <c r="C228" i="1"/>
  <c r="B228" i="1"/>
  <c r="A228" i="1"/>
  <c r="N227" i="1"/>
  <c r="M227" i="1"/>
  <c r="L227" i="1"/>
  <c r="K227" i="1"/>
  <c r="J227" i="1"/>
  <c r="H227" i="1"/>
  <c r="G227" i="1"/>
  <c r="E227" i="1"/>
  <c r="D227" i="1"/>
  <c r="C227" i="1"/>
  <c r="B227" i="1"/>
  <c r="A227" i="1"/>
  <c r="N226" i="1"/>
  <c r="M226" i="1"/>
  <c r="L226" i="1"/>
  <c r="K226" i="1"/>
  <c r="J226" i="1"/>
  <c r="H226" i="1"/>
  <c r="G226" i="1"/>
  <c r="E226" i="1"/>
  <c r="D226" i="1"/>
  <c r="C226" i="1"/>
  <c r="B226" i="1"/>
  <c r="A226" i="1"/>
  <c r="N225" i="1"/>
  <c r="M225" i="1"/>
  <c r="L225" i="1"/>
  <c r="H225" i="1"/>
  <c r="G225" i="1"/>
  <c r="E225" i="1"/>
  <c r="D225" i="1"/>
  <c r="C225" i="1"/>
  <c r="B225" i="1"/>
  <c r="A225" i="1"/>
  <c r="N224" i="1"/>
  <c r="M224" i="1"/>
  <c r="L224" i="1"/>
  <c r="H224" i="1"/>
  <c r="G224" i="1"/>
  <c r="E224" i="1"/>
  <c r="D224" i="1"/>
  <c r="C224" i="1"/>
  <c r="B224" i="1"/>
  <c r="A224" i="1"/>
  <c r="N223" i="1"/>
  <c r="M223" i="1"/>
  <c r="L223" i="1"/>
  <c r="K223" i="1"/>
  <c r="J223" i="1"/>
  <c r="H223" i="1"/>
  <c r="G223" i="1"/>
  <c r="E223" i="1"/>
  <c r="D223" i="1"/>
  <c r="C223" i="1"/>
  <c r="B223" i="1"/>
  <c r="A223" i="1"/>
  <c r="O222" i="1"/>
  <c r="N222" i="1"/>
  <c r="M222" i="1"/>
  <c r="L222" i="1"/>
  <c r="K222" i="1"/>
  <c r="J222" i="1"/>
  <c r="H222" i="1"/>
  <c r="G222" i="1"/>
  <c r="E222" i="1"/>
  <c r="D222" i="1"/>
  <c r="C222" i="1"/>
  <c r="B222" i="1"/>
  <c r="A222" i="1"/>
  <c r="N221" i="1"/>
  <c r="M221" i="1"/>
  <c r="L221" i="1"/>
  <c r="K221" i="1"/>
  <c r="J221" i="1"/>
  <c r="H221" i="1"/>
  <c r="G221" i="1"/>
  <c r="E221" i="1"/>
  <c r="D221" i="1"/>
  <c r="C221" i="1"/>
  <c r="B221" i="1"/>
  <c r="A221" i="1"/>
  <c r="N220" i="1"/>
  <c r="M220" i="1"/>
  <c r="L220" i="1"/>
  <c r="K220" i="1"/>
  <c r="J220" i="1"/>
  <c r="H220" i="1"/>
  <c r="G220" i="1"/>
  <c r="E220" i="1"/>
  <c r="D220" i="1"/>
  <c r="C220" i="1"/>
  <c r="B220" i="1"/>
  <c r="A220" i="1"/>
  <c r="N219" i="1"/>
  <c r="M219" i="1"/>
  <c r="L219" i="1"/>
  <c r="K219" i="1"/>
  <c r="J219" i="1"/>
  <c r="H219" i="1"/>
  <c r="G219" i="1"/>
  <c r="E219" i="1"/>
  <c r="D219" i="1"/>
  <c r="C219" i="1"/>
  <c r="B219" i="1"/>
  <c r="A219" i="1"/>
  <c r="N218" i="1"/>
  <c r="M218" i="1"/>
  <c r="L218" i="1"/>
  <c r="K218" i="1"/>
  <c r="J218" i="1"/>
  <c r="H218" i="1"/>
  <c r="G218" i="1"/>
  <c r="E218" i="1"/>
  <c r="D218" i="1"/>
  <c r="C218" i="1"/>
  <c r="B218" i="1"/>
  <c r="A218" i="1"/>
  <c r="N217" i="1"/>
  <c r="M217" i="1"/>
  <c r="L217" i="1"/>
  <c r="H217" i="1"/>
  <c r="G217" i="1"/>
  <c r="E217" i="1"/>
  <c r="D217" i="1"/>
  <c r="C217" i="1"/>
  <c r="B217" i="1"/>
  <c r="A217" i="1"/>
  <c r="N216" i="1"/>
  <c r="M216" i="1"/>
  <c r="L216" i="1"/>
  <c r="K216" i="1"/>
  <c r="J216" i="1"/>
  <c r="H216" i="1"/>
  <c r="G216" i="1"/>
  <c r="E216" i="1"/>
  <c r="D216" i="1"/>
  <c r="C216" i="1"/>
  <c r="B216" i="1"/>
  <c r="A216" i="1"/>
  <c r="N215" i="1"/>
  <c r="M215" i="1"/>
  <c r="L215" i="1"/>
  <c r="H215" i="1"/>
  <c r="G215" i="1"/>
  <c r="E215" i="1"/>
  <c r="D215" i="1"/>
  <c r="C215" i="1"/>
  <c r="B215" i="1"/>
  <c r="A215" i="1"/>
  <c r="N214" i="1"/>
  <c r="M214" i="1"/>
  <c r="L214" i="1"/>
  <c r="K214" i="1"/>
  <c r="J214" i="1"/>
  <c r="H214" i="1"/>
  <c r="G214" i="1"/>
  <c r="E214" i="1"/>
  <c r="D214" i="1"/>
  <c r="C214" i="1"/>
  <c r="B214" i="1"/>
  <c r="A214" i="1"/>
  <c r="N213" i="1"/>
  <c r="M213" i="1"/>
  <c r="L213" i="1"/>
  <c r="K213" i="1"/>
  <c r="J213" i="1"/>
  <c r="H213" i="1"/>
  <c r="G213" i="1"/>
  <c r="E213" i="1"/>
  <c r="D213" i="1"/>
  <c r="C213" i="1"/>
  <c r="B213" i="1"/>
  <c r="A213" i="1"/>
  <c r="N212" i="1"/>
  <c r="M212" i="1"/>
  <c r="L212" i="1"/>
  <c r="K212" i="1"/>
  <c r="J212" i="1"/>
  <c r="H212" i="1"/>
  <c r="G212" i="1"/>
  <c r="E212" i="1"/>
  <c r="D212" i="1"/>
  <c r="C212" i="1"/>
  <c r="B212" i="1"/>
  <c r="A212" i="1"/>
  <c r="N211" i="1"/>
  <c r="M211" i="1"/>
  <c r="L211" i="1"/>
  <c r="K211" i="1"/>
  <c r="J211" i="1"/>
  <c r="I211" i="1"/>
  <c r="H211" i="1"/>
  <c r="G211" i="1"/>
  <c r="E211" i="1"/>
  <c r="D211" i="1"/>
  <c r="C211" i="1"/>
  <c r="B211" i="1"/>
  <c r="A211" i="1"/>
  <c r="N210" i="1"/>
  <c r="M210" i="1"/>
  <c r="L210" i="1"/>
  <c r="K210" i="1"/>
  <c r="J210" i="1"/>
  <c r="H210" i="1"/>
  <c r="G210" i="1"/>
  <c r="E210" i="1"/>
  <c r="D210" i="1"/>
  <c r="C210" i="1"/>
  <c r="B210" i="1"/>
  <c r="A210" i="1"/>
  <c r="N209" i="1"/>
  <c r="M209" i="1"/>
  <c r="L209" i="1"/>
  <c r="K209" i="1"/>
  <c r="J209" i="1"/>
  <c r="H209" i="1"/>
  <c r="G209" i="1"/>
  <c r="E209" i="1"/>
  <c r="D209" i="1"/>
  <c r="C209" i="1"/>
  <c r="B209" i="1"/>
  <c r="A209" i="1"/>
  <c r="N208" i="1"/>
  <c r="M208" i="1"/>
  <c r="L208" i="1"/>
  <c r="K208" i="1"/>
  <c r="J208" i="1"/>
  <c r="H208" i="1"/>
  <c r="G208" i="1"/>
  <c r="E208" i="1"/>
  <c r="D208" i="1"/>
  <c r="C208" i="1"/>
  <c r="B208" i="1"/>
  <c r="A208" i="1"/>
  <c r="N207" i="1"/>
  <c r="M207" i="1"/>
  <c r="L207" i="1"/>
  <c r="H207" i="1"/>
  <c r="G207" i="1"/>
  <c r="E207" i="1"/>
  <c r="D207" i="1"/>
  <c r="C207" i="1"/>
  <c r="B207" i="1"/>
  <c r="A207" i="1"/>
  <c r="N206" i="1"/>
  <c r="M206" i="1"/>
  <c r="L206" i="1"/>
  <c r="K206" i="1"/>
  <c r="J206" i="1"/>
  <c r="I206" i="1"/>
  <c r="H206" i="1"/>
  <c r="G206" i="1"/>
  <c r="E206" i="1"/>
  <c r="D206" i="1"/>
  <c r="C206" i="1"/>
  <c r="B206" i="1"/>
  <c r="A206" i="1"/>
  <c r="N205" i="1"/>
  <c r="M205" i="1"/>
  <c r="L205" i="1"/>
  <c r="H205" i="1"/>
  <c r="G205" i="1"/>
  <c r="E205" i="1"/>
  <c r="D205" i="1"/>
  <c r="C205" i="1"/>
  <c r="B205" i="1"/>
  <c r="A205" i="1"/>
  <c r="N204" i="1"/>
  <c r="M204" i="1"/>
  <c r="L204" i="1"/>
  <c r="K204" i="1"/>
  <c r="J204" i="1"/>
  <c r="H204" i="1"/>
  <c r="G204" i="1"/>
  <c r="E204" i="1"/>
  <c r="D204" i="1"/>
  <c r="C204" i="1"/>
  <c r="B204" i="1"/>
  <c r="A204" i="1"/>
  <c r="N203" i="1"/>
  <c r="M203" i="1"/>
  <c r="L203" i="1"/>
  <c r="K203" i="1"/>
  <c r="J203" i="1"/>
  <c r="H203" i="1"/>
  <c r="G203" i="1"/>
  <c r="E203" i="1"/>
  <c r="D203" i="1"/>
  <c r="C203" i="1"/>
  <c r="B203" i="1"/>
  <c r="A203" i="1"/>
  <c r="N202" i="1"/>
  <c r="M202" i="1"/>
  <c r="L202" i="1"/>
  <c r="K202" i="1"/>
  <c r="J202" i="1"/>
  <c r="H202" i="1"/>
  <c r="G202" i="1"/>
  <c r="E202" i="1"/>
  <c r="D202" i="1"/>
  <c r="C202" i="1"/>
  <c r="B202" i="1"/>
  <c r="A202" i="1"/>
  <c r="N201" i="1"/>
  <c r="M201" i="1"/>
  <c r="L201" i="1"/>
  <c r="K201" i="1"/>
  <c r="J201" i="1"/>
  <c r="H201" i="1"/>
  <c r="G201" i="1"/>
  <c r="E201" i="1"/>
  <c r="D201" i="1"/>
  <c r="C201" i="1"/>
  <c r="B201" i="1"/>
  <c r="A201" i="1"/>
  <c r="N200" i="1"/>
  <c r="M200" i="1"/>
  <c r="L200" i="1"/>
  <c r="K200" i="1"/>
  <c r="J200" i="1"/>
  <c r="I200" i="1"/>
  <c r="H200" i="1"/>
  <c r="G200" i="1"/>
  <c r="E200" i="1"/>
  <c r="D200" i="1"/>
  <c r="C200" i="1"/>
  <c r="B200" i="1"/>
  <c r="A200" i="1"/>
  <c r="N199" i="1"/>
  <c r="M199" i="1"/>
  <c r="L199" i="1"/>
  <c r="K199" i="1"/>
  <c r="J199" i="1"/>
  <c r="H199" i="1"/>
  <c r="G199" i="1"/>
  <c r="E199" i="1"/>
  <c r="D199" i="1"/>
  <c r="C199" i="1"/>
  <c r="B199" i="1"/>
  <c r="A199" i="1"/>
  <c r="N198" i="1"/>
  <c r="M198" i="1"/>
  <c r="L198" i="1"/>
  <c r="K198" i="1"/>
  <c r="J198" i="1"/>
  <c r="H198" i="1"/>
  <c r="G198" i="1"/>
  <c r="E198" i="1"/>
  <c r="D198" i="1"/>
  <c r="C198" i="1"/>
  <c r="B198" i="1"/>
  <c r="A198" i="1"/>
  <c r="N197" i="1"/>
  <c r="M197" i="1"/>
  <c r="L197" i="1"/>
  <c r="K197" i="1"/>
  <c r="J197" i="1"/>
  <c r="H197" i="1"/>
  <c r="G197" i="1"/>
  <c r="E197" i="1"/>
  <c r="D197" i="1"/>
  <c r="C197" i="1"/>
  <c r="B197" i="1"/>
  <c r="A197" i="1"/>
  <c r="N196" i="1"/>
  <c r="M196" i="1"/>
  <c r="L196" i="1"/>
  <c r="K196" i="1"/>
  <c r="J196" i="1"/>
  <c r="H196" i="1"/>
  <c r="G196" i="1"/>
  <c r="E196" i="1"/>
  <c r="D196" i="1"/>
  <c r="C196" i="1"/>
  <c r="B196" i="1"/>
  <c r="A196" i="1"/>
  <c r="N195" i="1"/>
  <c r="M195" i="1"/>
  <c r="L195" i="1"/>
  <c r="K195" i="1"/>
  <c r="J195" i="1"/>
  <c r="H195" i="1"/>
  <c r="G195" i="1"/>
  <c r="E195" i="1"/>
  <c r="D195" i="1"/>
  <c r="C195" i="1"/>
  <c r="B195" i="1"/>
  <c r="A195" i="1"/>
  <c r="N194" i="1"/>
  <c r="M194" i="1"/>
  <c r="L194" i="1"/>
  <c r="K194" i="1"/>
  <c r="J194" i="1"/>
  <c r="H194" i="1"/>
  <c r="G194" i="1"/>
  <c r="E194" i="1"/>
  <c r="D194" i="1"/>
  <c r="C194" i="1"/>
  <c r="B194" i="1"/>
  <c r="A194" i="1"/>
  <c r="N193" i="1"/>
  <c r="M193" i="1"/>
  <c r="L193" i="1"/>
  <c r="K193" i="1"/>
  <c r="J193" i="1"/>
  <c r="H193" i="1"/>
  <c r="G193" i="1"/>
  <c r="E193" i="1"/>
  <c r="D193" i="1"/>
  <c r="C193" i="1"/>
  <c r="B193" i="1"/>
  <c r="A193" i="1"/>
  <c r="N192" i="1"/>
  <c r="M192" i="1"/>
  <c r="L192" i="1"/>
  <c r="K192" i="1"/>
  <c r="J192" i="1"/>
  <c r="H192" i="1"/>
  <c r="G192" i="1"/>
  <c r="E192" i="1"/>
  <c r="D192" i="1"/>
  <c r="C192" i="1"/>
  <c r="B192" i="1"/>
  <c r="A192" i="1"/>
  <c r="N191" i="1"/>
  <c r="M191" i="1"/>
  <c r="L191" i="1"/>
  <c r="K191" i="1"/>
  <c r="J191" i="1"/>
  <c r="I191" i="1"/>
  <c r="H191" i="1"/>
  <c r="G191" i="1"/>
  <c r="E191" i="1"/>
  <c r="D191" i="1"/>
  <c r="C191" i="1"/>
  <c r="B191" i="1"/>
  <c r="A191" i="1"/>
  <c r="N190" i="1"/>
  <c r="M190" i="1"/>
  <c r="L190" i="1"/>
  <c r="K190" i="1"/>
  <c r="J190" i="1"/>
  <c r="H190" i="1"/>
  <c r="G190" i="1"/>
  <c r="E190" i="1"/>
  <c r="D190" i="1"/>
  <c r="C190" i="1"/>
  <c r="B190" i="1"/>
  <c r="A190" i="1"/>
  <c r="N189" i="1"/>
  <c r="M189" i="1"/>
  <c r="L189" i="1"/>
  <c r="K189" i="1"/>
  <c r="J189" i="1"/>
  <c r="I189" i="1"/>
  <c r="H189" i="1"/>
  <c r="G189" i="1"/>
  <c r="E189" i="1"/>
  <c r="D189" i="1"/>
  <c r="C189" i="1"/>
  <c r="B189" i="1"/>
  <c r="A189" i="1"/>
  <c r="N188" i="1"/>
  <c r="M188" i="1"/>
  <c r="L188" i="1"/>
  <c r="K188" i="1"/>
  <c r="J188" i="1"/>
  <c r="H188" i="1"/>
  <c r="G188" i="1"/>
  <c r="E188" i="1"/>
  <c r="D188" i="1"/>
  <c r="C188" i="1"/>
  <c r="B188" i="1"/>
  <c r="A188" i="1"/>
  <c r="N187" i="1"/>
  <c r="M187" i="1"/>
  <c r="L187" i="1"/>
  <c r="K187" i="1"/>
  <c r="J187" i="1"/>
  <c r="H187" i="1"/>
  <c r="G187" i="1"/>
  <c r="E187" i="1"/>
  <c r="D187" i="1"/>
  <c r="C187" i="1"/>
  <c r="B187" i="1"/>
  <c r="A187" i="1"/>
  <c r="N186" i="1"/>
  <c r="M186" i="1"/>
  <c r="L186" i="1"/>
  <c r="K186" i="1"/>
  <c r="J186" i="1"/>
  <c r="H186" i="1"/>
  <c r="G186" i="1"/>
  <c r="E186" i="1"/>
  <c r="D186" i="1"/>
  <c r="C186" i="1"/>
  <c r="B186" i="1"/>
  <c r="A186" i="1"/>
  <c r="N185" i="1"/>
  <c r="M185" i="1"/>
  <c r="L185" i="1"/>
  <c r="K185" i="1"/>
  <c r="J185" i="1"/>
  <c r="H185" i="1"/>
  <c r="G185" i="1"/>
  <c r="E185" i="1"/>
  <c r="D185" i="1"/>
  <c r="C185" i="1"/>
  <c r="B185" i="1"/>
  <c r="A185" i="1"/>
  <c r="N184" i="1"/>
  <c r="M184" i="1"/>
  <c r="L184" i="1"/>
  <c r="K184" i="1"/>
  <c r="J184" i="1"/>
  <c r="H184" i="1"/>
  <c r="G184" i="1"/>
  <c r="E184" i="1"/>
  <c r="D184" i="1"/>
  <c r="C184" i="1"/>
  <c r="B184" i="1"/>
  <c r="A184" i="1"/>
  <c r="N183" i="1"/>
  <c r="M183" i="1"/>
  <c r="L183" i="1"/>
  <c r="K183" i="1"/>
  <c r="J183" i="1"/>
  <c r="H183" i="1"/>
  <c r="G183" i="1"/>
  <c r="E183" i="1"/>
  <c r="D183" i="1"/>
  <c r="C183" i="1"/>
  <c r="B183" i="1"/>
  <c r="A183" i="1"/>
  <c r="N182" i="1"/>
  <c r="M182" i="1"/>
  <c r="L182" i="1"/>
  <c r="K182" i="1"/>
  <c r="J182" i="1"/>
  <c r="H182" i="1"/>
  <c r="G182" i="1"/>
  <c r="E182" i="1"/>
  <c r="D182" i="1"/>
  <c r="C182" i="1"/>
  <c r="B182" i="1"/>
  <c r="A182" i="1"/>
  <c r="N181" i="1"/>
  <c r="M181" i="1"/>
  <c r="L181" i="1"/>
  <c r="K181" i="1"/>
  <c r="J181" i="1"/>
  <c r="I181" i="1"/>
  <c r="H181" i="1"/>
  <c r="G181" i="1"/>
  <c r="E181" i="1"/>
  <c r="D181" i="1"/>
  <c r="C181" i="1"/>
  <c r="B181" i="1"/>
  <c r="A181" i="1"/>
  <c r="N180" i="1"/>
  <c r="M180" i="1"/>
  <c r="L180" i="1"/>
  <c r="K180" i="1"/>
  <c r="J180" i="1"/>
  <c r="H180" i="1"/>
  <c r="G180" i="1"/>
  <c r="E180" i="1"/>
  <c r="D180" i="1"/>
  <c r="C180" i="1"/>
  <c r="B180" i="1"/>
  <c r="A180" i="1"/>
  <c r="N179" i="1"/>
  <c r="M179" i="1"/>
  <c r="L179" i="1"/>
  <c r="K179" i="1"/>
  <c r="J179" i="1"/>
  <c r="H179" i="1"/>
  <c r="G179" i="1"/>
  <c r="E179" i="1"/>
  <c r="D179" i="1"/>
  <c r="C179" i="1"/>
  <c r="B179" i="1"/>
  <c r="A179" i="1"/>
  <c r="N178" i="1"/>
  <c r="M178" i="1"/>
  <c r="L178" i="1"/>
  <c r="K178" i="1"/>
  <c r="J178" i="1"/>
  <c r="H178" i="1"/>
  <c r="G178" i="1"/>
  <c r="E178" i="1"/>
  <c r="D178" i="1"/>
  <c r="C178" i="1"/>
  <c r="B178" i="1"/>
  <c r="A178" i="1"/>
  <c r="N177" i="1"/>
  <c r="M177" i="1"/>
  <c r="L177" i="1"/>
  <c r="K177" i="1"/>
  <c r="J177" i="1"/>
  <c r="H177" i="1"/>
  <c r="G177" i="1"/>
  <c r="E177" i="1"/>
  <c r="D177" i="1"/>
  <c r="C177" i="1"/>
  <c r="B177" i="1"/>
  <c r="A177" i="1"/>
  <c r="N176" i="1"/>
  <c r="M176" i="1"/>
  <c r="L176" i="1"/>
  <c r="K176" i="1"/>
  <c r="J176" i="1"/>
  <c r="H176" i="1"/>
  <c r="G176" i="1"/>
  <c r="E176" i="1"/>
  <c r="D176" i="1"/>
  <c r="C176" i="1"/>
  <c r="B176" i="1"/>
  <c r="A176" i="1"/>
  <c r="N175" i="1"/>
  <c r="M175" i="1"/>
  <c r="L175" i="1"/>
  <c r="H175" i="1"/>
  <c r="G175" i="1"/>
  <c r="E175" i="1"/>
  <c r="D175" i="1"/>
  <c r="C175" i="1"/>
  <c r="B175" i="1"/>
  <c r="A175" i="1"/>
  <c r="N174" i="1"/>
  <c r="M174" i="1"/>
  <c r="L174" i="1"/>
  <c r="H174" i="1"/>
  <c r="G174" i="1"/>
  <c r="E174" i="1"/>
  <c r="D174" i="1"/>
  <c r="C174" i="1"/>
  <c r="B174" i="1"/>
  <c r="A174" i="1"/>
  <c r="N173" i="1"/>
  <c r="M173" i="1"/>
  <c r="L173" i="1"/>
  <c r="J173" i="1"/>
  <c r="H173" i="1"/>
  <c r="G173" i="1"/>
  <c r="E173" i="1"/>
  <c r="D173" i="1"/>
  <c r="C173" i="1"/>
  <c r="B173" i="1"/>
  <c r="A173" i="1"/>
  <c r="N172" i="1"/>
  <c r="M172" i="1"/>
  <c r="L172" i="1"/>
  <c r="K172" i="1"/>
  <c r="J172" i="1"/>
  <c r="H172" i="1"/>
  <c r="G172" i="1"/>
  <c r="E172" i="1"/>
  <c r="D172" i="1"/>
  <c r="C172" i="1"/>
  <c r="B172" i="1"/>
  <c r="A172" i="1"/>
  <c r="N171" i="1"/>
  <c r="M171" i="1"/>
  <c r="L171" i="1"/>
  <c r="K171" i="1"/>
  <c r="J171" i="1"/>
  <c r="H171" i="1"/>
  <c r="G171" i="1"/>
  <c r="E171" i="1"/>
  <c r="D171" i="1"/>
  <c r="C171" i="1"/>
  <c r="B171" i="1"/>
  <c r="A171" i="1"/>
  <c r="N170" i="1"/>
  <c r="M170" i="1"/>
  <c r="L170" i="1"/>
  <c r="K170" i="1"/>
  <c r="J170" i="1"/>
  <c r="H170" i="1"/>
  <c r="G170" i="1"/>
  <c r="E170" i="1"/>
  <c r="D170" i="1"/>
  <c r="C170" i="1"/>
  <c r="B170" i="1"/>
  <c r="A170" i="1"/>
  <c r="N169" i="1"/>
  <c r="M169" i="1"/>
  <c r="L169" i="1"/>
  <c r="K169" i="1"/>
  <c r="J169" i="1"/>
  <c r="H169" i="1"/>
  <c r="G169" i="1"/>
  <c r="E169" i="1"/>
  <c r="D169" i="1"/>
  <c r="C169" i="1"/>
  <c r="B169" i="1"/>
  <c r="A169" i="1"/>
  <c r="N168" i="1"/>
  <c r="M168" i="1"/>
  <c r="L168" i="1"/>
  <c r="K168" i="1"/>
  <c r="J168" i="1"/>
  <c r="H168" i="1"/>
  <c r="G168" i="1"/>
  <c r="E168" i="1"/>
  <c r="D168" i="1"/>
  <c r="C168" i="1"/>
  <c r="B168" i="1"/>
  <c r="A168" i="1"/>
  <c r="N167" i="1"/>
  <c r="M167" i="1"/>
  <c r="L167" i="1"/>
  <c r="K167" i="1"/>
  <c r="J167" i="1"/>
  <c r="H167" i="1"/>
  <c r="G167" i="1"/>
  <c r="E167" i="1"/>
  <c r="D167" i="1"/>
  <c r="C167" i="1"/>
  <c r="B167" i="1"/>
  <c r="A167" i="1"/>
  <c r="O166" i="1"/>
  <c r="N166" i="1"/>
  <c r="L166" i="1"/>
  <c r="H166" i="1"/>
  <c r="G166" i="1"/>
  <c r="D166" i="1"/>
  <c r="B166" i="1"/>
  <c r="A166" i="1"/>
  <c r="N165" i="1"/>
  <c r="M165" i="1"/>
  <c r="L165" i="1"/>
  <c r="K165" i="1"/>
  <c r="J165" i="1"/>
  <c r="H165" i="1"/>
  <c r="G165" i="1"/>
  <c r="E165" i="1"/>
  <c r="D165" i="1"/>
  <c r="C165" i="1"/>
  <c r="B165" i="1"/>
  <c r="A165" i="1"/>
  <c r="O164" i="1"/>
  <c r="N164" i="1"/>
  <c r="L164" i="1"/>
  <c r="H164" i="1"/>
  <c r="G164" i="1"/>
  <c r="D164" i="1"/>
  <c r="B164" i="1"/>
  <c r="A164" i="1"/>
  <c r="O163" i="1"/>
  <c r="N163" i="1"/>
  <c r="L163" i="1"/>
  <c r="H163" i="1"/>
  <c r="G163" i="1"/>
  <c r="D163" i="1"/>
  <c r="B163" i="1"/>
  <c r="A163" i="1"/>
  <c r="N162" i="1"/>
  <c r="M162" i="1"/>
  <c r="L162" i="1"/>
  <c r="K162" i="1"/>
  <c r="J162" i="1"/>
  <c r="H162" i="1"/>
  <c r="G162" i="1"/>
  <c r="E162" i="1"/>
  <c r="D162" i="1"/>
  <c r="C162" i="1"/>
  <c r="B162" i="1"/>
  <c r="A162" i="1"/>
  <c r="N161" i="1"/>
  <c r="M161" i="1"/>
  <c r="L161" i="1"/>
  <c r="K161" i="1"/>
  <c r="J161" i="1"/>
  <c r="H161" i="1"/>
  <c r="G161" i="1"/>
  <c r="E161" i="1"/>
  <c r="D161" i="1"/>
  <c r="C161" i="1"/>
  <c r="B161" i="1"/>
  <c r="A161" i="1"/>
  <c r="N160" i="1"/>
  <c r="M160" i="1"/>
  <c r="L160" i="1"/>
  <c r="H160" i="1"/>
  <c r="G160" i="1"/>
  <c r="E160" i="1"/>
  <c r="D160" i="1"/>
  <c r="C160" i="1"/>
  <c r="B160" i="1"/>
  <c r="A160" i="1"/>
  <c r="O159" i="1"/>
  <c r="N159" i="1"/>
  <c r="L159" i="1"/>
  <c r="I159" i="1"/>
  <c r="H159" i="1"/>
  <c r="G159" i="1"/>
  <c r="E159" i="1"/>
  <c r="D159" i="1"/>
  <c r="B159" i="1"/>
  <c r="A159" i="1"/>
  <c r="N158" i="1"/>
  <c r="M158" i="1"/>
  <c r="L158" i="1"/>
  <c r="K158" i="1"/>
  <c r="J158" i="1"/>
  <c r="H158" i="1"/>
  <c r="G158" i="1"/>
  <c r="E158" i="1"/>
  <c r="D158" i="1"/>
  <c r="C158" i="1"/>
  <c r="B158" i="1"/>
  <c r="A158" i="1"/>
  <c r="N157" i="1"/>
  <c r="M157" i="1"/>
  <c r="L157" i="1"/>
  <c r="H157" i="1"/>
  <c r="G157" i="1"/>
  <c r="E157" i="1"/>
  <c r="D157" i="1"/>
  <c r="C157" i="1"/>
  <c r="B157" i="1"/>
  <c r="A157" i="1"/>
  <c r="O156" i="1"/>
  <c r="N156" i="1"/>
  <c r="L156" i="1"/>
  <c r="H156" i="1"/>
  <c r="G156" i="1"/>
  <c r="D156" i="1"/>
  <c r="B156" i="1"/>
  <c r="A156" i="1"/>
  <c r="O155" i="1"/>
  <c r="N155" i="1"/>
  <c r="L155" i="1"/>
  <c r="H155" i="1"/>
  <c r="G155" i="1"/>
  <c r="F155" i="1"/>
  <c r="E155" i="1"/>
  <c r="D155" i="1"/>
  <c r="B155" i="1"/>
  <c r="A155" i="1"/>
  <c r="O154" i="1"/>
  <c r="N154" i="1"/>
  <c r="L154" i="1"/>
  <c r="H154" i="1"/>
  <c r="G154" i="1"/>
  <c r="D154" i="1"/>
  <c r="B154" i="1"/>
  <c r="A154" i="1"/>
  <c r="N153" i="1"/>
  <c r="M153" i="1"/>
  <c r="L153" i="1"/>
  <c r="K153" i="1"/>
  <c r="J153" i="1"/>
  <c r="H153" i="1"/>
  <c r="G153" i="1"/>
  <c r="E153" i="1"/>
  <c r="D153" i="1"/>
  <c r="C153" i="1"/>
  <c r="B153" i="1"/>
  <c r="A153" i="1"/>
  <c r="O152" i="1"/>
  <c r="N152" i="1"/>
  <c r="L152" i="1"/>
  <c r="H152" i="1"/>
  <c r="G152" i="1"/>
  <c r="D152" i="1"/>
  <c r="B152" i="1"/>
  <c r="A152" i="1"/>
  <c r="O151" i="1"/>
  <c r="N151" i="1"/>
  <c r="L151" i="1"/>
  <c r="H151" i="1"/>
  <c r="G151" i="1"/>
  <c r="E151" i="1"/>
  <c r="D151" i="1"/>
  <c r="B151" i="1"/>
  <c r="A151" i="1"/>
  <c r="O150" i="1"/>
  <c r="N150" i="1"/>
  <c r="L150" i="1"/>
  <c r="H150" i="1"/>
  <c r="G150" i="1"/>
  <c r="D150" i="1"/>
  <c r="B150" i="1"/>
  <c r="A150" i="1"/>
  <c r="O149" i="1"/>
  <c r="N149" i="1"/>
  <c r="L149" i="1"/>
  <c r="H149" i="1"/>
  <c r="G149" i="1"/>
  <c r="F149" i="1"/>
  <c r="E149" i="1"/>
  <c r="D149" i="1"/>
  <c r="A149" i="1"/>
  <c r="N148" i="1"/>
  <c r="M148" i="1"/>
  <c r="L148" i="1"/>
  <c r="H148" i="1"/>
  <c r="G148" i="1"/>
  <c r="E148" i="1"/>
  <c r="D148" i="1"/>
  <c r="C148" i="1"/>
  <c r="B148" i="1"/>
  <c r="A148" i="1"/>
  <c r="O147" i="1"/>
  <c r="N147" i="1"/>
  <c r="L147" i="1"/>
  <c r="H147" i="1"/>
  <c r="G147" i="1"/>
  <c r="E147" i="1"/>
  <c r="D147" i="1"/>
  <c r="B147" i="1"/>
  <c r="A147" i="1"/>
  <c r="O146" i="1"/>
  <c r="N146" i="1"/>
  <c r="M146" i="1"/>
  <c r="L146" i="1"/>
  <c r="H146" i="1"/>
  <c r="G146" i="1"/>
  <c r="F146" i="1"/>
  <c r="E146" i="1"/>
  <c r="D146" i="1"/>
  <c r="C146" i="1"/>
  <c r="B146" i="1"/>
  <c r="A146" i="1"/>
  <c r="N145" i="1"/>
  <c r="M145" i="1"/>
  <c r="L145" i="1"/>
  <c r="K145" i="1"/>
  <c r="J145" i="1"/>
  <c r="H145" i="1"/>
  <c r="G145" i="1"/>
  <c r="F145" i="1"/>
  <c r="E145" i="1"/>
  <c r="D145" i="1"/>
  <c r="C145" i="1"/>
  <c r="B145" i="1"/>
  <c r="A145" i="1"/>
  <c r="O144" i="1"/>
  <c r="N144" i="1"/>
  <c r="L144" i="1"/>
  <c r="H144" i="1"/>
  <c r="G144" i="1"/>
  <c r="D144" i="1"/>
  <c r="B144" i="1"/>
  <c r="A144" i="1"/>
  <c r="O143" i="1"/>
  <c r="N143" i="1"/>
  <c r="L143" i="1"/>
  <c r="H143" i="1"/>
  <c r="G143" i="1"/>
  <c r="D143" i="1"/>
  <c r="B143" i="1"/>
  <c r="A143" i="1"/>
  <c r="O142" i="1"/>
  <c r="N142" i="1"/>
  <c r="L142" i="1"/>
  <c r="I142" i="1"/>
  <c r="H142" i="1"/>
  <c r="G142" i="1"/>
  <c r="D142" i="1"/>
  <c r="B142" i="1"/>
  <c r="A142" i="1"/>
  <c r="O141" i="1"/>
  <c r="N141" i="1"/>
  <c r="L141" i="1"/>
  <c r="H141" i="1"/>
  <c r="F141" i="1"/>
  <c r="E141" i="1"/>
  <c r="D141" i="1"/>
  <c r="B141" i="1"/>
  <c r="A141" i="1"/>
  <c r="O140" i="1"/>
  <c r="N140" i="1"/>
  <c r="L140" i="1"/>
  <c r="H140" i="1"/>
  <c r="G140" i="1"/>
  <c r="D140" i="1"/>
  <c r="B140" i="1"/>
  <c r="A140" i="1"/>
  <c r="O139" i="1"/>
  <c r="N139" i="1"/>
  <c r="L139" i="1"/>
  <c r="H139" i="1"/>
  <c r="G139" i="1"/>
  <c r="D139" i="1"/>
  <c r="B139" i="1"/>
  <c r="A139" i="1"/>
  <c r="N138" i="1"/>
  <c r="M138" i="1"/>
  <c r="L138" i="1"/>
  <c r="H138" i="1"/>
  <c r="G138" i="1"/>
  <c r="E138" i="1"/>
  <c r="D138" i="1"/>
  <c r="B138" i="1"/>
  <c r="A138" i="1"/>
  <c r="O137" i="1"/>
  <c r="N137" i="1"/>
  <c r="L137" i="1"/>
  <c r="H137" i="1"/>
  <c r="G137" i="1"/>
  <c r="D137" i="1"/>
  <c r="B137" i="1"/>
  <c r="A137" i="1"/>
  <c r="O136" i="1"/>
  <c r="N136" i="1"/>
  <c r="L136" i="1"/>
  <c r="H136" i="1"/>
  <c r="G136" i="1"/>
  <c r="D136" i="1"/>
  <c r="B136" i="1"/>
  <c r="A136" i="1"/>
  <c r="O135" i="1"/>
  <c r="N135" i="1"/>
  <c r="L135" i="1"/>
  <c r="H135" i="1"/>
  <c r="G135" i="1"/>
  <c r="D135" i="1"/>
  <c r="B135" i="1"/>
  <c r="A135" i="1"/>
  <c r="O134" i="1"/>
  <c r="N134" i="1"/>
  <c r="L134" i="1"/>
  <c r="H134" i="1"/>
  <c r="G134" i="1"/>
  <c r="F134" i="1"/>
  <c r="E134" i="1"/>
  <c r="D134" i="1"/>
  <c r="B134" i="1"/>
  <c r="A134" i="1"/>
  <c r="N133" i="1"/>
  <c r="H133" i="1"/>
  <c r="G133" i="1"/>
  <c r="E133" i="1"/>
  <c r="D133" i="1"/>
  <c r="B133" i="1"/>
  <c r="A133" i="1"/>
  <c r="O132" i="1"/>
  <c r="N132" i="1"/>
  <c r="L132" i="1"/>
  <c r="H132" i="1"/>
  <c r="G132" i="1"/>
  <c r="D132" i="1"/>
  <c r="B132" i="1"/>
  <c r="A132" i="1"/>
  <c r="O131" i="1"/>
  <c r="N131" i="1"/>
  <c r="L131" i="1"/>
  <c r="H131" i="1"/>
  <c r="F131" i="1"/>
  <c r="E131" i="1"/>
  <c r="D131" i="1"/>
  <c r="B131" i="1"/>
  <c r="A131" i="1"/>
  <c r="O130" i="1"/>
  <c r="N130" i="1"/>
  <c r="L130" i="1"/>
  <c r="H130" i="1"/>
  <c r="G130" i="1"/>
  <c r="E130" i="1"/>
  <c r="D130" i="1"/>
  <c r="B130" i="1"/>
  <c r="A130" i="1"/>
  <c r="N129" i="1"/>
  <c r="M129" i="1"/>
  <c r="L129" i="1"/>
  <c r="I129" i="1"/>
  <c r="H129" i="1"/>
  <c r="G129" i="1"/>
  <c r="E129" i="1"/>
  <c r="D129" i="1"/>
  <c r="C129" i="1"/>
  <c r="B129" i="1"/>
  <c r="A129" i="1"/>
  <c r="O128" i="1"/>
  <c r="N128" i="1"/>
  <c r="L128" i="1"/>
  <c r="H128" i="1"/>
  <c r="G128" i="1"/>
  <c r="D128" i="1"/>
  <c r="B128" i="1"/>
  <c r="A128" i="1"/>
  <c r="O127" i="1"/>
  <c r="N127" i="1"/>
  <c r="L127" i="1"/>
  <c r="H127" i="1"/>
  <c r="G127" i="1"/>
  <c r="D127" i="1"/>
  <c r="B127" i="1"/>
  <c r="A127" i="1"/>
  <c r="O126" i="1"/>
  <c r="N126" i="1"/>
  <c r="L126" i="1"/>
  <c r="H126" i="1"/>
  <c r="G126" i="1"/>
  <c r="D126" i="1"/>
  <c r="B126" i="1"/>
  <c r="A126" i="1"/>
  <c r="O125" i="1"/>
  <c r="N125" i="1"/>
  <c r="L125" i="1"/>
  <c r="H125" i="1"/>
  <c r="G125" i="1"/>
  <c r="E125" i="1"/>
  <c r="D125" i="1"/>
  <c r="B125" i="1"/>
  <c r="A125" i="1"/>
  <c r="O124" i="1"/>
  <c r="N124" i="1"/>
  <c r="L124" i="1"/>
  <c r="H124" i="1"/>
  <c r="G124" i="1"/>
  <c r="D124" i="1"/>
  <c r="B124" i="1"/>
  <c r="A124" i="1"/>
  <c r="O123" i="1"/>
  <c r="N123" i="1"/>
  <c r="L123" i="1"/>
  <c r="H123" i="1"/>
  <c r="G123" i="1"/>
  <c r="E123" i="1"/>
  <c r="D123" i="1"/>
  <c r="B123" i="1"/>
  <c r="A123" i="1"/>
  <c r="O122" i="1"/>
  <c r="N122" i="1"/>
  <c r="L122" i="1"/>
  <c r="I122" i="1"/>
  <c r="H122" i="1"/>
  <c r="G122" i="1"/>
  <c r="F122" i="1"/>
  <c r="E122" i="1"/>
  <c r="D122" i="1"/>
  <c r="B122" i="1"/>
  <c r="A122" i="1"/>
  <c r="O121" i="1"/>
  <c r="N121" i="1"/>
  <c r="L121" i="1"/>
  <c r="H121" i="1"/>
  <c r="G121" i="1"/>
  <c r="E121" i="1"/>
  <c r="D121" i="1"/>
  <c r="B121" i="1"/>
  <c r="A121" i="1"/>
  <c r="O120" i="1"/>
  <c r="N120" i="1"/>
  <c r="L120" i="1"/>
  <c r="H120" i="1"/>
  <c r="D120" i="1"/>
  <c r="B120" i="1"/>
  <c r="A120" i="1"/>
  <c r="O119" i="1"/>
  <c r="N119" i="1"/>
  <c r="L119" i="1"/>
  <c r="H119" i="1"/>
  <c r="G119" i="1"/>
  <c r="F119" i="1"/>
  <c r="E119" i="1"/>
  <c r="D119" i="1"/>
  <c r="B119" i="1"/>
  <c r="A119" i="1"/>
  <c r="N118" i="1"/>
  <c r="L118" i="1"/>
  <c r="I118" i="1"/>
  <c r="H118" i="1"/>
  <c r="G118" i="1"/>
  <c r="E118" i="1"/>
  <c r="D118" i="1"/>
  <c r="B118" i="1"/>
  <c r="A118" i="1"/>
  <c r="O117" i="1"/>
  <c r="N117" i="1"/>
  <c r="L117" i="1"/>
  <c r="H117" i="1"/>
  <c r="G117" i="1"/>
  <c r="E117" i="1"/>
  <c r="D117" i="1"/>
  <c r="B117" i="1"/>
  <c r="A117" i="1"/>
  <c r="O116" i="1"/>
  <c r="N116" i="1"/>
  <c r="L116" i="1"/>
  <c r="H116" i="1"/>
  <c r="G116" i="1"/>
  <c r="D116" i="1"/>
  <c r="B116" i="1"/>
  <c r="A116" i="1"/>
  <c r="O115" i="1"/>
  <c r="N115" i="1"/>
  <c r="L115" i="1"/>
  <c r="H115" i="1"/>
  <c r="G115" i="1"/>
  <c r="E115" i="1"/>
  <c r="D115" i="1"/>
  <c r="B115" i="1"/>
  <c r="A115" i="1"/>
  <c r="N114" i="1"/>
  <c r="L114" i="1"/>
  <c r="H114" i="1"/>
  <c r="G114" i="1"/>
  <c r="E114" i="1"/>
  <c r="D114" i="1"/>
  <c r="B114" i="1"/>
  <c r="A114" i="1"/>
  <c r="N113" i="1"/>
  <c r="L113" i="1"/>
  <c r="I113" i="1"/>
  <c r="H113" i="1"/>
  <c r="G113" i="1"/>
  <c r="E113" i="1"/>
  <c r="D113" i="1"/>
  <c r="B113" i="1"/>
  <c r="A113" i="1"/>
  <c r="O112" i="1"/>
  <c r="N112" i="1"/>
  <c r="L112" i="1"/>
  <c r="H112" i="1"/>
  <c r="G112" i="1"/>
  <c r="E112" i="1"/>
  <c r="D112" i="1"/>
  <c r="B112" i="1"/>
  <c r="A112" i="1"/>
  <c r="O111" i="1"/>
  <c r="N111" i="1"/>
  <c r="L111" i="1"/>
  <c r="H111" i="1"/>
  <c r="G111" i="1"/>
  <c r="E111" i="1"/>
  <c r="D111" i="1"/>
  <c r="B111" i="1"/>
  <c r="A111" i="1"/>
  <c r="N110" i="1"/>
  <c r="M110" i="1"/>
  <c r="L110" i="1"/>
  <c r="J110" i="1"/>
  <c r="H110" i="1"/>
  <c r="G110" i="1"/>
  <c r="E110" i="1"/>
  <c r="D110" i="1"/>
  <c r="B110" i="1"/>
  <c r="A110" i="1"/>
  <c r="O109" i="1"/>
  <c r="N109" i="1"/>
  <c r="L109" i="1"/>
  <c r="H109" i="1"/>
  <c r="G109" i="1"/>
  <c r="D109" i="1"/>
  <c r="B109" i="1"/>
  <c r="A109" i="1"/>
  <c r="O108" i="1"/>
  <c r="N108" i="1"/>
  <c r="L108" i="1"/>
  <c r="H108" i="1"/>
  <c r="G108" i="1"/>
  <c r="F108" i="1"/>
  <c r="E108" i="1"/>
  <c r="D108" i="1"/>
  <c r="B108" i="1"/>
  <c r="A108" i="1"/>
  <c r="O107" i="1"/>
  <c r="N107" i="1"/>
  <c r="L107" i="1"/>
  <c r="H107" i="1"/>
  <c r="G107" i="1"/>
  <c r="E107" i="1"/>
  <c r="D107" i="1"/>
  <c r="B107" i="1"/>
  <c r="A107" i="1"/>
  <c r="N106" i="1"/>
  <c r="L106" i="1"/>
  <c r="I106" i="1"/>
  <c r="H106" i="1"/>
  <c r="G106" i="1"/>
  <c r="E106" i="1"/>
  <c r="D106" i="1"/>
  <c r="B106" i="1"/>
  <c r="A106" i="1"/>
  <c r="N105" i="1"/>
  <c r="L105" i="1"/>
  <c r="I105" i="1"/>
  <c r="H105" i="1"/>
  <c r="G105" i="1"/>
  <c r="E105" i="1"/>
  <c r="D105" i="1"/>
  <c r="B105" i="1"/>
  <c r="A105" i="1"/>
  <c r="O104" i="1"/>
  <c r="N104" i="1"/>
  <c r="L104" i="1"/>
  <c r="H104" i="1"/>
  <c r="G104" i="1"/>
  <c r="F104" i="1"/>
  <c r="E104" i="1"/>
  <c r="D104" i="1"/>
  <c r="B104" i="1"/>
  <c r="A104" i="1"/>
  <c r="O103" i="1"/>
  <c r="N103" i="1"/>
  <c r="L103" i="1"/>
  <c r="H103" i="1"/>
  <c r="G103" i="1"/>
  <c r="D103" i="1"/>
  <c r="B103" i="1"/>
  <c r="A103" i="1"/>
  <c r="O102" i="1"/>
  <c r="N102" i="1"/>
  <c r="L102" i="1"/>
  <c r="H102" i="1"/>
  <c r="G102" i="1"/>
  <c r="D102" i="1"/>
  <c r="B102" i="1"/>
  <c r="A102" i="1"/>
  <c r="O101" i="1"/>
  <c r="N101" i="1"/>
  <c r="L101" i="1"/>
  <c r="H101" i="1"/>
  <c r="G101" i="1"/>
  <c r="D101" i="1"/>
  <c r="B101" i="1"/>
  <c r="A101" i="1"/>
  <c r="O100" i="1"/>
  <c r="N100" i="1"/>
  <c r="L100" i="1"/>
  <c r="H100" i="1"/>
  <c r="G100" i="1"/>
  <c r="E100" i="1"/>
  <c r="D100" i="1"/>
  <c r="B100" i="1"/>
  <c r="A100" i="1"/>
  <c r="O99" i="1"/>
  <c r="N99" i="1"/>
  <c r="L99" i="1"/>
  <c r="H99" i="1"/>
  <c r="G99" i="1"/>
  <c r="E99" i="1"/>
  <c r="D99" i="1"/>
  <c r="B99" i="1"/>
  <c r="A99" i="1"/>
  <c r="O98" i="1"/>
  <c r="N98" i="1"/>
  <c r="L98" i="1"/>
  <c r="H98" i="1"/>
  <c r="G98" i="1"/>
  <c r="E98" i="1"/>
  <c r="D98" i="1"/>
  <c r="B98" i="1"/>
  <c r="A98" i="1"/>
  <c r="O97" i="1"/>
  <c r="N97" i="1"/>
  <c r="L97" i="1"/>
  <c r="H97" i="1"/>
  <c r="G97" i="1"/>
  <c r="E97" i="1"/>
  <c r="D97" i="1"/>
  <c r="B97" i="1"/>
  <c r="A97" i="1"/>
  <c r="O96" i="1"/>
  <c r="N96" i="1"/>
  <c r="L96" i="1"/>
  <c r="H96" i="1"/>
  <c r="G96" i="1"/>
  <c r="D96" i="1"/>
  <c r="B96" i="1"/>
  <c r="A96" i="1"/>
  <c r="O95" i="1"/>
  <c r="N95" i="1"/>
  <c r="L95" i="1"/>
  <c r="H95" i="1"/>
  <c r="G95" i="1"/>
  <c r="D95" i="1"/>
  <c r="B95" i="1"/>
  <c r="A95" i="1"/>
  <c r="N94" i="1"/>
  <c r="L94" i="1"/>
  <c r="H94" i="1"/>
  <c r="G94" i="1"/>
  <c r="E94" i="1"/>
  <c r="D94" i="1"/>
  <c r="B94" i="1"/>
  <c r="A94" i="1"/>
  <c r="O93" i="1"/>
  <c r="N93" i="1"/>
  <c r="L93" i="1"/>
  <c r="H93" i="1"/>
  <c r="G93" i="1"/>
  <c r="E93" i="1"/>
  <c r="D93" i="1"/>
  <c r="B93" i="1"/>
  <c r="A93" i="1"/>
  <c r="O92" i="1"/>
  <c r="N92" i="1"/>
  <c r="L92" i="1"/>
  <c r="H92" i="1"/>
  <c r="G92" i="1"/>
  <c r="D92" i="1"/>
  <c r="B92" i="1"/>
  <c r="A92" i="1"/>
  <c r="O91" i="1"/>
  <c r="N91" i="1"/>
  <c r="L91" i="1"/>
  <c r="H91" i="1"/>
  <c r="G91" i="1"/>
  <c r="E91" i="1"/>
  <c r="D91" i="1"/>
  <c r="B91" i="1"/>
  <c r="A91" i="1"/>
  <c r="O90" i="1"/>
  <c r="N90" i="1"/>
  <c r="L90" i="1"/>
  <c r="H90" i="1"/>
  <c r="G90" i="1"/>
  <c r="D90" i="1"/>
  <c r="B90" i="1"/>
  <c r="A90" i="1"/>
  <c r="O89" i="1"/>
  <c r="N89" i="1"/>
  <c r="L89" i="1"/>
  <c r="H89" i="1"/>
  <c r="G89" i="1"/>
  <c r="E89" i="1"/>
  <c r="D89" i="1"/>
  <c r="B89" i="1"/>
  <c r="A89" i="1"/>
  <c r="O88" i="1"/>
  <c r="N88" i="1"/>
  <c r="L88" i="1"/>
  <c r="H88" i="1"/>
  <c r="G88" i="1"/>
  <c r="D88" i="1"/>
  <c r="B88" i="1"/>
  <c r="A88" i="1"/>
  <c r="O87" i="1"/>
  <c r="N87" i="1"/>
  <c r="L87" i="1"/>
  <c r="H87" i="1"/>
  <c r="G87" i="1"/>
  <c r="E87" i="1"/>
  <c r="D87" i="1"/>
  <c r="B87" i="1"/>
  <c r="A87" i="1"/>
  <c r="O86" i="1"/>
  <c r="N86" i="1"/>
  <c r="L86" i="1"/>
  <c r="H86" i="1"/>
  <c r="G86" i="1"/>
  <c r="F86" i="1"/>
  <c r="E86" i="1"/>
  <c r="D86" i="1"/>
  <c r="B86" i="1"/>
  <c r="A86" i="1"/>
  <c r="O85" i="1"/>
  <c r="N85" i="1"/>
  <c r="L85" i="1"/>
  <c r="H85" i="1"/>
  <c r="G85" i="1"/>
  <c r="D85" i="1"/>
  <c r="B85" i="1"/>
  <c r="A85" i="1"/>
  <c r="O84" i="1"/>
  <c r="N84" i="1"/>
  <c r="L84" i="1"/>
  <c r="H84" i="1"/>
  <c r="G84" i="1"/>
  <c r="D84" i="1"/>
  <c r="B84" i="1"/>
  <c r="A84" i="1"/>
  <c r="O83" i="1"/>
  <c r="N83" i="1"/>
  <c r="L83" i="1"/>
  <c r="H83" i="1"/>
  <c r="G83" i="1"/>
  <c r="D83" i="1"/>
  <c r="B83" i="1"/>
  <c r="A83" i="1"/>
  <c r="O82" i="1"/>
  <c r="N82" i="1"/>
  <c r="L82" i="1"/>
  <c r="H82" i="1"/>
  <c r="G82" i="1"/>
  <c r="D82" i="1"/>
  <c r="B82" i="1"/>
  <c r="A82" i="1"/>
  <c r="O81" i="1"/>
  <c r="N81" i="1"/>
  <c r="L81" i="1"/>
  <c r="H81" i="1"/>
  <c r="G81" i="1"/>
  <c r="E81" i="1"/>
  <c r="D81" i="1"/>
  <c r="B81" i="1"/>
  <c r="A81" i="1"/>
  <c r="O80" i="1"/>
  <c r="N80" i="1"/>
  <c r="L80" i="1"/>
  <c r="H80" i="1"/>
  <c r="G80" i="1"/>
  <c r="D80" i="1"/>
  <c r="B80" i="1"/>
  <c r="A80" i="1"/>
  <c r="O79" i="1"/>
  <c r="N79" i="1"/>
  <c r="L79" i="1"/>
  <c r="H79" i="1"/>
  <c r="G79" i="1"/>
  <c r="D79" i="1"/>
  <c r="B79" i="1"/>
  <c r="A79" i="1"/>
  <c r="O78" i="1"/>
  <c r="N78" i="1"/>
  <c r="L78" i="1"/>
  <c r="H78" i="1"/>
  <c r="G78" i="1"/>
  <c r="E78" i="1"/>
  <c r="D78" i="1"/>
  <c r="B78" i="1"/>
  <c r="A78" i="1"/>
  <c r="O77" i="1"/>
  <c r="N77" i="1"/>
  <c r="L77" i="1"/>
  <c r="H77" i="1"/>
  <c r="G77" i="1"/>
  <c r="D77" i="1"/>
  <c r="B77" i="1"/>
  <c r="A77" i="1"/>
  <c r="O76" i="1"/>
  <c r="N76" i="1"/>
  <c r="L76" i="1"/>
  <c r="H76" i="1"/>
  <c r="G76" i="1"/>
  <c r="E76" i="1"/>
  <c r="D76" i="1"/>
  <c r="B76" i="1"/>
  <c r="A76" i="1"/>
  <c r="O75" i="1"/>
  <c r="N75" i="1"/>
  <c r="L75" i="1"/>
  <c r="H75" i="1"/>
  <c r="G75" i="1"/>
  <c r="E75" i="1"/>
  <c r="D75" i="1"/>
  <c r="B75" i="1"/>
  <c r="A75" i="1"/>
  <c r="O74" i="1"/>
  <c r="N74" i="1"/>
  <c r="L74" i="1"/>
  <c r="H74" i="1"/>
  <c r="G74" i="1"/>
  <c r="E74" i="1"/>
  <c r="D74" i="1"/>
  <c r="B74" i="1"/>
  <c r="A74" i="1"/>
  <c r="O73" i="1"/>
  <c r="N73" i="1"/>
  <c r="L73" i="1"/>
  <c r="H73" i="1"/>
  <c r="G73" i="1"/>
  <c r="D73" i="1"/>
  <c r="B73" i="1"/>
  <c r="A73" i="1"/>
  <c r="O72" i="1"/>
  <c r="N72" i="1"/>
  <c r="L72" i="1"/>
  <c r="H72" i="1"/>
  <c r="G72" i="1"/>
  <c r="D72" i="1"/>
  <c r="B72" i="1"/>
  <c r="A72" i="1"/>
  <c r="O71" i="1"/>
  <c r="N71" i="1"/>
  <c r="L71" i="1"/>
  <c r="H71" i="1"/>
  <c r="G71" i="1"/>
  <c r="F71" i="1"/>
  <c r="E71" i="1"/>
  <c r="D71" i="1"/>
  <c r="B71" i="1"/>
  <c r="A71" i="1"/>
  <c r="O70" i="1"/>
  <c r="N70" i="1"/>
  <c r="L70" i="1"/>
  <c r="H70" i="1"/>
  <c r="G70" i="1"/>
  <c r="D70" i="1"/>
  <c r="B70" i="1"/>
  <c r="A70" i="1"/>
  <c r="O69" i="1"/>
  <c r="N69" i="1"/>
  <c r="L69" i="1"/>
  <c r="H69" i="1"/>
  <c r="G69" i="1"/>
  <c r="D69" i="1"/>
  <c r="B69" i="1"/>
  <c r="A69" i="1"/>
  <c r="O68" i="1"/>
  <c r="N68" i="1"/>
  <c r="L68" i="1"/>
  <c r="H68" i="1"/>
  <c r="G68" i="1"/>
  <c r="E68" i="1"/>
  <c r="D68" i="1"/>
  <c r="B68" i="1"/>
  <c r="A68" i="1"/>
  <c r="N67" i="1"/>
  <c r="L67" i="1"/>
  <c r="H67" i="1"/>
  <c r="G67" i="1"/>
  <c r="E67" i="1"/>
  <c r="D67" i="1"/>
  <c r="B67" i="1"/>
  <c r="A67" i="1"/>
  <c r="O66" i="1"/>
  <c r="N66" i="1"/>
  <c r="L66" i="1"/>
  <c r="H66" i="1"/>
  <c r="G66" i="1"/>
  <c r="E66" i="1"/>
  <c r="D66" i="1"/>
  <c r="B66" i="1"/>
  <c r="A66" i="1"/>
  <c r="O65" i="1"/>
  <c r="N65" i="1"/>
  <c r="L65" i="1"/>
  <c r="H65" i="1"/>
  <c r="G65" i="1"/>
  <c r="D65" i="1"/>
  <c r="B65" i="1"/>
  <c r="A65" i="1"/>
  <c r="O64" i="1"/>
  <c r="N64" i="1"/>
  <c r="L64" i="1"/>
  <c r="H64" i="1"/>
  <c r="G64" i="1"/>
  <c r="E64" i="1"/>
  <c r="D64" i="1"/>
  <c r="B64" i="1"/>
  <c r="A64" i="1"/>
  <c r="O63" i="1"/>
  <c r="N63" i="1"/>
  <c r="L63" i="1"/>
  <c r="H63" i="1"/>
  <c r="G63" i="1"/>
  <c r="D63" i="1"/>
  <c r="B63" i="1"/>
  <c r="A63" i="1"/>
  <c r="O62" i="1"/>
  <c r="N62" i="1"/>
  <c r="L62" i="1"/>
  <c r="H62" i="1"/>
  <c r="G62" i="1"/>
  <c r="F62" i="1"/>
  <c r="E62" i="1"/>
  <c r="D62" i="1"/>
  <c r="B62" i="1"/>
  <c r="A62" i="1"/>
  <c r="O61" i="1"/>
  <c r="N61" i="1"/>
  <c r="L61" i="1"/>
  <c r="H61" i="1"/>
  <c r="G61" i="1"/>
  <c r="D61" i="1"/>
  <c r="B61" i="1"/>
  <c r="A61" i="1"/>
  <c r="O60" i="1"/>
  <c r="N60" i="1"/>
  <c r="L60" i="1"/>
  <c r="H60" i="1"/>
  <c r="G60" i="1"/>
  <c r="E60" i="1"/>
  <c r="D60" i="1"/>
  <c r="B60" i="1"/>
  <c r="A60" i="1"/>
  <c r="N59" i="1"/>
  <c r="L59" i="1"/>
  <c r="H59" i="1"/>
  <c r="G59" i="1"/>
  <c r="F59" i="1"/>
  <c r="E59" i="1"/>
  <c r="D59" i="1"/>
  <c r="B59" i="1"/>
  <c r="A59" i="1"/>
  <c r="O58" i="1"/>
  <c r="N58" i="1"/>
  <c r="L58" i="1"/>
  <c r="H58" i="1"/>
  <c r="G58" i="1"/>
  <c r="F58" i="1"/>
  <c r="E58" i="1"/>
  <c r="D58" i="1"/>
  <c r="B58" i="1"/>
  <c r="A58" i="1"/>
  <c r="O57" i="1"/>
  <c r="N57" i="1"/>
  <c r="L57" i="1"/>
  <c r="H57" i="1"/>
  <c r="G57" i="1"/>
  <c r="E57" i="1"/>
  <c r="D57" i="1"/>
  <c r="B57" i="1"/>
  <c r="A57" i="1"/>
  <c r="O56" i="1"/>
  <c r="N56" i="1"/>
  <c r="L56" i="1"/>
  <c r="H56" i="1"/>
  <c r="G56" i="1"/>
  <c r="F56" i="1"/>
  <c r="E56" i="1"/>
  <c r="D56" i="1"/>
  <c r="B56" i="1"/>
  <c r="A56" i="1"/>
  <c r="O55" i="1"/>
  <c r="N55" i="1"/>
  <c r="L55" i="1"/>
  <c r="H55" i="1"/>
  <c r="G55" i="1"/>
  <c r="E55" i="1"/>
  <c r="D55" i="1"/>
  <c r="B55" i="1"/>
  <c r="A55" i="1"/>
  <c r="O54" i="1"/>
  <c r="N54" i="1"/>
  <c r="L54" i="1"/>
  <c r="H54" i="1"/>
  <c r="G54" i="1"/>
  <c r="D54" i="1"/>
  <c r="B54" i="1"/>
  <c r="A54" i="1"/>
  <c r="O53" i="1"/>
  <c r="N53" i="1"/>
  <c r="L53" i="1"/>
  <c r="H53" i="1"/>
  <c r="G53" i="1"/>
  <c r="D53" i="1"/>
  <c r="B53" i="1"/>
  <c r="A53" i="1"/>
  <c r="N52" i="1"/>
  <c r="L52" i="1"/>
  <c r="H52" i="1"/>
  <c r="G52" i="1"/>
  <c r="E52" i="1"/>
  <c r="D52" i="1"/>
  <c r="B52" i="1"/>
  <c r="A52" i="1"/>
  <c r="N51" i="1"/>
  <c r="L51" i="1"/>
  <c r="I51" i="1"/>
  <c r="H51" i="1"/>
  <c r="G51" i="1"/>
  <c r="F51" i="1"/>
  <c r="E51" i="1"/>
  <c r="D51" i="1"/>
  <c r="B51" i="1"/>
  <c r="A51" i="1"/>
  <c r="O50" i="1"/>
  <c r="N50" i="1"/>
  <c r="L50" i="1"/>
  <c r="H50" i="1"/>
  <c r="G50" i="1"/>
  <c r="F50" i="1"/>
  <c r="E50" i="1"/>
  <c r="D50" i="1"/>
  <c r="B50" i="1"/>
  <c r="A50" i="1"/>
  <c r="O49" i="1"/>
  <c r="N49" i="1"/>
  <c r="L49" i="1"/>
  <c r="H49" i="1"/>
  <c r="G49" i="1"/>
  <c r="E49" i="1"/>
  <c r="D49" i="1"/>
  <c r="B49" i="1"/>
  <c r="A49" i="1"/>
  <c r="N48" i="1"/>
  <c r="L48" i="1"/>
  <c r="I48" i="1"/>
  <c r="H48" i="1"/>
  <c r="G48" i="1"/>
  <c r="F48" i="1"/>
  <c r="E48" i="1"/>
  <c r="D48" i="1"/>
  <c r="B48" i="1"/>
  <c r="A48" i="1"/>
  <c r="O47" i="1"/>
  <c r="N47" i="1"/>
  <c r="L47" i="1"/>
  <c r="H47" i="1"/>
  <c r="G47" i="1"/>
  <c r="E47" i="1"/>
  <c r="D47" i="1"/>
  <c r="B47" i="1"/>
  <c r="A47" i="1"/>
  <c r="O46" i="1"/>
  <c r="N46" i="1"/>
  <c r="L46" i="1"/>
  <c r="H46" i="1"/>
  <c r="G46" i="1"/>
  <c r="D46" i="1"/>
  <c r="B46" i="1"/>
  <c r="A46" i="1"/>
  <c r="O45" i="1"/>
  <c r="N45" i="1"/>
  <c r="L45" i="1"/>
  <c r="H45" i="1"/>
  <c r="G45" i="1"/>
  <c r="D45" i="1"/>
  <c r="B45" i="1"/>
  <c r="A45" i="1"/>
  <c r="O44" i="1"/>
  <c r="N44" i="1"/>
  <c r="L44" i="1"/>
  <c r="H44" i="1"/>
  <c r="G44" i="1"/>
  <c r="D44" i="1"/>
  <c r="B44" i="1"/>
  <c r="A44" i="1"/>
  <c r="O43" i="1"/>
  <c r="N43" i="1"/>
  <c r="L43" i="1"/>
  <c r="H43" i="1"/>
  <c r="G43" i="1"/>
  <c r="D43" i="1"/>
  <c r="B43" i="1"/>
  <c r="A43" i="1"/>
  <c r="O42" i="1"/>
  <c r="N42" i="1"/>
  <c r="L42" i="1"/>
  <c r="H42" i="1"/>
  <c r="G42" i="1"/>
  <c r="D42" i="1"/>
  <c r="B42" i="1"/>
  <c r="A42" i="1"/>
  <c r="O41" i="1"/>
  <c r="N41" i="1"/>
  <c r="L41" i="1"/>
  <c r="H41" i="1"/>
  <c r="G41" i="1"/>
  <c r="D41" i="1"/>
  <c r="B41" i="1"/>
  <c r="A41" i="1"/>
  <c r="O40" i="1"/>
  <c r="N40" i="1"/>
  <c r="L40" i="1"/>
  <c r="H40" i="1"/>
  <c r="G40" i="1"/>
  <c r="D40" i="1"/>
  <c r="B40" i="1"/>
  <c r="A40" i="1"/>
  <c r="O39" i="1"/>
  <c r="N39" i="1"/>
  <c r="L39" i="1"/>
  <c r="H39" i="1"/>
  <c r="G39" i="1"/>
  <c r="D39" i="1"/>
  <c r="B39" i="1"/>
  <c r="A39" i="1"/>
  <c r="O38" i="1"/>
  <c r="N38" i="1"/>
  <c r="L38" i="1"/>
  <c r="H38" i="1"/>
  <c r="G38" i="1"/>
  <c r="E38" i="1"/>
  <c r="D38" i="1"/>
  <c r="B38" i="1"/>
  <c r="A38" i="1"/>
  <c r="O37" i="1"/>
  <c r="N37" i="1"/>
  <c r="L37" i="1"/>
  <c r="H37" i="1"/>
  <c r="G37" i="1"/>
  <c r="D37" i="1"/>
  <c r="B37" i="1"/>
  <c r="A37" i="1"/>
  <c r="O36" i="1"/>
  <c r="N36" i="1"/>
  <c r="L36" i="1"/>
  <c r="H36" i="1"/>
  <c r="G36" i="1"/>
  <c r="D36" i="1"/>
  <c r="B36" i="1"/>
  <c r="A36" i="1"/>
  <c r="O35" i="1"/>
  <c r="N35" i="1"/>
  <c r="L35" i="1"/>
  <c r="H35" i="1"/>
  <c r="G35" i="1"/>
  <c r="D35" i="1"/>
  <c r="B35" i="1"/>
  <c r="A35" i="1"/>
  <c r="O34" i="1"/>
  <c r="N34" i="1"/>
  <c r="L34" i="1"/>
  <c r="H34" i="1"/>
  <c r="G34" i="1"/>
  <c r="D34" i="1"/>
  <c r="B34" i="1"/>
  <c r="A34" i="1"/>
  <c r="O33" i="1"/>
  <c r="N33" i="1"/>
  <c r="L33" i="1"/>
  <c r="H33" i="1"/>
  <c r="G33" i="1"/>
  <c r="D33" i="1"/>
  <c r="B33" i="1"/>
  <c r="A33" i="1"/>
  <c r="O32" i="1"/>
  <c r="N32" i="1"/>
  <c r="L32" i="1"/>
  <c r="H32" i="1"/>
  <c r="G32" i="1"/>
  <c r="E32" i="1"/>
  <c r="D32" i="1"/>
  <c r="B32" i="1"/>
  <c r="A32" i="1"/>
  <c r="O31" i="1"/>
  <c r="N31" i="1"/>
  <c r="L31" i="1"/>
  <c r="H31" i="1"/>
  <c r="G31" i="1"/>
  <c r="D31" i="1"/>
  <c r="B31" i="1"/>
  <c r="A31" i="1"/>
  <c r="O30" i="1"/>
  <c r="N30" i="1"/>
  <c r="L30" i="1"/>
  <c r="H30" i="1"/>
  <c r="G30" i="1"/>
  <c r="E30" i="1"/>
  <c r="D30" i="1"/>
  <c r="B30" i="1"/>
  <c r="A30" i="1"/>
  <c r="O29" i="1"/>
  <c r="N29" i="1"/>
  <c r="L29" i="1"/>
  <c r="H29" i="1"/>
  <c r="G29" i="1"/>
  <c r="D29" i="1"/>
  <c r="B29" i="1"/>
  <c r="A29" i="1"/>
  <c r="O28" i="1"/>
  <c r="N28" i="1"/>
  <c r="L28" i="1"/>
  <c r="H28" i="1"/>
  <c r="G28" i="1"/>
  <c r="D28" i="1"/>
  <c r="B28" i="1"/>
  <c r="A28" i="1"/>
  <c r="O27" i="1"/>
  <c r="N27" i="1"/>
  <c r="L27" i="1"/>
  <c r="H27" i="1"/>
  <c r="G27" i="1"/>
  <c r="D27" i="1"/>
  <c r="B27" i="1"/>
  <c r="A27" i="1"/>
  <c r="O26" i="1"/>
  <c r="N26" i="1"/>
  <c r="L26" i="1"/>
  <c r="H26" i="1"/>
  <c r="G26" i="1"/>
  <c r="E26" i="1"/>
  <c r="D26" i="1"/>
  <c r="B26" i="1"/>
  <c r="A26" i="1"/>
  <c r="O25" i="1"/>
  <c r="N25" i="1"/>
  <c r="L25" i="1"/>
  <c r="H25" i="1"/>
  <c r="G25" i="1"/>
  <c r="D25" i="1"/>
  <c r="B25" i="1"/>
  <c r="A25" i="1"/>
  <c r="O24" i="1"/>
  <c r="N24" i="1"/>
  <c r="L24" i="1"/>
  <c r="H24" i="1"/>
  <c r="G24" i="1"/>
  <c r="D24" i="1"/>
  <c r="B24" i="1"/>
  <c r="A24" i="1"/>
  <c r="N23" i="1"/>
  <c r="L23" i="1"/>
  <c r="H23" i="1"/>
  <c r="G23" i="1"/>
  <c r="E23" i="1"/>
  <c r="D23" i="1"/>
  <c r="B23" i="1"/>
  <c r="A23" i="1"/>
  <c r="O22" i="1"/>
  <c r="N22" i="1"/>
  <c r="L22" i="1"/>
  <c r="H22" i="1"/>
  <c r="G22" i="1"/>
  <c r="D22" i="1"/>
  <c r="B22" i="1"/>
  <c r="A22" i="1"/>
  <c r="O21" i="1"/>
  <c r="N21" i="1"/>
  <c r="L21" i="1"/>
  <c r="H21" i="1"/>
  <c r="D21" i="1"/>
  <c r="B21" i="1"/>
  <c r="A21" i="1"/>
  <c r="O20" i="1"/>
  <c r="N20" i="1"/>
  <c r="L20" i="1"/>
  <c r="H20" i="1"/>
  <c r="G20" i="1"/>
  <c r="D20" i="1"/>
  <c r="B20" i="1"/>
  <c r="A20" i="1"/>
  <c r="O19" i="1"/>
  <c r="N19" i="1"/>
  <c r="L19" i="1"/>
  <c r="H19" i="1"/>
  <c r="G19" i="1"/>
  <c r="D19" i="1"/>
  <c r="B19" i="1"/>
  <c r="A19" i="1"/>
  <c r="O18" i="1"/>
  <c r="N18" i="1"/>
  <c r="L18" i="1"/>
  <c r="H18" i="1"/>
  <c r="G18" i="1"/>
  <c r="E18" i="1"/>
  <c r="D18" i="1"/>
  <c r="B18" i="1"/>
  <c r="A18" i="1"/>
  <c r="O17" i="1"/>
  <c r="N17" i="1"/>
  <c r="L17" i="1"/>
  <c r="H17" i="1"/>
  <c r="G17" i="1"/>
  <c r="D17" i="1"/>
  <c r="B17" i="1"/>
  <c r="A17" i="1"/>
  <c r="O16" i="1"/>
  <c r="N16" i="1"/>
  <c r="L16" i="1"/>
  <c r="H16" i="1"/>
  <c r="G16" i="1"/>
  <c r="D16" i="1"/>
  <c r="B16" i="1"/>
  <c r="A16" i="1"/>
  <c r="O15" i="1"/>
  <c r="N15" i="1"/>
  <c r="L15" i="1"/>
  <c r="H15" i="1"/>
  <c r="G15" i="1"/>
  <c r="D15" i="1"/>
  <c r="B15" i="1"/>
  <c r="A15" i="1"/>
  <c r="O14" i="1"/>
  <c r="N14" i="1"/>
  <c r="L14" i="1"/>
  <c r="H14" i="1"/>
  <c r="G14" i="1"/>
  <c r="D14" i="1"/>
  <c r="B14" i="1"/>
  <c r="A14" i="1"/>
  <c r="N13" i="1"/>
  <c r="M13" i="1"/>
  <c r="L13" i="1"/>
  <c r="K13" i="1"/>
  <c r="J13" i="1"/>
  <c r="G13" i="1"/>
  <c r="F13" i="1"/>
  <c r="E13" i="1"/>
  <c r="D13" i="1"/>
  <c r="C13" i="1"/>
  <c r="B13" i="1"/>
  <c r="A13" i="1"/>
  <c r="N12" i="1"/>
  <c r="M12" i="1"/>
  <c r="L12" i="1"/>
  <c r="K12" i="1"/>
  <c r="J12" i="1"/>
  <c r="G12" i="1"/>
  <c r="F12" i="1"/>
  <c r="E12" i="1"/>
  <c r="D12" i="1"/>
  <c r="B12" i="1"/>
  <c r="A12" i="1"/>
  <c r="N11" i="1"/>
  <c r="L11" i="1"/>
  <c r="G11" i="1"/>
  <c r="E11" i="1"/>
  <c r="D11" i="1"/>
  <c r="B11" i="1"/>
  <c r="A11" i="1"/>
  <c r="O10" i="1"/>
  <c r="N10" i="1"/>
  <c r="L10" i="1"/>
  <c r="G10" i="1"/>
  <c r="D10" i="1"/>
  <c r="B10" i="1"/>
  <c r="A10" i="1"/>
  <c r="N9" i="1"/>
  <c r="L9" i="1"/>
  <c r="H9" i="1"/>
  <c r="G9" i="1"/>
  <c r="D9" i="1"/>
  <c r="A9" i="1"/>
  <c r="N8" i="1"/>
  <c r="M8" i="1"/>
  <c r="L8" i="1"/>
  <c r="J8" i="1"/>
  <c r="H8" i="1"/>
  <c r="G8" i="1"/>
  <c r="E8" i="1"/>
  <c r="D8" i="1"/>
  <c r="B8" i="1"/>
  <c r="A8" i="1"/>
  <c r="O7" i="1"/>
  <c r="N7" i="1"/>
  <c r="L7" i="1"/>
  <c r="H7" i="1"/>
  <c r="G7" i="1"/>
  <c r="D7" i="1"/>
  <c r="B7" i="1"/>
  <c r="A7" i="1"/>
  <c r="N6" i="1"/>
  <c r="O5" i="1"/>
  <c r="N5" i="1"/>
  <c r="M5" i="1"/>
  <c r="L5" i="1"/>
  <c r="K5" i="1"/>
  <c r="J5" i="1"/>
  <c r="I5" i="1"/>
  <c r="H5" i="1"/>
  <c r="G5" i="1"/>
  <c r="F5" i="1"/>
  <c r="E5" i="1"/>
  <c r="D5" i="1"/>
  <c r="C5" i="1"/>
  <c r="B5" i="1"/>
  <c r="A5" i="1"/>
  <c r="V1" i="1"/>
  <c r="K1" i="1"/>
</calcChain>
</file>

<file path=xl/sharedStrings.xml><?xml version="1.0" encoding="utf-8"?>
<sst xmlns="http://schemas.openxmlformats.org/spreadsheetml/2006/main" count="167" uniqueCount="163">
  <si>
    <t>PUBLIC READ ONLY COPY of the CAWOS Rarities Database (From 2008)</t>
  </si>
  <si>
    <t>UPDATED</t>
  </si>
  <si>
    <t>See tab on filtering to change views - the default view is the last 3 years. County rarities since 2008, and all current BBRCs will be added (some gaps 2019-20) and the systematic list is currently being adjusted</t>
  </si>
  <si>
    <t>In the Data tab, on the toolbar above select "filter views" then one of the public filters from the drop down menu</t>
  </si>
  <si>
    <t>The default view is all areas, for the last 3 years</t>
  </si>
  <si>
    <t>There are views for BBRC, unsubmitted and various locations/ckusters</t>
  </si>
  <si>
    <t>If the view you want is not yet listed, email Rarities@cawos.org</t>
  </si>
  <si>
    <t xml:space="preserve">NB BBRC records are being added retrospectively.  </t>
  </si>
  <si>
    <t>Species subsequently removed deom the BBRC list will take a little longer to add</t>
  </si>
  <si>
    <t>Records post 2012 will also be added as they are located</t>
  </si>
  <si>
    <t xml:space="preserve">Records received are circulated around the 6 members. </t>
  </si>
  <si>
    <t>1st U</t>
  </si>
  <si>
    <t xml:space="preserve"> If on the first circulation the record is accepted or deemed unproved by all voting members then no further action is taken</t>
  </si>
  <si>
    <t>1st M</t>
  </si>
  <si>
    <t>As above, but with one member voting to pend (can be reopened if one of the members holding a minority view wants further discussion.)</t>
  </si>
  <si>
    <t>If one member or more is not in agreement with the rest, the record is recirculated (with anonymous comments from the committee)</t>
  </si>
  <si>
    <t>2nd U</t>
  </si>
  <si>
    <t>100% agreement on the decision following 2nd circulation</t>
  </si>
  <si>
    <t>2nd M</t>
  </si>
  <si>
    <t>All but one member agrees with the decision and the remaining member is not strongly opposed</t>
  </si>
  <si>
    <t>If there is still no agreement, there is a face to face meeting or teleconference to discuss the record in more detail</t>
  </si>
  <si>
    <t>3rd U</t>
  </si>
  <si>
    <t>100% agreement following discussion</t>
  </si>
  <si>
    <t>3rd M</t>
  </si>
  <si>
    <t>Only one member not in agreement with the decision</t>
  </si>
  <si>
    <t>Definitions:</t>
  </si>
  <si>
    <r>
      <rPr>
        <sz val="10"/>
        <rFont val="Arial"/>
      </rPr>
      <t>Accepted</t>
    </r>
    <r>
      <rPr>
        <sz val="10"/>
        <rFont val="Arial"/>
      </rPr>
      <t>: Submitted by observer and accepted</t>
    </r>
  </si>
  <si>
    <t>Accepted by proxy: Not submitted by observer but already accepted for that location and time, description not proven but already accepted on the basis of another later description, or accepted by a different authority</t>
  </si>
  <si>
    <t>Accepted automatically: Not circulated because the identification is already agreed and accepted</t>
  </si>
  <si>
    <t>Accepted w/o circulation, multi observed and widely photographed bird where there is no possibility of a mistake having been made</t>
  </si>
  <si>
    <t>Exemption</t>
  </si>
  <si>
    <t>In some influx years, acceptance criteria may be relaxed for certain species and locations, these will be removed from the list after 2 years</t>
  </si>
  <si>
    <t>Hawfinch and Yellow-browed Warbler</t>
  </si>
  <si>
    <t>Species</t>
  </si>
  <si>
    <t>Notes</t>
  </si>
  <si>
    <t>Black Grouse</t>
  </si>
  <si>
    <t>Quail</t>
  </si>
  <si>
    <t>Singing males do not need a description</t>
  </si>
  <si>
    <t>Bean Goose</t>
  </si>
  <si>
    <t>all races</t>
  </si>
  <si>
    <t>American Wigeon</t>
  </si>
  <si>
    <t>Green-winged Teal</t>
  </si>
  <si>
    <t xml:space="preserve">Red-crested Pochard </t>
  </si>
  <si>
    <t>Female immatures only</t>
  </si>
  <si>
    <t>Ring-necked Duck</t>
  </si>
  <si>
    <t>Lesser Scaup</t>
  </si>
  <si>
    <t xml:space="preserve">Velvet Scoter </t>
  </si>
  <si>
    <t>Inland only</t>
  </si>
  <si>
    <t>Nightjar</t>
  </si>
  <si>
    <t>Alpine Swift</t>
  </si>
  <si>
    <t>Turtle Dove</t>
  </si>
  <si>
    <t>Unless calling</t>
  </si>
  <si>
    <t>Corncrake</t>
  </si>
  <si>
    <t>Spotted Crake</t>
  </si>
  <si>
    <t>Crane</t>
  </si>
  <si>
    <t>Red-necked Grebe</t>
  </si>
  <si>
    <t xml:space="preserve">Slavonian Grebe </t>
  </si>
  <si>
    <t>Winter plumage</t>
  </si>
  <si>
    <t>Black-necked Grebe</t>
  </si>
  <si>
    <t>only needed for coastal winter records</t>
  </si>
  <si>
    <t>Stone-curlew</t>
  </si>
  <si>
    <t>American Golden Plover</t>
  </si>
  <si>
    <t>Dotterel</t>
  </si>
  <si>
    <t>Temminck's Stint</t>
  </si>
  <si>
    <t>White-rumped Sandpiper</t>
  </si>
  <si>
    <t>Buff-breasted Sandpiper</t>
  </si>
  <si>
    <t>Pectoral Sandpiper</t>
  </si>
  <si>
    <t>Red-necked Phalarope</t>
  </si>
  <si>
    <t>Grey Phalarope</t>
  </si>
  <si>
    <t>Sabine's Gull</t>
  </si>
  <si>
    <t>Ring-billed Gull</t>
  </si>
  <si>
    <t>Caspian Gull</t>
  </si>
  <si>
    <t>Roseate Tern</t>
  </si>
  <si>
    <t>White-winged Black Tern</t>
  </si>
  <si>
    <t>Pomarine Skua</t>
  </si>
  <si>
    <t>Not needed for adults with spoons</t>
  </si>
  <si>
    <t>Long-tailed Skua</t>
  </si>
  <si>
    <t>Little Auk</t>
  </si>
  <si>
    <t>Black Guillemot</t>
  </si>
  <si>
    <t>Puffin</t>
  </si>
  <si>
    <t>Red-throated Diver</t>
  </si>
  <si>
    <t>Black-throated Diver</t>
  </si>
  <si>
    <t>Great Northern Diver</t>
  </si>
  <si>
    <t xml:space="preserve">Storm Petrel </t>
  </si>
  <si>
    <t>Except June to Sept</t>
  </si>
  <si>
    <t xml:space="preserve">Fulmar </t>
  </si>
  <si>
    <t>Blue phase only</t>
  </si>
  <si>
    <t>Sooty Shearwater</t>
  </si>
  <si>
    <t>Balearic Shearwater</t>
  </si>
  <si>
    <t>White Stork</t>
  </si>
  <si>
    <t xml:space="preserve">Shag </t>
  </si>
  <si>
    <t>Glossy Ibis</t>
  </si>
  <si>
    <t>Night-Heron</t>
  </si>
  <si>
    <t xml:space="preserve">Cattle Egret </t>
  </si>
  <si>
    <t>Away from Dee and Mersey Estuaries</t>
  </si>
  <si>
    <t>Purple Heron</t>
  </si>
  <si>
    <t>Honey-buzzard</t>
  </si>
  <si>
    <t>Goshawk</t>
  </si>
  <si>
    <t>Montagu's Harrier</t>
  </si>
  <si>
    <t>Black Kite</t>
  </si>
  <si>
    <t>White-tailed Eagle</t>
  </si>
  <si>
    <t>Rough-legged Buzzard</t>
  </si>
  <si>
    <t xml:space="preserve">Long-eared Owl </t>
  </si>
  <si>
    <t>Flight only</t>
  </si>
  <si>
    <t>Hoopoe</t>
  </si>
  <si>
    <t>Bee-eater</t>
  </si>
  <si>
    <t>Wryneck</t>
  </si>
  <si>
    <t>Red-footed Falcon</t>
  </si>
  <si>
    <t>Red-backed Shrike</t>
  </si>
  <si>
    <t>Great Grey Shrike</t>
  </si>
  <si>
    <t>Golden Oriole</t>
  </si>
  <si>
    <t>Chough</t>
  </si>
  <si>
    <t>Hooded Crow</t>
  </si>
  <si>
    <t>Marsh Tit</t>
  </si>
  <si>
    <t>away from proven sites</t>
  </si>
  <si>
    <t>Willow Tit</t>
  </si>
  <si>
    <t>Bearded Tit</t>
  </si>
  <si>
    <t>Penduline Tit</t>
  </si>
  <si>
    <t>Woodlark</t>
  </si>
  <si>
    <t>Shore Lark</t>
  </si>
  <si>
    <t>Red-rumped Swallow</t>
  </si>
  <si>
    <t xml:space="preserve">Wood Warbler </t>
  </si>
  <si>
    <t>not needed for singing males</t>
  </si>
  <si>
    <t>Yellow-browed Warbler</t>
  </si>
  <si>
    <t>not needed for trapped birds and N.Wirral 25th Sept to Nov 1st</t>
  </si>
  <si>
    <t>Pallas's Warbler</t>
  </si>
  <si>
    <t>Radde's Warbler</t>
  </si>
  <si>
    <t>Chiffchaff</t>
  </si>
  <si>
    <t>except nominate race</t>
  </si>
  <si>
    <t>Greenish Warbler</t>
  </si>
  <si>
    <t>Blyth's Reed Warbler</t>
  </si>
  <si>
    <t>Marsh Warbler</t>
  </si>
  <si>
    <t>Icterine Warbler</t>
  </si>
  <si>
    <t>Barred Warbler</t>
  </si>
  <si>
    <t>Dartford Warbler</t>
  </si>
  <si>
    <t>Subalpine Warbler</t>
  </si>
  <si>
    <t>Rose-coloured Starling</t>
  </si>
  <si>
    <t>Bluethroat</t>
  </si>
  <si>
    <t>Nightingale</t>
  </si>
  <si>
    <t>Red-breasted Flycatcher</t>
  </si>
  <si>
    <t>Black Redstart</t>
  </si>
  <si>
    <t>Yellow Wagtail</t>
  </si>
  <si>
    <t>except for flavissima and Channel.  Undescribed flava will be published as Channel/Blue-headed</t>
  </si>
  <si>
    <t>Citrine Wagtail</t>
  </si>
  <si>
    <t>Richard's Pipit</t>
  </si>
  <si>
    <t xml:space="preserve">Water Pipit </t>
  </si>
  <si>
    <t>Apart from Neston Sewage farm, Hale and Frodsham proven wintering sites.  (Described records of spinoletta stil include photos of littoralis - hence the caution)</t>
  </si>
  <si>
    <t xml:space="preserve">Rock Pipit </t>
  </si>
  <si>
    <t>descriptions needed for petrosus away from rocky coasts and littoralis away from estuaries</t>
  </si>
  <si>
    <t>Hawfinch</t>
  </si>
  <si>
    <t>Not needed for calling migrants ay Hale</t>
  </si>
  <si>
    <t>Common Rosefinch</t>
  </si>
  <si>
    <t xml:space="preserve">Common Redpoll </t>
  </si>
  <si>
    <t>Unless trapped</t>
  </si>
  <si>
    <t>Arctic Redpoll</t>
  </si>
  <si>
    <t>Serin</t>
  </si>
  <si>
    <t xml:space="preserve">Lapland Bunting </t>
  </si>
  <si>
    <t>not needed for coatal saltmarsh or calling overhead migrants at Hale, Red Rocks and Hilbre</t>
  </si>
  <si>
    <t xml:space="preserve">Snow Bunting </t>
  </si>
  <si>
    <t>away from coasts</t>
  </si>
  <si>
    <t>Ortolan Bunting</t>
  </si>
  <si>
    <t>Cirl Bunting</t>
  </si>
  <si>
    <t>Little Bunting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</si>
</sst>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
    <numFmt numFmtId="165" formatCode="dd/mm/yy"/>
    <numFmt numFmtId="166" formatCode="d\-m"/>
  </numFmts>
  <fonts count="17">
    <font>
      <sz val="10"/>
      <color rgb="FF000000"/>
      <name val="Arial"/>
    </font>
    <font>
      <sz val="10"/>
      <name val="Arial Narrow"/>
    </font>
    <font>
      <b/>
      <sz val="18"/>
      <color rgb="FFFFFFFF"/>
      <name val="Arial Narrow"/>
    </font>
    <font>
      <sz val="10"/>
      <color rgb="FFFFFFFF"/>
      <name val="Arial Narrow"/>
    </font>
    <font>
      <b/>
      <sz val="14"/>
      <color rgb="FFFF0000"/>
      <name val="Arial Narrow"/>
    </font>
    <font>
      <sz val="10"/>
      <name val="Arial Narrow"/>
    </font>
    <font>
      <b/>
      <sz val="14"/>
      <color rgb="FF993366"/>
      <name val="Arial Narrow"/>
    </font>
    <font>
      <b/>
      <sz val="10"/>
      <name val="Arial Narrow"/>
    </font>
    <font>
      <b/>
      <sz val="10"/>
      <color rgb="FF000000"/>
      <name val="Arial Narrow"/>
    </font>
    <font>
      <sz val="10"/>
      <color rgb="FF000000"/>
      <name val="Arial Narrow"/>
    </font>
    <font>
      <sz val="8"/>
      <name val="Arial Narrow"/>
    </font>
    <font>
      <sz val="10"/>
      <name val="Arial"/>
    </font>
    <font>
      <b/>
      <sz val="10"/>
      <name val="Arial"/>
    </font>
    <font>
      <sz val="10"/>
      <name val="Arial"/>
    </font>
    <font>
      <b/>
      <sz val="10"/>
      <name val="Arial"/>
    </font>
    <font>
      <sz val="11"/>
      <name val="Sans-serif"/>
    </font>
    <font>
      <sz val="11"/>
      <name val="Arial"/>
    </font>
  </fonts>
  <fills count="6">
    <fill>
      <patternFill patternType="none"/>
    </fill>
    <fill>
      <patternFill patternType="gray125"/>
    </fill>
    <fill>
      <patternFill patternType="solid">
        <fgColor rgb="FF5B95F9"/>
        <bgColor rgb="FF5B95F9"/>
      </patternFill>
    </fill>
    <fill>
      <patternFill patternType="solid">
        <fgColor rgb="FFFFFFFF"/>
        <bgColor rgb="FFFFFFFF"/>
      </patternFill>
    </fill>
    <fill>
      <patternFill patternType="solid">
        <fgColor rgb="FFE8F0FE"/>
        <bgColor rgb="FFE8F0FE"/>
      </patternFill>
    </fill>
    <fill>
      <patternFill patternType="solid">
        <fgColor rgb="FFCCFFCC"/>
        <bgColor rgb="FFCCFFCC"/>
      </patternFill>
    </fill>
  </fills>
  <borders count="2">
    <border>
      <left/>
      <right/>
      <top/>
      <bottom/>
      <diagonal/>
    </border>
    <border>
      <left/>
      <right/>
      <top/>
      <bottom/>
      <diagonal/>
    </border>
  </borders>
  <cellStyleXfs count="1">
    <xf numFmtId="0" fontId="0" fillId="0" borderId="0"/>
  </cellStyleXfs>
  <cellXfs count="102">
    <xf numFmtId="0" fontId="0" fillId="0" borderId="0" xfId="0" applyFont="1" applyAlignment="1"/>
    <xf numFmtId="1" fontId="1" fillId="2" borderId="0" xfId="0" applyNumberFormat="1" applyFont="1" applyFill="1" applyAlignment="1">
      <alignment horizontal="center"/>
    </xf>
    <xf numFmtId="0" fontId="2" fillId="2" borderId="0" xfId="0" applyFont="1" applyFill="1" applyAlignment="1">
      <alignment horizontal="left" vertical="top" wrapText="1"/>
    </xf>
    <xf numFmtId="14" fontId="2" fillId="2" borderId="0" xfId="0" applyNumberFormat="1" applyFont="1" applyFill="1" applyAlignment="1">
      <alignment horizontal="center" wrapText="1"/>
    </xf>
    <xf numFmtId="0" fontId="2" fillId="2" borderId="0" xfId="0" applyFont="1" applyFill="1" applyAlignment="1">
      <alignment horizontal="center" wrapText="1"/>
    </xf>
    <xf numFmtId="0" fontId="2" fillId="2" borderId="0" xfId="0" applyFont="1" applyFill="1" applyAlignment="1">
      <alignment wrapText="1"/>
    </xf>
    <xf numFmtId="0" fontId="1" fillId="2" borderId="0" xfId="0" applyFont="1" applyFill="1" applyAlignment="1"/>
    <xf numFmtId="0" fontId="1" fillId="2" borderId="0" xfId="0" applyFont="1" applyFill="1" applyAlignment="1"/>
    <xf numFmtId="1" fontId="1" fillId="2" borderId="0" xfId="0" applyNumberFormat="1" applyFont="1" applyFill="1" applyAlignment="1"/>
    <xf numFmtId="0" fontId="3" fillId="2" borderId="0" xfId="0" applyFont="1" applyFill="1" applyAlignment="1">
      <alignment horizontal="right"/>
    </xf>
    <xf numFmtId="1" fontId="1" fillId="3" borderId="0" xfId="0" applyNumberFormat="1" applyFont="1" applyFill="1" applyAlignment="1">
      <alignment horizontal="center"/>
    </xf>
    <xf numFmtId="0" fontId="4" fillId="3" borderId="0" xfId="0" applyFont="1" applyFill="1" applyAlignment="1">
      <alignment horizontal="center" wrapText="1"/>
    </xf>
    <xf numFmtId="14" fontId="1" fillId="3" borderId="0" xfId="0" applyNumberFormat="1" applyFont="1" applyFill="1" applyAlignment="1">
      <alignment horizontal="center"/>
    </xf>
    <xf numFmtId="0" fontId="1" fillId="3" borderId="0" xfId="0" applyFont="1" applyFill="1" applyAlignment="1">
      <alignment horizontal="center"/>
    </xf>
    <xf numFmtId="0" fontId="1" fillId="3" borderId="0" xfId="0" applyFont="1" applyFill="1" applyAlignment="1">
      <alignment wrapText="1"/>
    </xf>
    <xf numFmtId="0" fontId="1" fillId="3" borderId="0" xfId="0" applyFont="1" applyFill="1" applyAlignment="1"/>
    <xf numFmtId="14" fontId="1" fillId="3" borderId="0" xfId="0" applyNumberFormat="1" applyFont="1" applyFill="1" applyAlignment="1"/>
    <xf numFmtId="14" fontId="1" fillId="3" borderId="0" xfId="0" applyNumberFormat="1" applyFont="1" applyFill="1" applyAlignment="1"/>
    <xf numFmtId="0" fontId="1" fillId="3" borderId="0" xfId="0" applyFont="1" applyFill="1" applyAlignment="1"/>
    <xf numFmtId="1" fontId="1" fillId="3" borderId="0" xfId="0" applyNumberFormat="1" applyFont="1" applyFill="1" applyAlignment="1"/>
    <xf numFmtId="1" fontId="1" fillId="4" borderId="0" xfId="0" applyNumberFormat="1" applyFont="1" applyFill="1" applyAlignment="1">
      <alignment horizontal="center"/>
    </xf>
    <xf numFmtId="0" fontId="5" fillId="4" borderId="0" xfId="0" applyFont="1" applyFill="1" applyAlignment="1">
      <alignment horizontal="center" wrapText="1"/>
    </xf>
    <xf numFmtId="14" fontId="1" fillId="4" borderId="0" xfId="0" applyNumberFormat="1" applyFont="1" applyFill="1" applyAlignment="1">
      <alignment horizontal="center"/>
    </xf>
    <xf numFmtId="0" fontId="1" fillId="4" borderId="0" xfId="0" applyFont="1" applyFill="1" applyAlignment="1">
      <alignment horizontal="center"/>
    </xf>
    <xf numFmtId="0" fontId="1" fillId="4" borderId="0" xfId="0" applyFont="1" applyFill="1" applyAlignment="1">
      <alignment wrapText="1"/>
    </xf>
    <xf numFmtId="0" fontId="1" fillId="4" borderId="0" xfId="0" applyFont="1" applyFill="1" applyAlignment="1"/>
    <xf numFmtId="14" fontId="1" fillId="4" borderId="0" xfId="0" applyNumberFormat="1" applyFont="1" applyFill="1" applyAlignment="1"/>
    <xf numFmtId="14" fontId="1" fillId="4" borderId="0" xfId="0" applyNumberFormat="1" applyFont="1" applyFill="1" applyAlignment="1"/>
    <xf numFmtId="0" fontId="1" fillId="4" borderId="0" xfId="0" applyFont="1" applyFill="1" applyAlignment="1"/>
    <xf numFmtId="1" fontId="1" fillId="4" borderId="0" xfId="0" applyNumberFormat="1" applyFont="1" applyFill="1" applyAlignment="1"/>
    <xf numFmtId="0" fontId="6" fillId="3" borderId="0" xfId="0" applyFont="1" applyFill="1" applyAlignment="1">
      <alignment horizontal="center" wrapText="1"/>
    </xf>
    <xf numFmtId="164" fontId="7" fillId="4" borderId="0" xfId="0" applyNumberFormat="1" applyFont="1" applyFill="1" applyAlignment="1">
      <alignment horizontal="center"/>
    </xf>
    <xf numFmtId="164" fontId="7" fillId="4" borderId="0" xfId="0" applyNumberFormat="1" applyFont="1" applyFill="1" applyAlignment="1"/>
    <xf numFmtId="49" fontId="7" fillId="4" borderId="0" xfId="0" applyNumberFormat="1" applyFont="1" applyFill="1" applyAlignment="1"/>
    <xf numFmtId="0" fontId="7" fillId="4" borderId="0" xfId="0" applyFont="1" applyFill="1" applyAlignment="1"/>
    <xf numFmtId="0" fontId="8" fillId="4" borderId="0" xfId="0" applyFont="1" applyFill="1" applyAlignment="1"/>
    <xf numFmtId="14" fontId="7" fillId="4" borderId="0" xfId="0" applyNumberFormat="1" applyFont="1" applyFill="1" applyAlignment="1">
      <alignment horizontal="center"/>
    </xf>
    <xf numFmtId="0" fontId="7" fillId="4" borderId="0" xfId="0" applyFont="1" applyFill="1" applyAlignment="1">
      <alignment wrapText="1"/>
    </xf>
    <xf numFmtId="14" fontId="7" fillId="4" borderId="0" xfId="0" applyNumberFormat="1" applyFont="1" applyFill="1" applyAlignment="1"/>
    <xf numFmtId="0" fontId="7" fillId="4" borderId="0" xfId="0" applyFont="1" applyFill="1" applyAlignment="1"/>
    <xf numFmtId="0" fontId="1" fillId="4" borderId="0" xfId="0" applyFont="1" applyFill="1" applyAlignment="1"/>
    <xf numFmtId="164" fontId="1" fillId="3" borderId="0" xfId="0" applyNumberFormat="1" applyFont="1" applyFill="1" applyAlignment="1">
      <alignment horizontal="center"/>
    </xf>
    <xf numFmtId="164" fontId="1" fillId="3" borderId="0" xfId="0" applyNumberFormat="1" applyFont="1" applyFill="1" applyAlignment="1"/>
    <xf numFmtId="49" fontId="1" fillId="3" borderId="0" xfId="0" applyNumberFormat="1" applyFont="1" applyFill="1" applyAlignment="1"/>
    <xf numFmtId="0" fontId="9" fillId="3" borderId="0" xfId="0" applyFont="1" applyFill="1" applyAlignment="1"/>
    <xf numFmtId="164" fontId="10" fillId="4" borderId="0" xfId="0" applyNumberFormat="1" applyFont="1" applyFill="1" applyAlignment="1">
      <alignment horizontal="center"/>
    </xf>
    <xf numFmtId="164" fontId="1" fillId="4" borderId="0" xfId="0" applyNumberFormat="1" applyFont="1" applyFill="1" applyAlignment="1">
      <alignment horizontal="center"/>
    </xf>
    <xf numFmtId="164" fontId="1" fillId="4" borderId="0" xfId="0" applyNumberFormat="1" applyFont="1" applyFill="1" applyAlignment="1"/>
    <xf numFmtId="0" fontId="9" fillId="4" borderId="0" xfId="0" applyFont="1" applyFill="1" applyAlignment="1"/>
    <xf numFmtId="0" fontId="10" fillId="4" borderId="0" xfId="0" applyFont="1" applyFill="1" applyAlignment="1"/>
    <xf numFmtId="164" fontId="10" fillId="3" borderId="0" xfId="0" applyNumberFormat="1" applyFont="1" applyFill="1" applyAlignment="1">
      <alignment horizontal="center"/>
    </xf>
    <xf numFmtId="0" fontId="10" fillId="3" borderId="0" xfId="0" applyFont="1" applyFill="1" applyAlignment="1"/>
    <xf numFmtId="49" fontId="1" fillId="4" borderId="0" xfId="0" applyNumberFormat="1" applyFont="1" applyFill="1" applyAlignment="1">
      <alignment horizontal="center"/>
    </xf>
    <xf numFmtId="49" fontId="1" fillId="3" borderId="0" xfId="0" applyNumberFormat="1" applyFont="1" applyFill="1" applyAlignment="1">
      <alignment horizontal="center"/>
    </xf>
    <xf numFmtId="14" fontId="9" fillId="4" borderId="0" xfId="0" applyNumberFormat="1" applyFont="1" applyFill="1" applyAlignment="1">
      <alignment horizontal="center"/>
    </xf>
    <xf numFmtId="165" fontId="1" fillId="4" borderId="0" xfId="0" applyNumberFormat="1" applyFont="1" applyFill="1" applyAlignment="1">
      <alignment horizontal="center"/>
    </xf>
    <xf numFmtId="165" fontId="1" fillId="3" borderId="0" xfId="0" applyNumberFormat="1" applyFont="1" applyFill="1" applyAlignment="1">
      <alignment horizontal="center"/>
    </xf>
    <xf numFmtId="14" fontId="1" fillId="4" borderId="0" xfId="0" applyNumberFormat="1" applyFont="1" applyFill="1" applyAlignment="1">
      <alignment horizontal="center"/>
    </xf>
    <xf numFmtId="0" fontId="1" fillId="3" borderId="0" xfId="0" applyFont="1" applyFill="1" applyAlignment="1"/>
    <xf numFmtId="10" fontId="1" fillId="4" borderId="0" xfId="0" applyNumberFormat="1" applyFont="1" applyFill="1" applyAlignment="1"/>
    <xf numFmtId="14" fontId="1" fillId="3" borderId="0" xfId="0" applyNumberFormat="1" applyFont="1" applyFill="1" applyAlignment="1">
      <alignment horizontal="center"/>
    </xf>
    <xf numFmtId="14" fontId="1" fillId="3" borderId="0" xfId="0" applyNumberFormat="1" applyFont="1" applyFill="1" applyAlignment="1"/>
    <xf numFmtId="0" fontId="9" fillId="3" borderId="0" xfId="0" applyFont="1" applyFill="1" applyAlignment="1"/>
    <xf numFmtId="3" fontId="1" fillId="4" borderId="0" xfId="0" applyNumberFormat="1" applyFont="1" applyFill="1" applyAlignment="1"/>
    <xf numFmtId="49" fontId="1" fillId="4" borderId="0" xfId="0" applyNumberFormat="1" applyFont="1" applyFill="1" applyAlignment="1"/>
    <xf numFmtId="49" fontId="1" fillId="4" borderId="0" xfId="0" applyNumberFormat="1" applyFont="1" applyFill="1" applyAlignment="1"/>
    <xf numFmtId="49" fontId="1" fillId="3" borderId="0" xfId="0" applyNumberFormat="1" applyFont="1" applyFill="1" applyAlignment="1"/>
    <xf numFmtId="49" fontId="1" fillId="4" borderId="0" xfId="0" applyNumberFormat="1" applyFont="1" applyFill="1" applyAlignment="1">
      <alignment wrapText="1"/>
    </xf>
    <xf numFmtId="49" fontId="1" fillId="3" borderId="0" xfId="0" applyNumberFormat="1" applyFont="1" applyFill="1" applyAlignment="1">
      <alignment wrapText="1"/>
    </xf>
    <xf numFmtId="164" fontId="1" fillId="4" borderId="0" xfId="0" applyNumberFormat="1" applyFont="1" applyFill="1" applyAlignment="1"/>
    <xf numFmtId="14" fontId="1" fillId="3" borderId="0" xfId="0" applyNumberFormat="1" applyFont="1" applyFill="1" applyAlignment="1"/>
    <xf numFmtId="0" fontId="9" fillId="4" borderId="0" xfId="0" applyFont="1" applyFill="1" applyAlignment="1"/>
    <xf numFmtId="166" fontId="1" fillId="3" borderId="0" xfId="0" applyNumberFormat="1" applyFont="1" applyFill="1" applyAlignment="1"/>
    <xf numFmtId="0" fontId="1" fillId="4" borderId="0" xfId="0" applyFont="1" applyFill="1" applyAlignment="1">
      <alignment wrapText="1"/>
    </xf>
    <xf numFmtId="0" fontId="1" fillId="4" borderId="0" xfId="0" applyFont="1" applyFill="1" applyAlignment="1"/>
    <xf numFmtId="0" fontId="1" fillId="3" borderId="0" xfId="0" applyFont="1" applyFill="1" applyAlignment="1">
      <alignment wrapText="1"/>
    </xf>
    <xf numFmtId="0" fontId="1" fillId="3" borderId="0" xfId="0" applyFont="1" applyFill="1" applyAlignment="1"/>
    <xf numFmtId="166" fontId="1" fillId="4" borderId="0" xfId="0" applyNumberFormat="1"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166" fontId="1" fillId="4" borderId="0" xfId="0" applyNumberFormat="1" applyFont="1" applyFill="1" applyAlignment="1"/>
    <xf numFmtId="14" fontId="1" fillId="4" borderId="0" xfId="0" applyNumberFormat="1" applyFont="1" applyFill="1" applyAlignment="1">
      <alignment horizontal="center"/>
    </xf>
    <xf numFmtId="164" fontId="1" fillId="4" borderId="0" xfId="0" applyNumberFormat="1" applyFont="1" applyFill="1" applyAlignment="1">
      <alignment horizontal="center"/>
    </xf>
    <xf numFmtId="0" fontId="11" fillId="0" borderId="0" xfId="0" applyFont="1" applyAlignment="1"/>
    <xf numFmtId="0" fontId="12" fillId="0" borderId="0" xfId="0" applyFont="1" applyAlignment="1"/>
    <xf numFmtId="0" fontId="13" fillId="0" borderId="0" xfId="0" applyFont="1" applyAlignment="1"/>
    <xf numFmtId="14" fontId="13" fillId="0" borderId="0" xfId="0" applyNumberFormat="1" applyFont="1" applyAlignment="1"/>
    <xf numFmtId="0" fontId="14" fillId="0" borderId="0" xfId="0" applyFont="1" applyAlignment="1"/>
    <xf numFmtId="0" fontId="13" fillId="5" borderId="1" xfId="0" applyFont="1" applyFill="1" applyBorder="1" applyAlignment="1"/>
    <xf numFmtId="0" fontId="14" fillId="0" borderId="0" xfId="0" applyFont="1" applyAlignment="1"/>
    <xf numFmtId="0" fontId="13" fillId="0" borderId="0" xfId="0" applyFont="1" applyAlignment="1"/>
    <xf numFmtId="0" fontId="13" fillId="0" borderId="0" xfId="0" applyFont="1" applyAlignment="1"/>
    <xf numFmtId="0" fontId="13" fillId="0" borderId="0" xfId="0" applyFont="1" applyAlignment="1"/>
    <xf numFmtId="0" fontId="14" fillId="0" borderId="0" xfId="0" applyFont="1" applyAlignment="1"/>
    <xf numFmtId="164" fontId="13" fillId="0" borderId="0" xfId="0" applyNumberFormat="1" applyFont="1" applyAlignment="1">
      <alignment horizontal="left"/>
    </xf>
    <xf numFmtId="0" fontId="13" fillId="0" borderId="0" xfId="0" applyFont="1" applyAlignment="1">
      <alignment horizontal="right"/>
    </xf>
    <xf numFmtId="0" fontId="12" fillId="0" borderId="0" xfId="0" applyFont="1"/>
    <xf numFmtId="0" fontId="15" fillId="0" borderId="0" xfId="0" applyFont="1" applyAlignment="1"/>
    <xf numFmtId="0" fontId="16" fillId="0" borderId="0" xfId="0" applyFont="1" applyAlignment="1"/>
    <xf numFmtId="14" fontId="2" fillId="2" borderId="0" xfId="0" applyNumberFormat="1" applyFont="1" applyFill="1" applyAlignment="1">
      <alignment horizontal="center" wrapText="1"/>
    </xf>
    <xf numFmtId="0" fontId="0" fillId="0" borderId="0" xfId="0" applyFont="1" applyAlignment="1"/>
    <xf numFmtId="0" fontId="2" fillId="2" borderId="0" xfId="0" applyFont="1" applyFill="1" applyAlignment="1">
      <alignment horizontal="left" vertical="top" wrapText="1"/>
    </xf>
  </cellXfs>
  <cellStyles count="1">
    <cellStyle name="Normal" xfId="0" builtinId="0"/>
  </cellStyles>
  <dxfs count="40">
    <dxf>
      <fill>
        <patternFill patternType="solid">
          <fgColor rgb="FFFFFF00"/>
          <bgColor rgb="FFFFFF00"/>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FFFF99"/>
          <bgColor rgb="FFFFFF99"/>
        </patternFill>
      </fill>
      <alignment wrapText="0" shrinkToFit="0"/>
      <border>
        <left/>
        <right/>
        <top/>
        <bottom/>
      </border>
    </dxf>
    <dxf>
      <fill>
        <patternFill patternType="solid">
          <fgColor rgb="FFFF0000"/>
          <bgColor rgb="FFFF0000"/>
        </patternFill>
      </fill>
      <alignment wrapText="0" shrinkToFit="0"/>
      <border>
        <left/>
        <right/>
        <top/>
        <bottom/>
      </border>
    </dxf>
    <dxf>
      <fill>
        <patternFill patternType="solid">
          <fgColor rgb="FF00FF00"/>
          <bgColor rgb="FF00FF00"/>
        </patternFill>
      </fill>
      <alignment wrapText="0" shrinkToFit="0"/>
      <border>
        <left/>
        <right/>
        <top/>
        <bottom/>
      </border>
    </dxf>
    <dxf>
      <fill>
        <patternFill patternType="solid">
          <fgColor rgb="FFF6B26B"/>
          <bgColor rgb="FFF6B26B"/>
        </patternFill>
      </fill>
    </dxf>
    <dxf>
      <font>
        <color rgb="FFFFFFFF"/>
      </font>
      <fill>
        <patternFill patternType="solid">
          <fgColor rgb="FFE06666"/>
          <bgColor rgb="FFE06666"/>
        </patternFill>
      </fill>
    </dxf>
    <dxf>
      <fill>
        <patternFill patternType="solid">
          <fgColor rgb="FFB7E1CD"/>
          <bgColor rgb="FFB7E1CD"/>
        </patternFill>
      </fill>
    </dxf>
    <dxf>
      <fill>
        <patternFill patternType="solid">
          <fgColor rgb="FFE06666"/>
          <bgColor rgb="FFE06666"/>
        </patternFill>
      </fill>
    </dxf>
    <dxf>
      <fill>
        <patternFill patternType="solid">
          <fgColor rgb="FFFFD966"/>
          <bgColor rgb="FFFFD966"/>
        </patternFill>
      </fill>
    </dxf>
    <dxf>
      <fill>
        <patternFill patternType="solid">
          <fgColor rgb="FFB4A7D6"/>
          <bgColor rgb="FFB4A7D6"/>
        </patternFill>
      </fill>
    </dxf>
    <dxf>
      <fill>
        <patternFill patternType="solid">
          <fgColor rgb="FFB7E1CD"/>
          <bgColor rgb="FFB7E1CD"/>
        </patternFill>
      </fill>
    </dxf>
    <dxf>
      <fill>
        <patternFill patternType="solid">
          <fgColor rgb="FFFFF2CC"/>
          <bgColor rgb="FFFFF2CC"/>
        </patternFill>
      </fill>
    </dxf>
    <dxf>
      <fill>
        <patternFill patternType="solid">
          <fgColor rgb="FFF9CB9C"/>
          <bgColor rgb="FFF9CB9C"/>
        </patternFill>
      </fill>
    </dxf>
    <dxf>
      <fill>
        <patternFill patternType="solid">
          <fgColor rgb="FFEA9999"/>
          <bgColor rgb="FFEA9999"/>
        </patternFill>
      </fill>
    </dxf>
    <dxf>
      <fill>
        <patternFill patternType="solid">
          <fgColor rgb="FFB7E1CD"/>
          <bgColor rgb="FFB7E1CD"/>
        </patternFill>
      </fill>
    </dxf>
    <dxf>
      <font>
        <color rgb="FFFFFFFF"/>
      </font>
      <fill>
        <patternFill patternType="solid">
          <fgColor rgb="FF351C75"/>
          <bgColor rgb="FF351C75"/>
        </patternFill>
      </fill>
    </dxf>
    <dxf>
      <fill>
        <patternFill patternType="solid">
          <fgColor rgb="FFFCE5CD"/>
          <bgColor rgb="FFFCE5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9525</xdr:colOff>
      <xdr:row>2</xdr:row>
      <xdr:rowOff>38100</xdr:rowOff>
    </xdr:from>
    <xdr:ext cx="10582275" cy="44386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CB1922"/>
  <sheetViews>
    <sheetView tabSelected="1" workbookViewId="0">
      <pane xSplit="7" ySplit="6" topLeftCell="H7" activePane="bottomRight" state="frozen"/>
      <selection pane="topRight" activeCell="H1" sqref="H1"/>
      <selection pane="bottomLeft" activeCell="A7" sqref="A7"/>
      <selection pane="bottomRight" activeCell="H7" sqref="H7"/>
    </sheetView>
  </sheetViews>
  <sheetFormatPr defaultColWidth="12.5703125" defaultRowHeight="15" customHeight="1"/>
  <cols>
    <col min="1" max="1" width="5.7109375" customWidth="1"/>
    <col min="2" max="2" width="7.42578125" customWidth="1"/>
    <col min="3" max="3" width="6.85546875" customWidth="1"/>
    <col min="4" max="4" width="23.7109375" customWidth="1"/>
    <col min="5" max="5" width="5.42578125" customWidth="1"/>
    <col min="6" max="6" width="4.7109375" customWidth="1"/>
    <col min="7" max="7" width="27.7109375" customWidth="1"/>
    <col min="8" max="8" width="10.85546875" customWidth="1"/>
    <col min="9" max="9" width="14.42578125" customWidth="1"/>
    <col min="10" max="10" width="15.5703125" customWidth="1"/>
    <col min="11" max="11" width="18" customWidth="1"/>
    <col min="12" max="12" width="7.28515625" customWidth="1"/>
    <col min="13" max="13" width="6" customWidth="1"/>
    <col min="14" max="14" width="20.140625" customWidth="1"/>
    <col min="15" max="15" width="77.5703125" customWidth="1"/>
    <col min="16" max="16" width="10.42578125" customWidth="1"/>
    <col min="17" max="17" width="5.85546875" customWidth="1"/>
    <col min="18" max="18" width="20.42578125" customWidth="1"/>
    <col min="19" max="19" width="4" customWidth="1"/>
    <col min="20" max="21" width="2.140625" customWidth="1"/>
    <col min="22" max="22" width="5.42578125" hidden="1" customWidth="1"/>
    <col min="23" max="23" width="8" customWidth="1"/>
    <col min="24" max="80" width="7" customWidth="1"/>
  </cols>
  <sheetData>
    <row r="1" spans="1:80" ht="69" customHeight="1">
      <c r="A1" s="1" t="s">
        <v>0</v>
      </c>
      <c r="B1" s="2"/>
      <c r="C1" s="2"/>
      <c r="D1" s="2"/>
      <c r="E1" s="2"/>
      <c r="F1" s="2"/>
      <c r="G1" s="2"/>
      <c r="H1" s="99"/>
      <c r="I1" s="100"/>
      <c r="J1" s="4" t="s">
        <v>1</v>
      </c>
      <c r="K1" s="3">
        <f ca="1">IFERROR(__xludf.DUMMYFUNCTION("IMPORTRANGE(""https://docs.google.com/spreadsheets/d/14MFQtKh9T5jlbGgKDqeUXR03lYQAGokl1pAy3OWNTz8/edit?usp=sharing"", ""Records!f2"")"),46067)</f>
        <v>46067</v>
      </c>
      <c r="L1" s="3"/>
      <c r="M1" s="3"/>
      <c r="N1" s="101" t="s">
        <v>2</v>
      </c>
      <c r="O1" s="100"/>
      <c r="P1" s="5"/>
      <c r="Q1" s="6"/>
      <c r="R1" s="7"/>
      <c r="S1" s="8"/>
      <c r="T1" s="7"/>
      <c r="U1" s="7"/>
      <c r="V1" s="9">
        <f>SUBTOTAL(9,V13:V3359)</f>
        <v>0</v>
      </c>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row>
    <row r="2" spans="1:80" ht="12.75" hidden="1" customHeight="1">
      <c r="A2" s="10"/>
      <c r="B2" s="11"/>
      <c r="C2" s="11"/>
      <c r="D2" s="11"/>
      <c r="E2" s="11"/>
      <c r="F2" s="11"/>
      <c r="G2" s="11"/>
      <c r="H2" s="12"/>
      <c r="I2" s="13"/>
      <c r="J2" s="14"/>
      <c r="K2" s="15"/>
      <c r="L2" s="16"/>
      <c r="M2" s="17"/>
      <c r="N2" s="15"/>
      <c r="O2" s="18"/>
      <c r="P2" s="15"/>
      <c r="Q2" s="15"/>
      <c r="R2" s="15"/>
      <c r="S2" s="19"/>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row>
    <row r="3" spans="1:80" ht="12.75" hidden="1" customHeight="1">
      <c r="A3" s="20"/>
      <c r="B3" s="21"/>
      <c r="C3" s="21"/>
      <c r="D3" s="21"/>
      <c r="E3" s="21"/>
      <c r="F3" s="21"/>
      <c r="G3" s="21"/>
      <c r="H3" s="22"/>
      <c r="I3" s="23"/>
      <c r="J3" s="24"/>
      <c r="K3" s="25"/>
      <c r="L3" s="26"/>
      <c r="M3" s="27"/>
      <c r="N3" s="25"/>
      <c r="O3" s="28"/>
      <c r="P3" s="25"/>
      <c r="Q3" s="25"/>
      <c r="R3" s="25"/>
      <c r="S3" s="29"/>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row>
    <row r="4" spans="1:80" ht="27" hidden="1" customHeight="1">
      <c r="A4" s="10"/>
      <c r="B4" s="30"/>
      <c r="C4" s="30"/>
      <c r="D4" s="30"/>
      <c r="E4" s="30"/>
      <c r="F4" s="30"/>
      <c r="G4" s="30"/>
      <c r="H4" s="12"/>
      <c r="I4" s="13"/>
      <c r="J4" s="14"/>
      <c r="K4" s="15"/>
      <c r="L4" s="16"/>
      <c r="M4" s="17"/>
      <c r="N4" s="15"/>
      <c r="O4" s="18"/>
      <c r="P4" s="15"/>
      <c r="Q4" s="18"/>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row>
    <row r="5" spans="1:80" ht="12.75" customHeight="1">
      <c r="A5" s="20" t="str">
        <f ca="1">IFERROR(__xludf.DUMMYFUNCTION("IMPORTRANGE(""https://docs.google.com/spreadsheets/d/14MFQtKh9T5jlbGgKDqeUXR03lYQAGokl1pAy3OWNTz8/edit?usp=sharing"", ""Records!C5:q5700"")"),"Year")</f>
        <v>Year</v>
      </c>
      <c r="B5" s="31" t="str">
        <f ca="1">IFERROR(__xludf.DUMMYFUNCTION("""COMPUTED_VALUE"""),"Last ed")</f>
        <v>Last ed</v>
      </c>
      <c r="C5" s="31" t="str">
        <f ca="1">IFERROR(__xludf.DUMMYFUNCTION("""COMPUTED_VALUE"""),"Circulated")</f>
        <v>Circulated</v>
      </c>
      <c r="D5" s="32" t="str">
        <f ca="1">IFERROR(__xludf.DUMMYFUNCTION("""COMPUTED_VALUE"""),"Species")</f>
        <v>Species</v>
      </c>
      <c r="E5" s="33" t="str">
        <f ca="1">IFERROR(__xludf.DUMMYFUNCTION("""COMPUTED_VALUE"""),"No")</f>
        <v>No</v>
      </c>
      <c r="F5" s="34" t="str">
        <f ca="1">IFERROR(__xludf.DUMMYFUNCTION("""COMPUTED_VALUE"""),"Age/sex")</f>
        <v>Age/sex</v>
      </c>
      <c r="G5" s="35" t="str">
        <f ca="1">IFERROR(__xludf.DUMMYFUNCTION("""COMPUTED_VALUE"""),"Location")</f>
        <v>Location</v>
      </c>
      <c r="H5" s="36" t="str">
        <f ca="1">IFERROR(__xludf.DUMMYFUNCTION("""COMPUTED_VALUE"""),"First Date")</f>
        <v>First Date</v>
      </c>
      <c r="I5" s="36" t="str">
        <f ca="1">IFERROR(__xludf.DUMMYFUNCTION("""COMPUTED_VALUE"""),"Last date")</f>
        <v>Last date</v>
      </c>
      <c r="J5" s="37" t="str">
        <f ca="1">IFERROR(__xludf.DUMMYFUNCTION("""COMPUTED_VALUE"""),"Submitter/Source")</f>
        <v>Submitter/Source</v>
      </c>
      <c r="K5" s="34" t="str">
        <f ca="1">IFERROR(__xludf.DUMMYFUNCTION("""COMPUTED_VALUE"""),"Finder")</f>
        <v>Finder</v>
      </c>
      <c r="L5" s="38" t="str">
        <f ca="1">IFERROR(__xludf.DUMMYFUNCTION("""COMPUTED_VALUE"""),"Status")</f>
        <v>Status</v>
      </c>
      <c r="M5" s="33" t="str">
        <f ca="1">IFERROR(__xludf.DUMMYFUNCTION("""COMPUTED_VALUE"""),"Codes")</f>
        <v>Codes</v>
      </c>
      <c r="N5" s="34" t="str">
        <f ca="1">IFERROR(__xludf.DUMMYFUNCTION("""COMPUTED_VALUE"""),"Decision")</f>
        <v>Decision</v>
      </c>
      <c r="O5" s="39" t="str">
        <f ca="1">IFERROR(__xludf.DUMMYFUNCTION("""COMPUTED_VALUE"""),"Comments")</f>
        <v>Comments</v>
      </c>
      <c r="P5" s="34"/>
      <c r="Q5" s="25"/>
      <c r="R5" s="25"/>
      <c r="S5" s="25"/>
      <c r="T5" s="25"/>
      <c r="U5" s="25"/>
      <c r="V5" s="25"/>
      <c r="W5" s="40"/>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row>
    <row r="6" spans="1:80" ht="12.75" customHeight="1">
      <c r="A6" s="10"/>
      <c r="B6" s="41"/>
      <c r="C6" s="41"/>
      <c r="D6" s="42"/>
      <c r="E6" s="43"/>
      <c r="F6" s="15"/>
      <c r="G6" s="44"/>
      <c r="H6" s="12"/>
      <c r="I6" s="13"/>
      <c r="J6" s="14"/>
      <c r="K6" s="15"/>
      <c r="L6" s="16"/>
      <c r="M6" s="17"/>
      <c r="N6" s="15" t="str">
        <f ca="1">IFERROR(__xludf.DUMMYFUNCTION("""COMPUTED_VALUE""")," ")</f>
        <v xml:space="preserve"> </v>
      </c>
      <c r="O6" s="18"/>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row>
    <row r="7" spans="1:80" ht="15.75" hidden="1" customHeight="1">
      <c r="A7" s="20" t="str">
        <f ca="1">IFERROR(__xludf.DUMMYFUNCTION("""COMPUTED_VALUE"""),"#VALUE!")</f>
        <v>#VALUE!</v>
      </c>
      <c r="B7" s="45">
        <f ca="1">IFERROR(__xludf.DUMMYFUNCTION("""COMPUTED_VALUE"""),44568)</f>
        <v>44568</v>
      </c>
      <c r="C7" s="46"/>
      <c r="D7" s="47" t="str">
        <f ca="1">IFERROR(__xludf.DUMMYFUNCTION("""COMPUTED_VALUE"""),"Great Snipe")</f>
        <v>Great Snipe</v>
      </c>
      <c r="E7" s="23"/>
      <c r="F7" s="25"/>
      <c r="G7" s="48" t="str">
        <f ca="1">IFERROR(__xludf.DUMMYFUNCTION("""COMPUTED_VALUE"""),"New Ferry")</f>
        <v>New Ferry</v>
      </c>
      <c r="H7" s="22" t="str">
        <f ca="1">IFERROR(__xludf.DUMMYFUNCTION("""COMPUTED_VALUE"""),"march")</f>
        <v>march</v>
      </c>
      <c r="I7" s="23"/>
      <c r="J7" s="24"/>
      <c r="K7" s="49"/>
      <c r="L7" s="27" t="str">
        <f ca="1">IFERROR(__xludf.DUMMYFUNCTION("""COMPUTED_VALUE"""),"closed")</f>
        <v>closed</v>
      </c>
      <c r="M7" s="27"/>
      <c r="N7" s="25" t="str">
        <f ca="1">IFERROR(__xludf.DUMMYFUNCTION("""COMPUTED_VALUE"""),"BBRC-OK")</f>
        <v>BBRC-OK</v>
      </c>
      <c r="O7" s="28" t="str">
        <f ca="1">IFERROR(__xludf.DUMMYFUNCTION("""COMPUTED_VALUE"""),"New Ferry, March.")</f>
        <v>New Ferry, March.</v>
      </c>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row>
    <row r="8" spans="1:80" ht="12.75" hidden="1" customHeight="1">
      <c r="A8" s="10">
        <f ca="1">IFERROR(__xludf.DUMMYFUNCTION("""COMPUTED_VALUE"""),2017)</f>
        <v>2017</v>
      </c>
      <c r="B8" s="50">
        <f ca="1">IFERROR(__xludf.DUMMYFUNCTION("""COMPUTED_VALUE"""),43538)</f>
        <v>43538</v>
      </c>
      <c r="C8" s="41"/>
      <c r="D8" s="42" t="str">
        <f ca="1">IFERROR(__xludf.DUMMYFUNCTION("""COMPUTED_VALUE"""),"Little Auk")</f>
        <v>Little Auk</v>
      </c>
      <c r="E8" s="13">
        <f ca="1">IFERROR(__xludf.DUMMYFUNCTION("""COMPUTED_VALUE"""),1)</f>
        <v>1</v>
      </c>
      <c r="F8" s="15"/>
      <c r="G8" s="44" t="str">
        <f ca="1">IFERROR(__xludf.DUMMYFUNCTION("""COMPUTED_VALUE"""),"Burland, Nantwich")</f>
        <v>Burland, Nantwich</v>
      </c>
      <c r="H8" s="12">
        <f ca="1">IFERROR(__xludf.DUMMYFUNCTION("""COMPUTED_VALUE"""),42747)</f>
        <v>42747</v>
      </c>
      <c r="I8" s="12"/>
      <c r="J8" s="14" t="str">
        <f ca="1">IFERROR(__xludf.DUMMYFUNCTION("""COMPUTED_VALUE"""),"Nantwich Nat Hist Soc")</f>
        <v>Nantwich Nat Hist Soc</v>
      </c>
      <c r="K8" s="51"/>
      <c r="L8" s="17" t="str">
        <f ca="1">IFERROR(__xludf.DUMMYFUNCTION("""COMPUTED_VALUE"""),"closed")</f>
        <v>closed</v>
      </c>
      <c r="M8" s="17" t="str">
        <f ca="1">IFERROR(__xludf.DUMMYFUNCTION("""COMPUTED_VALUE"""),"photo")</f>
        <v>photo</v>
      </c>
      <c r="N8" s="15" t="str">
        <f ca="1">IFERROR(__xludf.DUMMYFUNCTION("""COMPUTED_VALUE"""),"accepted")</f>
        <v>accepted</v>
      </c>
      <c r="O8" s="18"/>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row>
    <row r="9" spans="1:80" ht="12.75" hidden="1" customHeight="1">
      <c r="A9" s="20" t="str">
        <f ca="1">IFERROR(__xludf.DUMMYFUNCTION("""COMPUTED_VALUE"""),"#VALUE!")</f>
        <v>#VALUE!</v>
      </c>
      <c r="B9" s="45"/>
      <c r="C9" s="46"/>
      <c r="D9" s="47" t="str">
        <f ca="1">IFERROR(__xludf.DUMMYFUNCTION("""COMPUTED_VALUE"""),"Greenish Warbler")</f>
        <v>Greenish Warbler</v>
      </c>
      <c r="E9" s="23"/>
      <c r="F9" s="25"/>
      <c r="G9" s="48" t="str">
        <f ca="1">IFERROR(__xludf.DUMMYFUNCTION("""COMPUTED_VALUE"""),"Red Rocks, Hoylake")</f>
        <v>Red Rocks, Hoylake</v>
      </c>
      <c r="H9" s="22" t="str">
        <f ca="1">IFERROR(__xludf.DUMMYFUNCTION("""COMPUTED_VALUE"""),"tbd")</f>
        <v>tbd</v>
      </c>
      <c r="I9" s="23"/>
      <c r="J9" s="24"/>
      <c r="K9" s="49"/>
      <c r="L9" s="27" t="str">
        <f ca="1">IFERROR(__xludf.DUMMYFUNCTION("""COMPUTED_VALUE"""),"closed")</f>
        <v>closed</v>
      </c>
      <c r="M9" s="27"/>
      <c r="N9" s="25" t="str">
        <f ca="1">IFERROR(__xludf.DUMMYFUNCTION("""COMPUTED_VALUE"""),"BBRC-OK")</f>
        <v>BBRC-OK</v>
      </c>
      <c r="O9" s="28"/>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row>
    <row r="10" spans="1:80" ht="12.75" hidden="1" customHeight="1">
      <c r="A10" s="10">
        <f ca="1">IFERROR(__xludf.DUMMYFUNCTION("""COMPUTED_VALUE"""),1899)</f>
        <v>1899</v>
      </c>
      <c r="B10" s="50">
        <f ca="1">IFERROR(__xludf.DUMMYFUNCTION("""COMPUTED_VALUE"""),44568)</f>
        <v>44568</v>
      </c>
      <c r="C10" s="41"/>
      <c r="D10" s="42" t="str">
        <f ca="1">IFERROR(__xludf.DUMMYFUNCTION("""COMPUTED_VALUE"""),"Lesser Scaup")</f>
        <v>Lesser Scaup</v>
      </c>
      <c r="E10" s="13"/>
      <c r="F10" s="15"/>
      <c r="G10" s="44" t="str">
        <f ca="1">IFERROR(__xludf.DUMMYFUNCTION("""COMPUTED_VALUE"""),"Burton Mere Wetlands RSPB")</f>
        <v>Burton Mere Wetlands RSPB</v>
      </c>
      <c r="H10" s="12"/>
      <c r="I10" s="13"/>
      <c r="J10" s="14"/>
      <c r="K10" s="51"/>
      <c r="L10" s="17" t="str">
        <f ca="1">IFERROR(__xludf.DUMMYFUNCTION("""COMPUTED_VALUE"""),"closed")</f>
        <v>closed</v>
      </c>
      <c r="M10" s="17"/>
      <c r="N10" s="15" t="str">
        <f ca="1">IFERROR(__xludf.DUMMYFUNCTION("""COMPUTED_VALUE"""),"BBRC-OK")</f>
        <v>BBRC-OK</v>
      </c>
      <c r="O10" s="18" t="str">
        <f ca="1">IFERROR(__xludf.DUMMYFUNCTION("""COMPUTED_VALUE"""),"details need adding")</f>
        <v>details need adding</v>
      </c>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row>
    <row r="11" spans="1:80" ht="12.75" hidden="1" customHeight="1">
      <c r="A11" s="20">
        <f ca="1">IFERROR(__xludf.DUMMYFUNCTION("""COMPUTED_VALUE"""),1899)</f>
        <v>1899</v>
      </c>
      <c r="B11" s="45">
        <f ca="1">IFERROR(__xludf.DUMMYFUNCTION("""COMPUTED_VALUE"""),44604)</f>
        <v>44604</v>
      </c>
      <c r="C11" s="46"/>
      <c r="D11" s="47" t="str">
        <f ca="1">IFERROR(__xludf.DUMMYFUNCTION("""COMPUTED_VALUE"""),"Sabine's Gull")</f>
        <v>Sabine's Gull</v>
      </c>
      <c r="E11" s="52">
        <f ca="1">IFERROR(__xludf.DUMMYFUNCTION("""COMPUTED_VALUE"""),1)</f>
        <v>1</v>
      </c>
      <c r="F11" s="25"/>
      <c r="G11" s="48" t="str">
        <f ca="1">IFERROR(__xludf.DUMMYFUNCTION("""COMPUTED_VALUE"""),"Widnes ")</f>
        <v xml:space="preserve">Widnes </v>
      </c>
      <c r="H11" s="22"/>
      <c r="I11" s="23"/>
      <c r="J11" s="24"/>
      <c r="K11" s="49"/>
      <c r="L11" s="27" t="str">
        <f ca="1">IFERROR(__xludf.DUMMYFUNCTION("""COMPUTED_VALUE"""),"limbo")</f>
        <v>limbo</v>
      </c>
      <c r="M11" s="27"/>
      <c r="N11" s="25" t="str">
        <f ca="1">IFERROR(__xludf.DUMMYFUNCTION("""COMPUTED_VALUE"""),"not submitted")</f>
        <v>not submitted</v>
      </c>
      <c r="O11" s="28"/>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row>
    <row r="12" spans="1:80" ht="12.75" hidden="1" customHeight="1">
      <c r="A12" s="10">
        <f ca="1">IFERROR(__xludf.DUMMYFUNCTION("""COMPUTED_VALUE"""),1899)</f>
        <v>1899</v>
      </c>
      <c r="B12" s="50">
        <f ca="1">IFERROR(__xludf.DUMMYFUNCTION("""COMPUTED_VALUE"""),41022)</f>
        <v>41022</v>
      </c>
      <c r="C12" s="41"/>
      <c r="D12" s="42" t="str">
        <f ca="1">IFERROR(__xludf.DUMMYFUNCTION("""COMPUTED_VALUE"""),"Caspian Gull")</f>
        <v>Caspian Gull</v>
      </c>
      <c r="E12" s="53">
        <f ca="1">IFERROR(__xludf.DUMMYFUNCTION("""COMPUTED_VALUE"""),1)</f>
        <v>1</v>
      </c>
      <c r="F12" s="15" t="str">
        <f ca="1">IFERROR(__xludf.DUMMYFUNCTION("""COMPUTED_VALUE"""),"ad")</f>
        <v>ad</v>
      </c>
      <c r="G12" s="44" t="str">
        <f ca="1">IFERROR(__xludf.DUMMYFUNCTION("""COMPUTED_VALUE"""),"Gresford Flash")</f>
        <v>Gresford Flash</v>
      </c>
      <c r="H12" s="12"/>
      <c r="I12" s="13"/>
      <c r="J12" s="14" t="str">
        <f ca="1">IFERROR(__xludf.DUMMYFUNCTION("""COMPUTED_VALUE"""),"Linn, H")</f>
        <v>Linn, H</v>
      </c>
      <c r="K12" s="51" t="str">
        <f ca="1">IFERROR(__xludf.DUMMYFUNCTION("""COMPUTED_VALUE"""),"Linn, H")</f>
        <v>Linn, H</v>
      </c>
      <c r="L12" s="17" t="str">
        <f ca="1">IFERROR(__xludf.DUMMYFUNCTION("""COMPUTED_VALUE"""),"closed")</f>
        <v>closed</v>
      </c>
      <c r="M12" s="17" t="str">
        <f ca="1">IFERROR(__xludf.DUMMYFUNCTION("""COMPUTED_VALUE"""),"panel")</f>
        <v>panel</v>
      </c>
      <c r="N12" s="15" t="str">
        <f ca="1">IFERROR(__xludf.DUMMYFUNCTION("""COMPUTED_VALUE"""),"accepted")</f>
        <v>accepted</v>
      </c>
      <c r="O12" s="18"/>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row>
    <row r="13" spans="1:80" ht="12.75" hidden="1" customHeight="1">
      <c r="A13" s="20">
        <f ca="1">IFERROR(__xludf.DUMMYFUNCTION("""COMPUTED_VALUE"""),1899)</f>
        <v>1899</v>
      </c>
      <c r="B13" s="45">
        <f ca="1">IFERROR(__xludf.DUMMYFUNCTION("""COMPUTED_VALUE"""),40585)</f>
        <v>40585</v>
      </c>
      <c r="C13" s="46">
        <f ca="1">IFERROR(__xludf.DUMMYFUNCTION("""COMPUTED_VALUE"""),40219)</f>
        <v>40219</v>
      </c>
      <c r="D13" s="47" t="str">
        <f ca="1">IFERROR(__xludf.DUMMYFUNCTION("""COMPUTED_VALUE"""),"Bluethroat")</f>
        <v>Bluethroat</v>
      </c>
      <c r="E13" s="52">
        <f ca="1">IFERROR(__xludf.DUMMYFUNCTION("""COMPUTED_VALUE"""),1)</f>
        <v>1</v>
      </c>
      <c r="F13" s="23" t="str">
        <f ca="1">IFERROR(__xludf.DUMMYFUNCTION("""COMPUTED_VALUE"""),"f")</f>
        <v>f</v>
      </c>
      <c r="G13" s="48" t="str">
        <f ca="1">IFERROR(__xludf.DUMMYFUNCTION("""COMPUTED_VALUE"""),"Leasowe (Lighthouse pool)")</f>
        <v>Leasowe (Lighthouse pool)</v>
      </c>
      <c r="H13" s="54"/>
      <c r="I13" s="23"/>
      <c r="J13" s="24" t="str">
        <f ca="1">IFERROR(__xludf.DUMMYFUNCTION("""COMPUTED_VALUE"""),"Dummigan, K")</f>
        <v>Dummigan, K</v>
      </c>
      <c r="K13" s="25" t="str">
        <f ca="1">IFERROR(__xludf.DUMMYFUNCTION("""COMPUTED_VALUE"""),"Michael King, Kenny Dummigan (independantly)")</f>
        <v>Michael King, Kenny Dummigan (independantly)</v>
      </c>
      <c r="L13" s="27" t="str">
        <f ca="1">IFERROR(__xludf.DUMMYFUNCTION("""COMPUTED_VALUE"""),"closed")</f>
        <v>closed</v>
      </c>
      <c r="M13" s="27" t="str">
        <f ca="1">IFERROR(__xludf.DUMMYFUNCTION("""COMPUTED_VALUE"""),"1st U")</f>
        <v>1st U</v>
      </c>
      <c r="N13" s="25" t="str">
        <f ca="1">IFERROR(__xludf.DUMMYFUNCTION("""COMPUTED_VALUE"""),"accepted")</f>
        <v>accepted</v>
      </c>
      <c r="O13" s="28"/>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row>
    <row r="14" spans="1:80" ht="12.75" hidden="1" customHeight="1">
      <c r="A14" s="10">
        <f ca="1">IFERROR(__xludf.DUMMYFUNCTION("""COMPUTED_VALUE"""),1951)</f>
        <v>1951</v>
      </c>
      <c r="B14" s="50">
        <f ca="1">IFERROR(__xludf.DUMMYFUNCTION("""COMPUTED_VALUE"""),44568)</f>
        <v>44568</v>
      </c>
      <c r="C14" s="41"/>
      <c r="D14" s="42" t="str">
        <f ca="1">IFERROR(__xludf.DUMMYFUNCTION("""COMPUTED_VALUE"""),"Lesser Yellowlegs")</f>
        <v>Lesser Yellowlegs</v>
      </c>
      <c r="E14" s="53"/>
      <c r="F14" s="15"/>
      <c r="G14" s="44" t="str">
        <f ca="1">IFERROR(__xludf.DUMMYFUNCTION("""COMPUTED_VALUE"""),"Altrincham SF")</f>
        <v>Altrincham SF</v>
      </c>
      <c r="H14" s="12">
        <f ca="1">IFERROR(__xludf.DUMMYFUNCTION("""COMPUTED_VALUE"""),18879)</f>
        <v>18879</v>
      </c>
      <c r="I14" s="13"/>
      <c r="J14" s="14"/>
      <c r="K14" s="51"/>
      <c r="L14" s="17" t="str">
        <f ca="1">IFERROR(__xludf.DUMMYFUNCTION("""COMPUTED_VALUE"""),"closed")</f>
        <v>closed</v>
      </c>
      <c r="M14" s="17"/>
      <c r="N14" s="15" t="str">
        <f ca="1">IFERROR(__xludf.DUMMYFUNCTION("""COMPUTED_VALUE"""),"BBRC-OK")</f>
        <v>BBRC-OK</v>
      </c>
      <c r="O14" s="18" t="str">
        <f ca="1">IFERROR(__xludf.DUMMYFUNCTION("""COMPUTED_VALUE"""),"Altrincham Sewage-farm, Cheshire, juvenile female, 8th to 9th September when it died, photo, now at Manchester Museum.")</f>
        <v>Altrincham Sewage-farm, Cheshire, juvenile female, 8th to 9th September when it died, photo, now at Manchester Museum.</v>
      </c>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row>
    <row r="15" spans="1:80" ht="12.75" hidden="1" customHeight="1">
      <c r="A15" s="20">
        <f ca="1">IFERROR(__xludf.DUMMYFUNCTION("""COMPUTED_VALUE"""),1952)</f>
        <v>1952</v>
      </c>
      <c r="B15" s="45">
        <f ca="1">IFERROR(__xludf.DUMMYFUNCTION("""COMPUTED_VALUE"""),44568)</f>
        <v>44568</v>
      </c>
      <c r="C15" s="46"/>
      <c r="D15" s="47" t="str">
        <f ca="1">IFERROR(__xludf.DUMMYFUNCTION("""COMPUTED_VALUE"""),"Great Snipe")</f>
        <v>Great Snipe</v>
      </c>
      <c r="E15" s="52"/>
      <c r="F15" s="25"/>
      <c r="G15" s="48" t="str">
        <f ca="1">IFERROR(__xludf.DUMMYFUNCTION("""COMPUTED_VALUE"""),"Frodsham")</f>
        <v>Frodsham</v>
      </c>
      <c r="H15" s="22">
        <f ca="1">IFERROR(__xludf.DUMMYFUNCTION("""COMPUTED_VALUE"""),19216)</f>
        <v>19216</v>
      </c>
      <c r="I15" s="23"/>
      <c r="J15" s="24"/>
      <c r="K15" s="49"/>
      <c r="L15" s="27" t="str">
        <f ca="1">IFERROR(__xludf.DUMMYFUNCTION("""COMPUTED_VALUE"""),"closed")</f>
        <v>closed</v>
      </c>
      <c r="M15" s="27"/>
      <c r="N15" s="25" t="str">
        <f ca="1">IFERROR(__xludf.DUMMYFUNCTION("""COMPUTED_VALUE"""),"BBRC-OK")</f>
        <v>BBRC-OK</v>
      </c>
      <c r="O15" s="28" t="str">
        <f ca="1">IFERROR(__xludf.DUMMYFUNCTION("""COMPUTED_VALUE"""),"Frodsham, 10th August.")</f>
        <v>Frodsham, 10th August.</v>
      </c>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row>
    <row r="16" spans="1:80" ht="12.75" hidden="1" customHeight="1">
      <c r="A16" s="10">
        <f ca="1">IFERROR(__xludf.DUMMYFUNCTION("""COMPUTED_VALUE"""),1952)</f>
        <v>1952</v>
      </c>
      <c r="B16" s="50">
        <f ca="1">IFERROR(__xludf.DUMMYFUNCTION("""COMPUTED_VALUE"""),44568)</f>
        <v>44568</v>
      </c>
      <c r="C16" s="41"/>
      <c r="D16" s="42" t="str">
        <f ca="1">IFERROR(__xludf.DUMMYFUNCTION("""COMPUTED_VALUE"""),"Marsh Sandpiper")</f>
        <v>Marsh Sandpiper</v>
      </c>
      <c r="E16" s="53"/>
      <c r="F16" s="15"/>
      <c r="G16" s="44" t="str">
        <f ca="1">IFERROR(__xludf.DUMMYFUNCTION("""COMPUTED_VALUE"""),"Altrincham SF")</f>
        <v>Altrincham SF</v>
      </c>
      <c r="H16" s="12">
        <f ca="1">IFERROR(__xludf.DUMMYFUNCTION("""COMPUTED_VALUE"""),19216)</f>
        <v>19216</v>
      </c>
      <c r="I16" s="13"/>
      <c r="J16" s="14"/>
      <c r="K16" s="51"/>
      <c r="L16" s="17" t="str">
        <f ca="1">IFERROR(__xludf.DUMMYFUNCTION("""COMPUTED_VALUE"""),"closed")</f>
        <v>closed</v>
      </c>
      <c r="M16" s="17"/>
      <c r="N16" s="15" t="str">
        <f ca="1">IFERROR(__xludf.DUMMYFUNCTION("""COMPUTED_VALUE"""),"BBRC-OK")</f>
        <v>BBRC-OK</v>
      </c>
      <c r="O16" s="18" t="str">
        <f ca="1">IFERROR(__xludf.DUMMYFUNCTION("""COMPUTED_VALUE"""),"Altrincham Sewage-farm, Cheshire, 10th to 13th August.")</f>
        <v>Altrincham Sewage-farm, Cheshire, 10th to 13th August.</v>
      </c>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row>
    <row r="17" spans="1:80" ht="12.75" hidden="1" customHeight="1">
      <c r="A17" s="20">
        <f ca="1">IFERROR(__xludf.DUMMYFUNCTION("""COMPUTED_VALUE"""),1952)</f>
        <v>1952</v>
      </c>
      <c r="B17" s="45">
        <f ca="1">IFERROR(__xludf.DUMMYFUNCTION("""COMPUTED_VALUE"""),44568)</f>
        <v>44568</v>
      </c>
      <c r="C17" s="46"/>
      <c r="D17" s="47" t="str">
        <f ca="1">IFERROR(__xludf.DUMMYFUNCTION("""COMPUTED_VALUE"""),"Marsh Sandpiper")</f>
        <v>Marsh Sandpiper</v>
      </c>
      <c r="E17" s="52"/>
      <c r="F17" s="25"/>
      <c r="G17" s="48" t="str">
        <f ca="1">IFERROR(__xludf.DUMMYFUNCTION("""COMPUTED_VALUE"""),"Frodsham")</f>
        <v>Frodsham</v>
      </c>
      <c r="H17" s="22">
        <f ca="1">IFERROR(__xludf.DUMMYFUNCTION("""COMPUTED_VALUE"""),19250)</f>
        <v>19250</v>
      </c>
      <c r="I17" s="23"/>
      <c r="J17" s="24"/>
      <c r="K17" s="25"/>
      <c r="L17" s="27" t="str">
        <f ca="1">IFERROR(__xludf.DUMMYFUNCTION("""COMPUTED_VALUE"""),"closed")</f>
        <v>closed</v>
      </c>
      <c r="M17" s="27"/>
      <c r="N17" s="25" t="str">
        <f ca="1">IFERROR(__xludf.DUMMYFUNCTION("""COMPUTED_VALUE"""),"BBRC-OK")</f>
        <v>BBRC-OK</v>
      </c>
      <c r="O17" s="28" t="str">
        <f ca="1">IFERROR(__xludf.DUMMYFUNCTION("""COMPUTED_VALUE"""),"Frodsham, 13th September; presumed same as Cheshire &amp; Wirral/Greater Manchester.")</f>
        <v>Frodsham, 13th September; presumed same as Cheshire &amp; Wirral/Greater Manchester.</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row>
    <row r="18" spans="1:80" ht="12.75" hidden="1" customHeight="1">
      <c r="A18" s="10">
        <f ca="1">IFERROR(__xludf.DUMMYFUNCTION("""COMPUTED_VALUE"""),1953)</f>
        <v>1953</v>
      </c>
      <c r="B18" s="50">
        <f ca="1">IFERROR(__xludf.DUMMYFUNCTION("""COMPUTED_VALUE"""),44568)</f>
        <v>44568</v>
      </c>
      <c r="C18" s="41"/>
      <c r="D18" s="42" t="str">
        <f ca="1">IFERROR(__xludf.DUMMYFUNCTION("""COMPUTED_VALUE"""),"Black-winged Stilt")</f>
        <v>Black-winged Stilt</v>
      </c>
      <c r="E18" s="53">
        <f ca="1">IFERROR(__xludf.DUMMYFUNCTION("""COMPUTED_VALUE"""),3)</f>
        <v>3</v>
      </c>
      <c r="F18" s="15"/>
      <c r="G18" s="44" t="str">
        <f ca="1">IFERROR(__xludf.DUMMYFUNCTION("""COMPUTED_VALUE"""),"Weaver Estuary")</f>
        <v>Weaver Estuary</v>
      </c>
      <c r="H18" s="12">
        <f ca="1">IFERROR(__xludf.DUMMYFUNCTION("""COMPUTED_VALUE"""),19482)</f>
        <v>19482</v>
      </c>
      <c r="I18" s="13"/>
      <c r="J18" s="14"/>
      <c r="K18" s="15"/>
      <c r="L18" s="17" t="str">
        <f ca="1">IFERROR(__xludf.DUMMYFUNCTION("""COMPUTED_VALUE"""),"closed")</f>
        <v>closed</v>
      </c>
      <c r="M18" s="17"/>
      <c r="N18" s="15" t="str">
        <f ca="1">IFERROR(__xludf.DUMMYFUNCTION("""COMPUTED_VALUE"""),"BBRC-OK")</f>
        <v>BBRC-OK</v>
      </c>
      <c r="O18" s="18" t="str">
        <f ca="1">IFERROR(__xludf.DUMMYFUNCTION("""COMPUTED_VALUE"""),"Weaver Estuary, three, 3rd May.")</f>
        <v>Weaver Estuary, three, 3rd May.</v>
      </c>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row>
    <row r="19" spans="1:80" ht="12.75" hidden="1" customHeight="1">
      <c r="A19" s="20">
        <f ca="1">IFERROR(__xludf.DUMMYFUNCTION("""COMPUTED_VALUE"""),1953)</f>
        <v>1953</v>
      </c>
      <c r="B19" s="45">
        <f ca="1">IFERROR(__xludf.DUMMYFUNCTION("""COMPUTED_VALUE"""),44568)</f>
        <v>44568</v>
      </c>
      <c r="C19" s="46"/>
      <c r="D19" s="47" t="str">
        <f ca="1">IFERROR(__xludf.DUMMYFUNCTION("""COMPUTED_VALUE"""),"Lesser Yellowlegs")</f>
        <v>Lesser Yellowlegs</v>
      </c>
      <c r="E19" s="52"/>
      <c r="F19" s="25"/>
      <c r="G19" s="48" t="str">
        <f ca="1">IFERROR(__xludf.DUMMYFUNCTION("""COMPUTED_VALUE"""),"Frodsham")</f>
        <v>Frodsham</v>
      </c>
      <c r="H19" s="22">
        <f ca="1">IFERROR(__xludf.DUMMYFUNCTION("""COMPUTED_VALUE"""),19609)</f>
        <v>19609</v>
      </c>
      <c r="I19" s="23"/>
      <c r="J19" s="24"/>
      <c r="K19" s="25"/>
      <c r="L19" s="27" t="str">
        <f ca="1">IFERROR(__xludf.DUMMYFUNCTION("""COMPUTED_VALUE"""),"closed")</f>
        <v>closed</v>
      </c>
      <c r="M19" s="27"/>
      <c r="N19" s="25" t="str">
        <f ca="1">IFERROR(__xludf.DUMMYFUNCTION("""COMPUTED_VALUE"""),"BBRC-OK")</f>
        <v>BBRC-OK</v>
      </c>
      <c r="O19" s="28" t="str">
        <f ca="1">IFERROR(__xludf.DUMMYFUNCTION("""COMPUTED_VALUE"""),"Frodsham, 7th to 14th September.")</f>
        <v>Frodsham, 7th to 14th September.</v>
      </c>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row>
    <row r="20" spans="1:80" ht="12.75" hidden="1" customHeight="1">
      <c r="A20" s="10">
        <f ca="1">IFERROR(__xludf.DUMMYFUNCTION("""COMPUTED_VALUE"""),1957)</f>
        <v>1957</v>
      </c>
      <c r="B20" s="50">
        <f ca="1">IFERROR(__xludf.DUMMYFUNCTION("""COMPUTED_VALUE"""),44568)</f>
        <v>44568</v>
      </c>
      <c r="C20" s="41"/>
      <c r="D20" s="42" t="str">
        <f ca="1">IFERROR(__xludf.DUMMYFUNCTION("""COMPUTED_VALUE"""),"Great Snipe")</f>
        <v>Great Snipe</v>
      </c>
      <c r="E20" s="53"/>
      <c r="F20" s="15"/>
      <c r="G20" s="44" t="str">
        <f ca="1">IFERROR(__xludf.DUMMYFUNCTION("""COMPUTED_VALUE"""),"Hoylake")</f>
        <v>Hoylake</v>
      </c>
      <c r="H20" s="12">
        <f ca="1">IFERROR(__xludf.DUMMYFUNCTION("""COMPUTED_VALUE"""),21098)</f>
        <v>21098</v>
      </c>
      <c r="I20" s="13"/>
      <c r="J20" s="14"/>
      <c r="K20" s="15"/>
      <c r="L20" s="17" t="str">
        <f ca="1">IFERROR(__xludf.DUMMYFUNCTION("""COMPUTED_VALUE"""),"closed")</f>
        <v>closed</v>
      </c>
      <c r="M20" s="17"/>
      <c r="N20" s="15" t="str">
        <f ca="1">IFERROR(__xludf.DUMMYFUNCTION("""COMPUTED_VALUE"""),"BBRC-OK")</f>
        <v>BBRC-OK</v>
      </c>
      <c r="O20" s="18" t="str">
        <f ca="1">IFERROR(__xludf.DUMMYFUNCTION("""COMPUTED_VALUE"""),"Hoylake Langfields, Wirral, 5th October.")</f>
        <v>Hoylake Langfields, Wirral, 5th October.</v>
      </c>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row>
    <row r="21" spans="1:80" ht="12.75" hidden="1" customHeight="1">
      <c r="A21" s="20">
        <f ca="1">IFERROR(__xludf.DUMMYFUNCTION("""COMPUTED_VALUE"""),1957)</f>
        <v>1957</v>
      </c>
      <c r="B21" s="45">
        <f ca="1">IFERROR(__xludf.DUMMYFUNCTION("""COMPUTED_VALUE"""),44568)</f>
        <v>44568</v>
      </c>
      <c r="C21" s="46"/>
      <c r="D21" s="47" t="str">
        <f ca="1">IFERROR(__xludf.DUMMYFUNCTION("""COMPUTED_VALUE"""),"Gyr Falcon")</f>
        <v>Gyr Falcon</v>
      </c>
      <c r="E21" s="52"/>
      <c r="F21" s="25"/>
      <c r="G21" s="48"/>
      <c r="H21" s="22">
        <f ca="1">IFERROR(__xludf.DUMMYFUNCTION("""COMPUTED_VALUE"""),21157)</f>
        <v>21157</v>
      </c>
      <c r="I21" s="23"/>
      <c r="J21" s="24"/>
      <c r="K21" s="25"/>
      <c r="L21" s="27" t="str">
        <f ca="1">IFERROR(__xludf.DUMMYFUNCTION("""COMPUTED_VALUE"""),"closed")</f>
        <v>closed</v>
      </c>
      <c r="M21" s="27"/>
      <c r="N21" s="25" t="str">
        <f ca="1">IFERROR(__xludf.DUMMYFUNCTION("""COMPUTED_VALUE"""),"BBRC-OK")</f>
        <v>BBRC-OK</v>
      </c>
      <c r="O21" s="28" t="str">
        <f ca="1">IFERROR(__xludf.DUMMYFUNCTION("""COMPUTED_VALUE"""),"Arrowe Park, Birkenhead, 3rd December.")</f>
        <v>Arrowe Park, Birkenhead, 3rd December.</v>
      </c>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row>
    <row r="22" spans="1:80" ht="12.75" hidden="1" customHeight="1">
      <c r="A22" s="10">
        <f ca="1">IFERROR(__xludf.DUMMYFUNCTION("""COMPUTED_VALUE"""),1958)</f>
        <v>1958</v>
      </c>
      <c r="B22" s="50">
        <f ca="1">IFERROR(__xludf.DUMMYFUNCTION("""COMPUTED_VALUE"""),44568)</f>
        <v>44568</v>
      </c>
      <c r="C22" s="41"/>
      <c r="D22" s="42" t="str">
        <f ca="1">IFERROR(__xludf.DUMMYFUNCTION("""COMPUTED_VALUE"""),"Macaronesian Shearwater")</f>
        <v>Macaronesian Shearwater</v>
      </c>
      <c r="E22" s="53"/>
      <c r="F22" s="15"/>
      <c r="G22" s="44" t="str">
        <f ca="1">IFERROR(__xludf.DUMMYFUNCTION("""COMPUTED_VALUE"""),"Stockport")</f>
        <v>Stockport</v>
      </c>
      <c r="H22" s="12">
        <f ca="1">IFERROR(__xludf.DUMMYFUNCTION("""COMPUTED_VALUE"""),21315)</f>
        <v>21315</v>
      </c>
      <c r="I22" s="13"/>
      <c r="J22" s="14"/>
      <c r="K22" s="15"/>
      <c r="L22" s="17" t="str">
        <f ca="1">IFERROR(__xludf.DUMMYFUNCTION("""COMPUTED_VALUE"""),"closed")</f>
        <v>closed</v>
      </c>
      <c r="M22" s="17"/>
      <c r="N22" s="15" t="str">
        <f ca="1">IFERROR(__xludf.DUMMYFUNCTION("""COMPUTED_VALUE"""),"BBRC-OK")</f>
        <v>BBRC-OK</v>
      </c>
      <c r="O22" s="18" t="str">
        <f ca="1">IFERROR(__xludf.DUMMYFUNCTION("""COMPUTED_VALUE"""),"Near Stockport, Cheshire, female, moribund, 10th May, &lt;I&gt;P. a. baroli&lt;/I&gt;, now at Bolton Museum.  No longer in Cheshire (Greater Mancherster)")</f>
        <v>Near Stockport, Cheshire, female, moribund, 10th May, &lt;I&gt;P. a. baroli&lt;/I&gt;, now at Bolton Museum.  No longer in Cheshire (Greater Mancherster)</v>
      </c>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row>
    <row r="23" spans="1:80" ht="12.75" hidden="1" customHeight="1">
      <c r="A23" s="20">
        <f ca="1">IFERROR(__xludf.DUMMYFUNCTION("""COMPUTED_VALUE"""),1958)</f>
        <v>1958</v>
      </c>
      <c r="B23" s="45">
        <f ca="1">IFERROR(__xludf.DUMMYFUNCTION("""COMPUTED_VALUE"""),44568)</f>
        <v>44568</v>
      </c>
      <c r="C23" s="46"/>
      <c r="D23" s="47" t="str">
        <f ca="1">IFERROR(__xludf.DUMMYFUNCTION("""COMPUTED_VALUE"""),"Tawny Pipit")</f>
        <v>Tawny Pipit</v>
      </c>
      <c r="E23" s="52">
        <f ca="1">IFERROR(__xludf.DUMMYFUNCTION("""COMPUTED_VALUE"""),1)</f>
        <v>1</v>
      </c>
      <c r="F23" s="25"/>
      <c r="G23" s="48" t="str">
        <f ca="1">IFERROR(__xludf.DUMMYFUNCTION("""COMPUTED_VALUE"""),"Burton")</f>
        <v>Burton</v>
      </c>
      <c r="H23" s="22">
        <f ca="1">IFERROR(__xludf.DUMMYFUNCTION("""COMPUTED_VALUE"""),21309)</f>
        <v>21309</v>
      </c>
      <c r="I23" s="23"/>
      <c r="J23" s="24"/>
      <c r="K23" s="25"/>
      <c r="L23" s="27" t="str">
        <f ca="1">IFERROR(__xludf.DUMMYFUNCTION("""COMPUTED_VALUE"""),"closed")</f>
        <v>closed</v>
      </c>
      <c r="M23" s="27"/>
      <c r="N23" s="25" t="str">
        <f ca="1">IFERROR(__xludf.DUMMYFUNCTION("""COMPUTED_VALUE"""),"BBRC-OK")</f>
        <v>BBRC-OK</v>
      </c>
      <c r="O23" s="28"/>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row>
    <row r="24" spans="1:80" ht="12.75" hidden="1" customHeight="1">
      <c r="A24" s="10">
        <f ca="1">IFERROR(__xludf.DUMMYFUNCTION("""COMPUTED_VALUE"""),1959)</f>
        <v>1959</v>
      </c>
      <c r="B24" s="50">
        <f ca="1">IFERROR(__xludf.DUMMYFUNCTION("""COMPUTED_VALUE"""),44568)</f>
        <v>44568</v>
      </c>
      <c r="C24" s="41"/>
      <c r="D24" s="42" t="str">
        <f ca="1">IFERROR(__xludf.DUMMYFUNCTION("""COMPUTED_VALUE"""),"Dowitcher sp.")</f>
        <v>Dowitcher sp.</v>
      </c>
      <c r="E24" s="53"/>
      <c r="F24" s="15"/>
      <c r="G24" s="44" t="str">
        <f ca="1">IFERROR(__xludf.DUMMYFUNCTION("""COMPUTED_VALUE"""),"Frodsham")</f>
        <v>Frodsham</v>
      </c>
      <c r="H24" s="12">
        <f ca="1">IFERROR(__xludf.DUMMYFUNCTION("""COMPUTED_VALUE"""),21841)</f>
        <v>21841</v>
      </c>
      <c r="I24" s="13"/>
      <c r="J24" s="14"/>
      <c r="K24" s="15"/>
      <c r="L24" s="17" t="str">
        <f ca="1">IFERROR(__xludf.DUMMYFUNCTION("""COMPUTED_VALUE"""),"closed")</f>
        <v>closed</v>
      </c>
      <c r="M24" s="17"/>
      <c r="N24" s="15" t="str">
        <f ca="1">IFERROR(__xludf.DUMMYFUNCTION("""COMPUTED_VALUE"""),"BBRC-OK")</f>
        <v>BBRC-OK</v>
      </c>
      <c r="O24" s="18" t="str">
        <f ca="1">IFERROR(__xludf.DUMMYFUNCTION("""COMPUTED_VALUE"""),"Frodsham, 18th October.")</f>
        <v>Frodsham, 18th October.</v>
      </c>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row>
    <row r="25" spans="1:80" ht="12.75" hidden="1" customHeight="1">
      <c r="A25" s="20">
        <f ca="1">IFERROR(__xludf.DUMMYFUNCTION("""COMPUTED_VALUE"""),1959)</f>
        <v>1959</v>
      </c>
      <c r="B25" s="45">
        <f ca="1">IFERROR(__xludf.DUMMYFUNCTION("""COMPUTED_VALUE"""),44568)</f>
        <v>44568</v>
      </c>
      <c r="C25" s="46"/>
      <c r="D25" s="47" t="str">
        <f ca="1">IFERROR(__xludf.DUMMYFUNCTION("""COMPUTED_VALUE"""),"Gyr Falcon")</f>
        <v>Gyr Falcon</v>
      </c>
      <c r="E25" s="52"/>
      <c r="F25" s="25"/>
      <c r="G25" s="48" t="str">
        <f ca="1">IFERROR(__xludf.DUMMYFUNCTION("""COMPUTED_VALUE"""),"Hilbre")</f>
        <v>Hilbre</v>
      </c>
      <c r="H25" s="22">
        <f ca="1">IFERROR(__xludf.DUMMYFUNCTION("""COMPUTED_VALUE"""),21854)</f>
        <v>21854</v>
      </c>
      <c r="I25" s="23"/>
      <c r="J25" s="24"/>
      <c r="K25" s="25"/>
      <c r="L25" s="27" t="str">
        <f ca="1">IFERROR(__xludf.DUMMYFUNCTION("""COMPUTED_VALUE"""),"closed")</f>
        <v>closed</v>
      </c>
      <c r="M25" s="27"/>
      <c r="N25" s="25" t="str">
        <f ca="1">IFERROR(__xludf.DUMMYFUNCTION("""COMPUTED_VALUE"""),"BBRC-OK")</f>
        <v>BBRC-OK</v>
      </c>
      <c r="O25" s="28" t="str">
        <f ca="1">IFERROR(__xludf.DUMMYFUNCTION("""COMPUTED_VALUE"""),"Hilbre Island, 31st October.")</f>
        <v>Hilbre Island, 31st October.</v>
      </c>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row>
    <row r="26" spans="1:80" ht="12.75" hidden="1" customHeight="1">
      <c r="A26" s="10">
        <f ca="1">IFERROR(__xludf.DUMMYFUNCTION("""COMPUTED_VALUE"""),1962)</f>
        <v>1962</v>
      </c>
      <c r="B26" s="50">
        <f ca="1">IFERROR(__xludf.DUMMYFUNCTION("""COMPUTED_VALUE"""),44568)</f>
        <v>44568</v>
      </c>
      <c r="C26" s="41"/>
      <c r="D26" s="42" t="str">
        <f ca="1">IFERROR(__xludf.DUMMYFUNCTION("""COMPUTED_VALUE"""),"Wilson's Phalarope")</f>
        <v>Wilson's Phalarope</v>
      </c>
      <c r="E26" s="53">
        <f ca="1">IFERROR(__xludf.DUMMYFUNCTION("""COMPUTED_VALUE"""),1)</f>
        <v>1</v>
      </c>
      <c r="F26" s="15"/>
      <c r="G26" s="44" t="str">
        <f ca="1">IFERROR(__xludf.DUMMYFUNCTION("""COMPUTED_VALUE"""),"Sandbach")</f>
        <v>Sandbach</v>
      </c>
      <c r="H26" s="12">
        <f ca="1">IFERROR(__xludf.DUMMYFUNCTION("""COMPUTED_VALUE"""),22899)</f>
        <v>22899</v>
      </c>
      <c r="I26" s="13"/>
      <c r="J26" s="14"/>
      <c r="K26" s="15"/>
      <c r="L26" s="17" t="str">
        <f ca="1">IFERROR(__xludf.DUMMYFUNCTION("""COMPUTED_VALUE"""),"closed")</f>
        <v>closed</v>
      </c>
      <c r="M26" s="17"/>
      <c r="N26" s="15" t="str">
        <f ca="1">IFERROR(__xludf.DUMMYFUNCTION("""COMPUTED_VALUE"""),"BBRC-OK")</f>
        <v>BBRC-OK</v>
      </c>
      <c r="O26" s="18" t="str">
        <f ca="1">IFERROR(__xludf.DUMMYFUNCTION("""COMPUTED_VALUE"""),"Near Sandbach, 10th to 24th September, photo.")</f>
        <v>Near Sandbach, 10th to 24th September, photo.</v>
      </c>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row>
    <row r="27" spans="1:80" ht="12.75" hidden="1" customHeight="1">
      <c r="A27" s="20">
        <f ca="1">IFERROR(__xludf.DUMMYFUNCTION("""COMPUTED_VALUE"""),1963)</f>
        <v>1963</v>
      </c>
      <c r="B27" s="45">
        <f ca="1">IFERROR(__xludf.DUMMYFUNCTION("""COMPUTED_VALUE"""),44568)</f>
        <v>44568</v>
      </c>
      <c r="C27" s="46"/>
      <c r="D27" s="47" t="str">
        <f ca="1">IFERROR(__xludf.DUMMYFUNCTION("""COMPUTED_VALUE"""),"Western Bonelli's warbler")</f>
        <v>Western Bonelli's warbler</v>
      </c>
      <c r="E27" s="52"/>
      <c r="F27" s="25"/>
      <c r="G27" s="48" t="str">
        <f ca="1">IFERROR(__xludf.DUMMYFUNCTION("""COMPUTED_VALUE"""),"Delamere")</f>
        <v>Delamere</v>
      </c>
      <c r="H27" s="22">
        <f ca="1">IFERROR(__xludf.DUMMYFUNCTION("""COMPUTED_VALUE"""),23150)</f>
        <v>23150</v>
      </c>
      <c r="I27" s="22"/>
      <c r="J27" s="24"/>
      <c r="K27" s="25"/>
      <c r="L27" s="27" t="str">
        <f ca="1">IFERROR(__xludf.DUMMYFUNCTION("""COMPUTED_VALUE"""),"closed")</f>
        <v>closed</v>
      </c>
      <c r="M27" s="27"/>
      <c r="N27" s="25" t="str">
        <f ca="1">IFERROR(__xludf.DUMMYFUNCTION("""COMPUTED_VALUE"""),"BBRC-OK")</f>
        <v>BBRC-OK</v>
      </c>
      <c r="O27" s="28" t="str">
        <f ca="1">IFERROR(__xludf.DUMMYFUNCTION("""COMPUTED_VALUE"""),"Delamere Forest, male, in song, 19th May to 9th June.")</f>
        <v>Delamere Forest, male, in song, 19th May to 9th June.</v>
      </c>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row>
    <row r="28" spans="1:80" ht="12.75" hidden="1" customHeight="1">
      <c r="A28" s="10">
        <f ca="1">IFERROR(__xludf.DUMMYFUNCTION("""COMPUTED_VALUE"""),1964)</f>
        <v>1964</v>
      </c>
      <c r="B28" s="50">
        <f ca="1">IFERROR(__xludf.DUMMYFUNCTION("""COMPUTED_VALUE"""),44568)</f>
        <v>44568</v>
      </c>
      <c r="C28" s="41"/>
      <c r="D28" s="42" t="str">
        <f ca="1">IFERROR(__xludf.DUMMYFUNCTION("""COMPUTED_VALUE"""),"White's Thrush")</f>
        <v>White's Thrush</v>
      </c>
      <c r="E28" s="53"/>
      <c r="F28" s="15"/>
      <c r="G28" s="44" t="str">
        <f ca="1">IFERROR(__xludf.DUMMYFUNCTION("""COMPUTED_VALUE"""),"Weaverham")</f>
        <v>Weaverham</v>
      </c>
      <c r="H28" s="12">
        <f ca="1">IFERROR(__xludf.DUMMYFUNCTION("""COMPUTED_VALUE"""),23504)</f>
        <v>23504</v>
      </c>
      <c r="I28" s="13"/>
      <c r="J28" s="14"/>
      <c r="K28" s="15"/>
      <c r="L28" s="17" t="str">
        <f ca="1">IFERROR(__xludf.DUMMYFUNCTION("""COMPUTED_VALUE"""),"closed")</f>
        <v>closed</v>
      </c>
      <c r="M28" s="17"/>
      <c r="N28" s="15" t="str">
        <f ca="1">IFERROR(__xludf.DUMMYFUNCTION("""COMPUTED_VALUE"""),"BBRC-OK")</f>
        <v>BBRC-OK</v>
      </c>
      <c r="O28" s="18" t="str">
        <f ca="1">IFERROR(__xludf.DUMMYFUNCTION("""COMPUTED_VALUE"""),"Weaverham, 7th May.")</f>
        <v>Weaverham, 7th May.</v>
      </c>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row>
    <row r="29" spans="1:80" ht="12.75" hidden="1" customHeight="1">
      <c r="A29" s="20">
        <f ca="1">IFERROR(__xludf.DUMMYFUNCTION("""COMPUTED_VALUE"""),1966)</f>
        <v>1966</v>
      </c>
      <c r="B29" s="45">
        <f ca="1">IFERROR(__xludf.DUMMYFUNCTION("""COMPUTED_VALUE"""),44568)</f>
        <v>44568</v>
      </c>
      <c r="C29" s="46"/>
      <c r="D29" s="47" t="str">
        <f ca="1">IFERROR(__xludf.DUMMYFUNCTION("""COMPUTED_VALUE"""),"Two-barred Crossbill")</f>
        <v>Two-barred Crossbill</v>
      </c>
      <c r="E29" s="52"/>
      <c r="F29" s="25"/>
      <c r="G29" s="48" t="str">
        <f ca="1">IFERROR(__xludf.DUMMYFUNCTION("""COMPUTED_VALUE"""),"Bebington")</f>
        <v>Bebington</v>
      </c>
      <c r="H29" s="22">
        <f ca="1">IFERROR(__xludf.DUMMYFUNCTION("""COMPUTED_VALUE"""),24402)</f>
        <v>24402</v>
      </c>
      <c r="I29" s="23"/>
      <c r="J29" s="24"/>
      <c r="K29" s="25"/>
      <c r="L29" s="27" t="str">
        <f ca="1">IFERROR(__xludf.DUMMYFUNCTION("""COMPUTED_VALUE"""),"closed")</f>
        <v>closed</v>
      </c>
      <c r="M29" s="27"/>
      <c r="N29" s="25" t="str">
        <f ca="1">IFERROR(__xludf.DUMMYFUNCTION("""COMPUTED_VALUE"""),"BBRC-OK")</f>
        <v>BBRC-OK</v>
      </c>
      <c r="O29" s="28" t="str">
        <f ca="1">IFERROR(__xludf.DUMMYFUNCTION("""COMPUTED_VALUE"""),"Bebington, Wirral, male, dead, 22nd October, now in Liverpool Museum.")</f>
        <v>Bebington, Wirral, male, dead, 22nd October, now in Liverpool Museum.</v>
      </c>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row>
    <row r="30" spans="1:80" ht="12.75" hidden="1" customHeight="1">
      <c r="A30" s="10">
        <f ca="1">IFERROR(__xludf.DUMMYFUNCTION("""COMPUTED_VALUE"""),1967)</f>
        <v>1967</v>
      </c>
      <c r="B30" s="50">
        <f ca="1">IFERROR(__xludf.DUMMYFUNCTION("""COMPUTED_VALUE"""),44568)</f>
        <v>44568</v>
      </c>
      <c r="C30" s="41"/>
      <c r="D30" s="42" t="str">
        <f ca="1">IFERROR(__xludf.DUMMYFUNCTION("""COMPUTED_VALUE"""),"Caspian Tern")</f>
        <v>Caspian Tern</v>
      </c>
      <c r="E30" s="53">
        <f ca="1">IFERROR(__xludf.DUMMYFUNCTION("""COMPUTED_VALUE"""),1)</f>
        <v>1</v>
      </c>
      <c r="F30" s="15"/>
      <c r="G30" s="44" t="str">
        <f ca="1">IFERROR(__xludf.DUMMYFUNCTION("""COMPUTED_VALUE"""),"Witton Flashes")</f>
        <v>Witton Flashes</v>
      </c>
      <c r="H30" s="12">
        <f ca="1">IFERROR(__xludf.DUMMYFUNCTION("""COMPUTED_VALUE"""),24655)</f>
        <v>24655</v>
      </c>
      <c r="I30" s="13"/>
      <c r="J30" s="14"/>
      <c r="K30" s="15"/>
      <c r="L30" s="17" t="str">
        <f ca="1">IFERROR(__xludf.DUMMYFUNCTION("""COMPUTED_VALUE"""),"closed")</f>
        <v>closed</v>
      </c>
      <c r="M30" s="17"/>
      <c r="N30" s="15" t="str">
        <f ca="1">IFERROR(__xludf.DUMMYFUNCTION("""COMPUTED_VALUE"""),"BBRC-OK")</f>
        <v>BBRC-OK</v>
      </c>
      <c r="O30" s="18" t="str">
        <f ca="1">IFERROR(__xludf.DUMMYFUNCTION("""COMPUTED_VALUE"""),"Witton Flashes, Great Budworth and Marbury area, 2nd to 4th July.")</f>
        <v>Witton Flashes, Great Budworth and Marbury area, 2nd to 4th July.</v>
      </c>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row>
    <row r="31" spans="1:80" ht="12.75" hidden="1" customHeight="1">
      <c r="A31" s="20">
        <f ca="1">IFERROR(__xludf.DUMMYFUNCTION("""COMPUTED_VALUE"""),1968)</f>
        <v>1968</v>
      </c>
      <c r="B31" s="45">
        <f ca="1">IFERROR(__xludf.DUMMYFUNCTION("""COMPUTED_VALUE"""),44568)</f>
        <v>44568</v>
      </c>
      <c r="C31" s="46"/>
      <c r="D31" s="47" t="str">
        <f ca="1">IFERROR(__xludf.DUMMYFUNCTION("""COMPUTED_VALUE"""),"Nutcracker")</f>
        <v>Nutcracker</v>
      </c>
      <c r="E31" s="52"/>
      <c r="F31" s="25"/>
      <c r="G31" s="48" t="str">
        <f ca="1">IFERROR(__xludf.DUMMYFUNCTION("""COMPUTED_VALUE"""),"Weaverham")</f>
        <v>Weaverham</v>
      </c>
      <c r="H31" s="22">
        <f ca="1">IFERROR(__xludf.DUMMYFUNCTION("""COMPUTED_VALUE"""),25103)</f>
        <v>25103</v>
      </c>
      <c r="I31" s="23"/>
      <c r="J31" s="24"/>
      <c r="K31" s="25"/>
      <c r="L31" s="27" t="str">
        <f ca="1">IFERROR(__xludf.DUMMYFUNCTION("""COMPUTED_VALUE"""),"closed")</f>
        <v>closed</v>
      </c>
      <c r="M31" s="27"/>
      <c r="N31" s="25" t="str">
        <f ca="1">IFERROR(__xludf.DUMMYFUNCTION("""COMPUTED_VALUE"""),"BBRC-OK")</f>
        <v>BBRC-OK</v>
      </c>
      <c r="O31" s="28" t="str">
        <f ca="1">IFERROR(__xludf.DUMMYFUNCTION("""COMPUTED_VALUE"""),"Weaverham, 22nd September.")</f>
        <v>Weaverham, 22nd September.</v>
      </c>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row>
    <row r="32" spans="1:80" ht="12.75" hidden="1" customHeight="1">
      <c r="A32" s="10">
        <f ca="1">IFERROR(__xludf.DUMMYFUNCTION("""COMPUTED_VALUE"""),1968)</f>
        <v>1968</v>
      </c>
      <c r="B32" s="50">
        <f ca="1">IFERROR(__xludf.DUMMYFUNCTION("""COMPUTED_VALUE"""),44568)</f>
        <v>44568</v>
      </c>
      <c r="C32" s="41"/>
      <c r="D32" s="42" t="str">
        <f ca="1">IFERROR(__xludf.DUMMYFUNCTION("""COMPUTED_VALUE"""),"Nutcracker")</f>
        <v>Nutcracker</v>
      </c>
      <c r="E32" s="53">
        <f ca="1">IFERROR(__xludf.DUMMYFUNCTION("""COMPUTED_VALUE"""),1)</f>
        <v>1</v>
      </c>
      <c r="F32" s="15"/>
      <c r="G32" s="44" t="str">
        <f ca="1">IFERROR(__xludf.DUMMYFUNCTION("""COMPUTED_VALUE"""),"Tatton")</f>
        <v>Tatton</v>
      </c>
      <c r="H32" s="12">
        <f ca="1">IFERROR(__xludf.DUMMYFUNCTION("""COMPUTED_VALUE"""),25126)</f>
        <v>25126</v>
      </c>
      <c r="I32" s="13"/>
      <c r="J32" s="14"/>
      <c r="K32" s="15"/>
      <c r="L32" s="17" t="str">
        <f ca="1">IFERROR(__xludf.DUMMYFUNCTION("""COMPUTED_VALUE"""),"closed")</f>
        <v>closed</v>
      </c>
      <c r="M32" s="17"/>
      <c r="N32" s="15" t="str">
        <f ca="1">IFERROR(__xludf.DUMMYFUNCTION("""COMPUTED_VALUE"""),"BBRC-OK")</f>
        <v>BBRC-OK</v>
      </c>
      <c r="O32" s="18" t="str">
        <f ca="1">IFERROR(__xludf.DUMMYFUNCTION("""COMPUTED_VALUE"""),"Tatton Park, 15th October.")</f>
        <v>Tatton Park, 15th October.</v>
      </c>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row>
    <row r="33" spans="1:80" ht="12.75" hidden="1" customHeight="1">
      <c r="A33" s="20">
        <f ca="1">IFERROR(__xludf.DUMMYFUNCTION("""COMPUTED_VALUE"""),1968)</f>
        <v>1968</v>
      </c>
      <c r="B33" s="45">
        <f ca="1">IFERROR(__xludf.DUMMYFUNCTION("""COMPUTED_VALUE"""),44568)</f>
        <v>44568</v>
      </c>
      <c r="C33" s="46"/>
      <c r="D33" s="47" t="str">
        <f ca="1">IFERROR(__xludf.DUMMYFUNCTION("""COMPUTED_VALUE"""),"Nutcracker")</f>
        <v>Nutcracker</v>
      </c>
      <c r="E33" s="52"/>
      <c r="F33" s="25"/>
      <c r="G33" s="48" t="str">
        <f ca="1">IFERROR(__xludf.DUMMYFUNCTION("""COMPUTED_VALUE"""),"Congelton")</f>
        <v>Congelton</v>
      </c>
      <c r="H33" s="22">
        <f ca="1">IFERROR(__xludf.DUMMYFUNCTION("""COMPUTED_VALUE"""),25143)</f>
        <v>25143</v>
      </c>
      <c r="I33" s="23"/>
      <c r="J33" s="24"/>
      <c r="K33" s="25"/>
      <c r="L33" s="27" t="str">
        <f ca="1">IFERROR(__xludf.DUMMYFUNCTION("""COMPUTED_VALUE"""),"closed")</f>
        <v>closed</v>
      </c>
      <c r="M33" s="27"/>
      <c r="N33" s="25" t="str">
        <f ca="1">IFERROR(__xludf.DUMMYFUNCTION("""COMPUTED_VALUE"""),"BBRC-OK")</f>
        <v>BBRC-OK</v>
      </c>
      <c r="O33" s="28" t="str">
        <f ca="1">IFERROR(__xludf.DUMMYFUNCTION("""COMPUTED_VALUE"""),"Congleton, 1st November.")</f>
        <v>Congleton, 1st November.</v>
      </c>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row>
    <row r="34" spans="1:80" ht="12.75" hidden="1" customHeight="1">
      <c r="A34" s="10">
        <f ca="1">IFERROR(__xludf.DUMMYFUNCTION("""COMPUTED_VALUE"""),1968)</f>
        <v>1968</v>
      </c>
      <c r="B34" s="50">
        <f ca="1">IFERROR(__xludf.DUMMYFUNCTION("""COMPUTED_VALUE"""),44568)</f>
        <v>44568</v>
      </c>
      <c r="C34" s="41"/>
      <c r="D34" s="42" t="str">
        <f ca="1">IFERROR(__xludf.DUMMYFUNCTION("""COMPUTED_VALUE"""),"Nutcracker")</f>
        <v>Nutcracker</v>
      </c>
      <c r="E34" s="53"/>
      <c r="F34" s="15"/>
      <c r="G34" s="44" t="str">
        <f ca="1">IFERROR(__xludf.DUMMYFUNCTION("""COMPUTED_VALUE"""),"Saughall")</f>
        <v>Saughall</v>
      </c>
      <c r="H34" s="12">
        <f ca="1">IFERROR(__xludf.DUMMYFUNCTION("""COMPUTED_VALUE"""),25178)</f>
        <v>25178</v>
      </c>
      <c r="I34" s="13"/>
      <c r="J34" s="14"/>
      <c r="K34" s="15"/>
      <c r="L34" s="17" t="str">
        <f ca="1">IFERROR(__xludf.DUMMYFUNCTION("""COMPUTED_VALUE"""),"closed")</f>
        <v>closed</v>
      </c>
      <c r="M34" s="17"/>
      <c r="N34" s="15" t="str">
        <f ca="1">IFERROR(__xludf.DUMMYFUNCTION("""COMPUTED_VALUE"""),"BBRC-OK")</f>
        <v>BBRC-OK</v>
      </c>
      <c r="O34" s="18" t="str">
        <f ca="1">IFERROR(__xludf.DUMMYFUNCTION("""COMPUTED_VALUE"""),"Saughall, one/two, 6th December.")</f>
        <v>Saughall, one/two, 6th December.</v>
      </c>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row>
    <row r="35" spans="1:80" ht="12.75" hidden="1" customHeight="1">
      <c r="A35" s="20">
        <f ca="1">IFERROR(__xludf.DUMMYFUNCTION("""COMPUTED_VALUE"""),1969)</f>
        <v>1969</v>
      </c>
      <c r="B35" s="45">
        <f ca="1">IFERROR(__xludf.DUMMYFUNCTION("""COMPUTED_VALUE"""),44568)</f>
        <v>44568</v>
      </c>
      <c r="C35" s="46"/>
      <c r="D35" s="47" t="str">
        <f ca="1">IFERROR(__xludf.DUMMYFUNCTION("""COMPUTED_VALUE"""),"Little Bittern")</f>
        <v>Little Bittern</v>
      </c>
      <c r="E35" s="52"/>
      <c r="F35" s="25"/>
      <c r="G35" s="48" t="str">
        <f ca="1">IFERROR(__xludf.DUMMYFUNCTION("""COMPUTED_VALUE"""),"Upton")</f>
        <v>Upton</v>
      </c>
      <c r="H35" s="22">
        <f ca="1">IFERROR(__xludf.DUMMYFUNCTION("""COMPUTED_VALUE"""),25338)</f>
        <v>25338</v>
      </c>
      <c r="I35" s="23"/>
      <c r="J35" s="24"/>
      <c r="K35" s="25"/>
      <c r="L35" s="27" t="str">
        <f ca="1">IFERROR(__xludf.DUMMYFUNCTION("""COMPUTED_VALUE"""),"closed")</f>
        <v>closed</v>
      </c>
      <c r="M35" s="27"/>
      <c r="N35" s="25" t="str">
        <f ca="1">IFERROR(__xludf.DUMMYFUNCTION("""COMPUTED_VALUE"""),"BBRC-OK")</f>
        <v>BBRC-OK</v>
      </c>
      <c r="O35" s="28" t="str">
        <f ca="1">IFERROR(__xludf.DUMMYFUNCTION("""COMPUTED_VALUE"""),"Upton, Wirral, adult male, 15th to 18th May.")</f>
        <v>Upton, Wirral, adult male, 15th to 18th May.</v>
      </c>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row>
    <row r="36" spans="1:80" ht="12.75" hidden="1" customHeight="1">
      <c r="A36" s="10">
        <f ca="1">IFERROR(__xludf.DUMMYFUNCTION("""COMPUTED_VALUE"""),1969)</f>
        <v>1969</v>
      </c>
      <c r="B36" s="50">
        <f ca="1">IFERROR(__xludf.DUMMYFUNCTION("""COMPUTED_VALUE"""),44568)</f>
        <v>44568</v>
      </c>
      <c r="C36" s="41"/>
      <c r="D36" s="42" t="str">
        <f ca="1">IFERROR(__xludf.DUMMYFUNCTION("""COMPUTED_VALUE"""),"European Roller")</f>
        <v>European Roller</v>
      </c>
      <c r="E36" s="53"/>
      <c r="F36" s="15"/>
      <c r="G36" s="44" t="str">
        <f ca="1">IFERROR(__xludf.DUMMYFUNCTION("""COMPUTED_VALUE"""),"Ellesmere Port")</f>
        <v>Ellesmere Port</v>
      </c>
      <c r="H36" s="12">
        <f ca="1">IFERROR(__xludf.DUMMYFUNCTION("""COMPUTED_VALUE"""),25463)</f>
        <v>25463</v>
      </c>
      <c r="I36" s="13"/>
      <c r="J36" s="14"/>
      <c r="K36" s="15"/>
      <c r="L36" s="17" t="str">
        <f ca="1">IFERROR(__xludf.DUMMYFUNCTION("""COMPUTED_VALUE"""),"closed")</f>
        <v>closed</v>
      </c>
      <c r="M36" s="17"/>
      <c r="N36" s="15" t="str">
        <f ca="1">IFERROR(__xludf.DUMMYFUNCTION("""COMPUTED_VALUE"""),"BBRC-OK")</f>
        <v>BBRC-OK</v>
      </c>
      <c r="O36" s="18" t="str">
        <f ca="1">IFERROR(__xludf.DUMMYFUNCTION("""COMPUTED_VALUE"""),"Vauxhall Motors, Ellesmere Port, 23rd September to 17th October.")</f>
        <v>Vauxhall Motors, Ellesmere Port, 23rd September to 17th October.</v>
      </c>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row>
    <row r="37" spans="1:80" ht="12.75" hidden="1" customHeight="1">
      <c r="A37" s="20">
        <f ca="1">IFERROR(__xludf.DUMMYFUNCTION("""COMPUTED_VALUE"""),1969)</f>
        <v>1969</v>
      </c>
      <c r="B37" s="45">
        <f ca="1">IFERROR(__xludf.DUMMYFUNCTION("""COMPUTED_VALUE"""),44568)</f>
        <v>44568</v>
      </c>
      <c r="C37" s="46"/>
      <c r="D37" s="47" t="str">
        <f ca="1">IFERROR(__xludf.DUMMYFUNCTION("""COMPUTED_VALUE"""),"Nutcracker")</f>
        <v>Nutcracker</v>
      </c>
      <c r="E37" s="52"/>
      <c r="F37" s="25"/>
      <c r="G37" s="48" t="str">
        <f ca="1">IFERROR(__xludf.DUMMYFUNCTION("""COMPUTED_VALUE"""),"Royden Park")</f>
        <v>Royden Park</v>
      </c>
      <c r="H37" s="22">
        <f ca="1">IFERROR(__xludf.DUMMYFUNCTION("""COMPUTED_VALUE"""),25235)</f>
        <v>25235</v>
      </c>
      <c r="I37" s="23"/>
      <c r="J37" s="24"/>
      <c r="K37" s="25"/>
      <c r="L37" s="27" t="str">
        <f ca="1">IFERROR(__xludf.DUMMYFUNCTION("""COMPUTED_VALUE"""),"closed")</f>
        <v>closed</v>
      </c>
      <c r="M37" s="27"/>
      <c r="N37" s="25" t="str">
        <f ca="1">IFERROR(__xludf.DUMMYFUNCTION("""COMPUTED_VALUE"""),"BBRC-OK")</f>
        <v>BBRC-OK</v>
      </c>
      <c r="O37" s="28" t="str">
        <f ca="1">IFERROR(__xludf.DUMMYFUNCTION("""COMPUTED_VALUE"""),"Frankby, Wirral, three, 1st February.")</f>
        <v>Frankby, Wirral, three, 1st February.</v>
      </c>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row>
    <row r="38" spans="1:80" ht="12.75" hidden="1" customHeight="1">
      <c r="A38" s="10">
        <f ca="1">IFERROR(__xludf.DUMMYFUNCTION("""COMPUTED_VALUE"""),1970)</f>
        <v>1970</v>
      </c>
      <c r="B38" s="50">
        <f ca="1">IFERROR(__xludf.DUMMYFUNCTION("""COMPUTED_VALUE"""),44568)</f>
        <v>44568</v>
      </c>
      <c r="C38" s="41"/>
      <c r="D38" s="42" t="str">
        <f ca="1">IFERROR(__xludf.DUMMYFUNCTION("""COMPUTED_VALUE"""),"Wilson's Phalarope")</f>
        <v>Wilson's Phalarope</v>
      </c>
      <c r="E38" s="53">
        <f ca="1">IFERROR(__xludf.DUMMYFUNCTION("""COMPUTED_VALUE"""),1)</f>
        <v>1</v>
      </c>
      <c r="F38" s="15"/>
      <c r="G38" s="44" t="str">
        <f ca="1">IFERROR(__xludf.DUMMYFUNCTION("""COMPUTED_VALUE"""),"Sandbach")</f>
        <v>Sandbach</v>
      </c>
      <c r="H38" s="12">
        <f ca="1">IFERROR(__xludf.DUMMYFUNCTION("""COMPUTED_VALUE"""),25817)</f>
        <v>25817</v>
      </c>
      <c r="I38" s="13"/>
      <c r="J38" s="14"/>
      <c r="K38" s="15"/>
      <c r="L38" s="17" t="str">
        <f ca="1">IFERROR(__xludf.DUMMYFUNCTION("""COMPUTED_VALUE"""),"closed")</f>
        <v>closed</v>
      </c>
      <c r="M38" s="17"/>
      <c r="N38" s="15" t="str">
        <f ca="1">IFERROR(__xludf.DUMMYFUNCTION("""COMPUTED_VALUE"""),"BBRC-OK")</f>
        <v>BBRC-OK</v>
      </c>
      <c r="O38" s="18" t="str">
        <f ca="1">IFERROR(__xludf.DUMMYFUNCTION("""COMPUTED_VALUE"""),"Sandbach Flashes, 6th to 12th September.")</f>
        <v>Sandbach Flashes, 6th to 12th September.</v>
      </c>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row>
    <row r="39" spans="1:80" ht="12.75" hidden="1" customHeight="1">
      <c r="A39" s="20">
        <f ca="1">IFERROR(__xludf.DUMMYFUNCTION("""COMPUTED_VALUE"""),1970)</f>
        <v>1970</v>
      </c>
      <c r="B39" s="45">
        <f ca="1">IFERROR(__xludf.DUMMYFUNCTION("""COMPUTED_VALUE"""),44568)</f>
        <v>44568</v>
      </c>
      <c r="C39" s="55"/>
      <c r="D39" s="47" t="str">
        <f ca="1">IFERROR(__xludf.DUMMYFUNCTION("""COMPUTED_VALUE"""),"Long-billed Dowitcher")</f>
        <v>Long-billed Dowitcher</v>
      </c>
      <c r="E39" s="52"/>
      <c r="F39" s="25"/>
      <c r="G39" s="48" t="str">
        <f ca="1">IFERROR(__xludf.DUMMYFUNCTION("""COMPUTED_VALUE"""),"Frodsham")</f>
        <v>Frodsham</v>
      </c>
      <c r="H39" s="22">
        <f ca="1">IFERROR(__xludf.DUMMYFUNCTION("""COMPUTED_VALUE"""),25830)</f>
        <v>25830</v>
      </c>
      <c r="I39" s="23"/>
      <c r="J39" s="24"/>
      <c r="K39" s="25"/>
      <c r="L39" s="27" t="str">
        <f ca="1">IFERROR(__xludf.DUMMYFUNCTION("""COMPUTED_VALUE"""),"closed")</f>
        <v>closed</v>
      </c>
      <c r="M39" s="27"/>
      <c r="N39" s="25" t="str">
        <f ca="1">IFERROR(__xludf.DUMMYFUNCTION("""COMPUTED_VALUE"""),"BBRC-OK")</f>
        <v>BBRC-OK</v>
      </c>
      <c r="O39" s="28" t="str">
        <f ca="1">IFERROR(__xludf.DUMMYFUNCTION("""COMPUTED_VALUE"""),"Frodsham, 19th September to 18th October")</f>
        <v>Frodsham, 19th September to 18th October</v>
      </c>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row>
    <row r="40" spans="1:80" ht="12.75" hidden="1" customHeight="1">
      <c r="A40" s="10">
        <f ca="1">IFERROR(__xludf.DUMMYFUNCTION("""COMPUTED_VALUE"""),1970)</f>
        <v>1970</v>
      </c>
      <c r="B40" s="50">
        <f ca="1">IFERROR(__xludf.DUMMYFUNCTION("""COMPUTED_VALUE"""),44568)</f>
        <v>44568</v>
      </c>
      <c r="C40" s="56"/>
      <c r="D40" s="42" t="str">
        <f ca="1">IFERROR(__xludf.DUMMYFUNCTION("""COMPUTED_VALUE"""),"Whiskered Tern")</f>
        <v>Whiskered Tern</v>
      </c>
      <c r="E40" s="53"/>
      <c r="F40" s="15"/>
      <c r="G40" s="44" t="str">
        <f ca="1">IFERROR(__xludf.DUMMYFUNCTION("""COMPUTED_VALUE"""),"Frodsham")</f>
        <v>Frodsham</v>
      </c>
      <c r="H40" s="12">
        <f ca="1">IFERROR(__xludf.DUMMYFUNCTION("""COMPUTED_VALUE"""),25747)</f>
        <v>25747</v>
      </c>
      <c r="I40" s="13"/>
      <c r="J40" s="14"/>
      <c r="K40" s="15"/>
      <c r="L40" s="17" t="str">
        <f ca="1">IFERROR(__xludf.DUMMYFUNCTION("""COMPUTED_VALUE"""),"closed")</f>
        <v>closed</v>
      </c>
      <c r="M40" s="17"/>
      <c r="N40" s="15" t="str">
        <f ca="1">IFERROR(__xludf.DUMMYFUNCTION("""COMPUTED_VALUE"""),"BBRC-OK")</f>
        <v>BBRC-OK</v>
      </c>
      <c r="O40" s="18" t="str">
        <f ca="1">IFERROR(__xludf.DUMMYFUNCTION("""COMPUTED_VALUE"""),"Frodsham, 28th June.")</f>
        <v>Frodsham, 28th June.</v>
      </c>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row>
    <row r="41" spans="1:80" ht="12.75" hidden="1" customHeight="1">
      <c r="A41" s="20">
        <f ca="1">IFERROR(__xludf.DUMMYFUNCTION("""COMPUTED_VALUE"""),1971)</f>
        <v>1971</v>
      </c>
      <c r="B41" s="45">
        <f ca="1">IFERROR(__xludf.DUMMYFUNCTION("""COMPUTED_VALUE"""),44568)</f>
        <v>44568</v>
      </c>
      <c r="C41" s="46"/>
      <c r="D41" s="47" t="str">
        <f ca="1">IFERROR(__xludf.DUMMYFUNCTION("""COMPUTED_VALUE"""),"Lesser Yellowlegs")</f>
        <v>Lesser Yellowlegs</v>
      </c>
      <c r="E41" s="52"/>
      <c r="F41" s="25"/>
      <c r="G41" s="48" t="str">
        <f ca="1">IFERROR(__xludf.DUMMYFUNCTION("""COMPUTED_VALUE"""),"Kingsley")</f>
        <v>Kingsley</v>
      </c>
      <c r="H41" s="22">
        <f ca="1">IFERROR(__xludf.DUMMYFUNCTION("""COMPUTED_VALUE"""),26195)</f>
        <v>26195</v>
      </c>
      <c r="I41" s="23"/>
      <c r="J41" s="24"/>
      <c r="K41" s="25"/>
      <c r="L41" s="27" t="str">
        <f ca="1">IFERROR(__xludf.DUMMYFUNCTION("""COMPUTED_VALUE"""),"closed")</f>
        <v>closed</v>
      </c>
      <c r="M41" s="27"/>
      <c r="N41" s="25" t="str">
        <f ca="1">IFERROR(__xludf.DUMMYFUNCTION("""COMPUTED_VALUE"""),"BBRC-OK")</f>
        <v>BBRC-OK</v>
      </c>
      <c r="O41" s="28" t="str">
        <f ca="1">IFERROR(__xludf.DUMMYFUNCTION("""COMPUTED_VALUE"""),"Kingsley, Cheshire, 19th September.")</f>
        <v>Kingsley, Cheshire, 19th September.</v>
      </c>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row>
    <row r="42" spans="1:80" ht="12.75" hidden="1" customHeight="1">
      <c r="A42" s="10">
        <f ca="1">IFERROR(__xludf.DUMMYFUNCTION("""COMPUTED_VALUE"""),1971)</f>
        <v>1971</v>
      </c>
      <c r="B42" s="50">
        <f ca="1">IFERROR(__xludf.DUMMYFUNCTION("""COMPUTED_VALUE"""),44568)</f>
        <v>44568</v>
      </c>
      <c r="C42" s="41"/>
      <c r="D42" s="42" t="str">
        <f ca="1">IFERROR(__xludf.DUMMYFUNCTION("""COMPUTED_VALUE"""),"Arctic Warbler")</f>
        <v>Arctic Warbler</v>
      </c>
      <c r="E42" s="53"/>
      <c r="F42" s="15"/>
      <c r="G42" s="44" t="str">
        <f ca="1">IFERROR(__xludf.DUMMYFUNCTION("""COMPUTED_VALUE"""),"Meols")</f>
        <v>Meols</v>
      </c>
      <c r="H42" s="12">
        <f ca="1">IFERROR(__xludf.DUMMYFUNCTION("""COMPUTED_VALUE"""),26209)</f>
        <v>26209</v>
      </c>
      <c r="I42" s="13"/>
      <c r="J42" s="14"/>
      <c r="K42" s="15"/>
      <c r="L42" s="17" t="str">
        <f ca="1">IFERROR(__xludf.DUMMYFUNCTION("""COMPUTED_VALUE"""),"closed")</f>
        <v>closed</v>
      </c>
      <c r="M42" s="17"/>
      <c r="N42" s="15" t="str">
        <f ca="1">IFERROR(__xludf.DUMMYFUNCTION("""COMPUTED_VALUE"""),"BBRC-OK")</f>
        <v>BBRC-OK</v>
      </c>
      <c r="O42" s="18" t="str">
        <f ca="1">IFERROR(__xludf.DUMMYFUNCTION("""COMPUTED_VALUE"""),"Meols, Wirral, first-winter, trapped, 3rd October.")</f>
        <v>Meols, Wirral, first-winter, trapped, 3rd October.</v>
      </c>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row>
    <row r="43" spans="1:80" ht="12.75" hidden="1" customHeight="1">
      <c r="A43" s="20">
        <f ca="1">IFERROR(__xludf.DUMMYFUNCTION("""COMPUTED_VALUE"""),1973)</f>
        <v>1973</v>
      </c>
      <c r="B43" s="45">
        <f ca="1">IFERROR(__xludf.DUMMYFUNCTION("""COMPUTED_VALUE"""),44568)</f>
        <v>44568</v>
      </c>
      <c r="C43" s="46"/>
      <c r="D43" s="47" t="str">
        <f ca="1">IFERROR(__xludf.DUMMYFUNCTION("""COMPUTED_VALUE"""),"Sharp-tailed Sandpiper")</f>
        <v>Sharp-tailed Sandpiper</v>
      </c>
      <c r="E43" s="52"/>
      <c r="F43" s="25"/>
      <c r="G43" s="48" t="str">
        <f ca="1">IFERROR(__xludf.DUMMYFUNCTION("""COMPUTED_VALUE"""),"Shotwich")</f>
        <v>Shotwich</v>
      </c>
      <c r="H43" s="22">
        <f ca="1">IFERROR(__xludf.DUMMYFUNCTION("""COMPUTED_VALUE"""),26951)</f>
        <v>26951</v>
      </c>
      <c r="I43" s="23"/>
      <c r="J43" s="24"/>
      <c r="K43" s="25"/>
      <c r="L43" s="27" t="str">
        <f ca="1">IFERROR(__xludf.DUMMYFUNCTION("""COMPUTED_VALUE"""),"closed")</f>
        <v>closed</v>
      </c>
      <c r="M43" s="27"/>
      <c r="N43" s="25" t="str">
        <f ca="1">IFERROR(__xludf.DUMMYFUNCTION("""COMPUTED_VALUE"""),"BBRC-OK")</f>
        <v>BBRC-OK</v>
      </c>
      <c r="O43" s="28" t="str">
        <f ca="1">IFERROR(__xludf.DUMMYFUNCTION("""COMPUTED_VALUE"""),"Shotwick Fields, juvenile, 14th to 25th October, flew into Cheshire briefly on 16th October, photo.")</f>
        <v>Shotwick Fields, juvenile, 14th to 25th October, flew into Cheshire briefly on 16th October, photo.</v>
      </c>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row>
    <row r="44" spans="1:80" ht="12.75" hidden="1" customHeight="1">
      <c r="A44" s="10">
        <f ca="1">IFERROR(__xludf.DUMMYFUNCTION("""COMPUTED_VALUE"""),1974)</f>
        <v>1974</v>
      </c>
      <c r="B44" s="50">
        <f ca="1">IFERROR(__xludf.DUMMYFUNCTION("""COMPUTED_VALUE"""),44568)</f>
        <v>44568</v>
      </c>
      <c r="C44" s="41"/>
      <c r="D44" s="42" t="str">
        <f ca="1">IFERROR(__xludf.DUMMYFUNCTION("""COMPUTED_VALUE"""),"Lesser Yellowlegs")</f>
        <v>Lesser Yellowlegs</v>
      </c>
      <c r="E44" s="53"/>
      <c r="F44" s="15"/>
      <c r="G44" s="44" t="str">
        <f ca="1">IFERROR(__xludf.DUMMYFUNCTION("""COMPUTED_VALUE"""),"Sandbach")</f>
        <v>Sandbach</v>
      </c>
      <c r="H44" s="12">
        <f ca="1">IFERROR(__xludf.DUMMYFUNCTION("""COMPUTED_VALUE"""),27268)</f>
        <v>27268</v>
      </c>
      <c r="I44" s="13"/>
      <c r="J44" s="14"/>
      <c r="K44" s="15"/>
      <c r="L44" s="17" t="str">
        <f ca="1">IFERROR(__xludf.DUMMYFUNCTION("""COMPUTED_VALUE"""),"closed")</f>
        <v>closed</v>
      </c>
      <c r="M44" s="17"/>
      <c r="N44" s="15" t="str">
        <f ca="1">IFERROR(__xludf.DUMMYFUNCTION("""COMPUTED_VALUE"""),"BBRC-OK")</f>
        <v>BBRC-OK</v>
      </c>
      <c r="O44" s="18" t="str">
        <f ca="1">IFERROR(__xludf.DUMMYFUNCTION("""COMPUTED_VALUE"""),"Sandbach Flashes, adult, 27th August to 18th September.")</f>
        <v>Sandbach Flashes, adult, 27th August to 18th September.</v>
      </c>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row>
    <row r="45" spans="1:80" ht="12.75" hidden="1" customHeight="1">
      <c r="A45" s="20">
        <f ca="1">IFERROR(__xludf.DUMMYFUNCTION("""COMPUTED_VALUE"""),1975)</f>
        <v>1975</v>
      </c>
      <c r="B45" s="45">
        <f ca="1">IFERROR(__xludf.DUMMYFUNCTION("""COMPUTED_VALUE"""),44568)</f>
        <v>44568</v>
      </c>
      <c r="C45" s="46"/>
      <c r="D45" s="47" t="str">
        <f ca="1">IFERROR(__xludf.DUMMYFUNCTION("""COMPUTED_VALUE"""),"Broad-billed Sandpiper")</f>
        <v>Broad-billed Sandpiper</v>
      </c>
      <c r="E45" s="52"/>
      <c r="F45" s="25"/>
      <c r="G45" s="48" t="str">
        <f ca="1">IFERROR(__xludf.DUMMYFUNCTION("""COMPUTED_VALUE"""),"Frodsham")</f>
        <v>Frodsham</v>
      </c>
      <c r="H45" s="22">
        <f ca="1">IFERROR(__xludf.DUMMYFUNCTION("""COMPUTED_VALUE"""),27531)</f>
        <v>27531</v>
      </c>
      <c r="I45" s="23"/>
      <c r="J45" s="24"/>
      <c r="K45" s="25"/>
      <c r="L45" s="27" t="str">
        <f ca="1">IFERROR(__xludf.DUMMYFUNCTION("""COMPUTED_VALUE"""),"closed")</f>
        <v>closed</v>
      </c>
      <c r="M45" s="27"/>
      <c r="N45" s="25" t="str">
        <f ca="1">IFERROR(__xludf.DUMMYFUNCTION("""COMPUTED_VALUE"""),"BBRC-OK")</f>
        <v>BBRC-OK</v>
      </c>
      <c r="O45" s="28" t="str">
        <f ca="1">IFERROR(__xludf.DUMMYFUNCTION("""COMPUTED_VALUE"""),"Frodsham, 17th May.")</f>
        <v>Frodsham, 17th May.</v>
      </c>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row>
    <row r="46" spans="1:80" ht="12.75" hidden="1" customHeight="1">
      <c r="A46" s="10">
        <f ca="1">IFERROR(__xludf.DUMMYFUNCTION("""COMPUTED_VALUE"""),1975)</f>
        <v>1975</v>
      </c>
      <c r="B46" s="50">
        <f ca="1">IFERROR(__xludf.DUMMYFUNCTION("""COMPUTED_VALUE"""),44568)</f>
        <v>44568</v>
      </c>
      <c r="C46" s="41"/>
      <c r="D46" s="42" t="str">
        <f ca="1">IFERROR(__xludf.DUMMYFUNCTION("""COMPUTED_VALUE"""),"Baird's Sandpiper")</f>
        <v>Baird's Sandpiper</v>
      </c>
      <c r="E46" s="53"/>
      <c r="F46" s="15"/>
      <c r="G46" s="44" t="str">
        <f ca="1">IFERROR(__xludf.DUMMYFUNCTION("""COMPUTED_VALUE"""),"Frodsham")</f>
        <v>Frodsham</v>
      </c>
      <c r="H46" s="12">
        <f ca="1">IFERROR(__xludf.DUMMYFUNCTION("""COMPUTED_VALUE"""),27648)</f>
        <v>27648</v>
      </c>
      <c r="I46" s="13"/>
      <c r="J46" s="14"/>
      <c r="K46" s="15"/>
      <c r="L46" s="17" t="str">
        <f ca="1">IFERROR(__xludf.DUMMYFUNCTION("""COMPUTED_VALUE"""),"closed")</f>
        <v>closed</v>
      </c>
      <c r="M46" s="17"/>
      <c r="N46" s="15" t="str">
        <f ca="1">IFERROR(__xludf.DUMMYFUNCTION("""COMPUTED_VALUE"""),"BBRC-OK")</f>
        <v>BBRC-OK</v>
      </c>
      <c r="O46" s="18" t="str">
        <f ca="1">IFERROR(__xludf.DUMMYFUNCTION("""COMPUTED_VALUE"""),"Weaver Bend, Frodsham, juvenile, 11th to 16th September.")</f>
        <v>Weaver Bend, Frodsham, juvenile, 11th to 16th September.</v>
      </c>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row>
    <row r="47" spans="1:80" ht="12.75" hidden="1" customHeight="1">
      <c r="A47" s="20">
        <f ca="1">IFERROR(__xludf.DUMMYFUNCTION("""COMPUTED_VALUE"""),1975)</f>
        <v>1975</v>
      </c>
      <c r="B47" s="45">
        <f ca="1">IFERROR(__xludf.DUMMYFUNCTION("""COMPUTED_VALUE"""),44568)</f>
        <v>44568</v>
      </c>
      <c r="C47" s="46"/>
      <c r="D47" s="47" t="str">
        <f ca="1">IFERROR(__xludf.DUMMYFUNCTION("""COMPUTED_VALUE"""),"Great Reed Warbler")</f>
        <v>Great Reed Warbler</v>
      </c>
      <c r="E47" s="52">
        <f ca="1">IFERROR(__xludf.DUMMYFUNCTION("""COMPUTED_VALUE"""),1)</f>
        <v>1</v>
      </c>
      <c r="F47" s="25"/>
      <c r="G47" s="48" t="str">
        <f ca="1">IFERROR(__xludf.DUMMYFUNCTION("""COMPUTED_VALUE"""),"Red Rocks, Hoylake")</f>
        <v>Red Rocks, Hoylake</v>
      </c>
      <c r="H47" s="22">
        <f ca="1">IFERROR(__xludf.DUMMYFUNCTION("""COMPUTED_VALUE"""),27531)</f>
        <v>27531</v>
      </c>
      <c r="I47" s="23"/>
      <c r="J47" s="24"/>
      <c r="K47" s="25"/>
      <c r="L47" s="27" t="str">
        <f ca="1">IFERROR(__xludf.DUMMYFUNCTION("""COMPUTED_VALUE"""),"closed")</f>
        <v>closed</v>
      </c>
      <c r="M47" s="27"/>
      <c r="N47" s="25" t="str">
        <f ca="1">IFERROR(__xludf.DUMMYFUNCTION("""COMPUTED_VALUE"""),"BBRC-OK")</f>
        <v>BBRC-OK</v>
      </c>
      <c r="O47" s="28" t="str">
        <f ca="1">IFERROR(__xludf.DUMMYFUNCTION("""COMPUTED_VALUE"""),"Red Rocks, Hoylake, Wirral, male, trapped, 17th to 19th May.")</f>
        <v>Red Rocks, Hoylake, Wirral, male, trapped, 17th to 19th May.</v>
      </c>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row>
    <row r="48" spans="1:80" ht="12.75" hidden="1" customHeight="1">
      <c r="A48" s="10">
        <f ca="1">IFERROR(__xludf.DUMMYFUNCTION("""COMPUTED_VALUE"""),1975)</f>
        <v>1975</v>
      </c>
      <c r="B48" s="50">
        <f ca="1">IFERROR(__xludf.DUMMYFUNCTION("""COMPUTED_VALUE"""),44568)</f>
        <v>44568</v>
      </c>
      <c r="C48" s="41"/>
      <c r="D48" s="42" t="str">
        <f ca="1">IFERROR(__xludf.DUMMYFUNCTION("""COMPUTED_VALUE"""),"Aquatic Warbler")</f>
        <v>Aquatic Warbler</v>
      </c>
      <c r="E48" s="53">
        <f ca="1">IFERROR(__xludf.DUMMYFUNCTION("""COMPUTED_VALUE"""),1)</f>
        <v>1</v>
      </c>
      <c r="F48" s="15" t="str">
        <f ca="1">IFERROR(__xludf.DUMMYFUNCTION("""COMPUTED_VALUE"""),"juv")</f>
        <v>juv</v>
      </c>
      <c r="G48" s="44" t="str">
        <f ca="1">IFERROR(__xludf.DUMMYFUNCTION("""COMPUTED_VALUE"""),"Frodsham")</f>
        <v>Frodsham</v>
      </c>
      <c r="H48" s="12">
        <f ca="1">IFERROR(__xludf.DUMMYFUNCTION("""COMPUTED_VALUE"""),27637)</f>
        <v>27637</v>
      </c>
      <c r="I48" s="12">
        <f ca="1">IFERROR(__xludf.DUMMYFUNCTION("""COMPUTED_VALUE"""),27649)</f>
        <v>27649</v>
      </c>
      <c r="J48" s="14"/>
      <c r="K48" s="15"/>
      <c r="L48" s="17" t="str">
        <f ca="1">IFERROR(__xludf.DUMMYFUNCTION("""COMPUTED_VALUE"""),"closed")</f>
        <v>closed</v>
      </c>
      <c r="M48" s="17"/>
      <c r="N48" s="15" t="str">
        <f ca="1">IFERROR(__xludf.DUMMYFUNCTION("""COMPUTED_VALUE"""),"BBRC-OK")</f>
        <v>BBRC-OK</v>
      </c>
      <c r="O48" s="18"/>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row>
    <row r="49" spans="1:80" ht="12.75" hidden="1" customHeight="1">
      <c r="A49" s="20">
        <f ca="1">IFERROR(__xludf.DUMMYFUNCTION("""COMPUTED_VALUE"""),1976)</f>
        <v>1976</v>
      </c>
      <c r="B49" s="45">
        <f ca="1">IFERROR(__xludf.DUMMYFUNCTION("""COMPUTED_VALUE"""),44568)</f>
        <v>44568</v>
      </c>
      <c r="C49" s="46"/>
      <c r="D49" s="47" t="str">
        <f ca="1">IFERROR(__xludf.DUMMYFUNCTION("""COMPUTED_VALUE"""),"Wilson's Phalarope")</f>
        <v>Wilson's Phalarope</v>
      </c>
      <c r="E49" s="52">
        <f ca="1">IFERROR(__xludf.DUMMYFUNCTION("""COMPUTED_VALUE"""),1)</f>
        <v>1</v>
      </c>
      <c r="F49" s="25"/>
      <c r="G49" s="48" t="str">
        <f ca="1">IFERROR(__xludf.DUMMYFUNCTION("""COMPUTED_VALUE"""),"Walton Res")</f>
        <v>Walton Res</v>
      </c>
      <c r="H49" s="22">
        <f ca="1">IFERROR(__xludf.DUMMYFUNCTION("""COMPUTED_VALUE"""),27905)</f>
        <v>27905</v>
      </c>
      <c r="I49" s="23"/>
      <c r="J49" s="24"/>
      <c r="K49" s="25"/>
      <c r="L49" s="27" t="str">
        <f ca="1">IFERROR(__xludf.DUMMYFUNCTION("""COMPUTED_VALUE"""),"closed")</f>
        <v>closed</v>
      </c>
      <c r="M49" s="27"/>
      <c r="N49" s="25" t="str">
        <f ca="1">IFERROR(__xludf.DUMMYFUNCTION("""COMPUTED_VALUE"""),"BBRC-OK")</f>
        <v>BBRC-OK</v>
      </c>
      <c r="O49" s="28" t="str">
        <f ca="1">IFERROR(__xludf.DUMMYFUNCTION("""COMPUTED_VALUE"""),"Walton Reservoir, 25th May.")</f>
        <v>Walton Reservoir, 25th May.</v>
      </c>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row>
    <row r="50" spans="1:80" ht="12.75" hidden="1" customHeight="1">
      <c r="A50" s="10">
        <f ca="1">IFERROR(__xludf.DUMMYFUNCTION("""COMPUTED_VALUE"""),1976)</f>
        <v>1976</v>
      </c>
      <c r="B50" s="50">
        <f ca="1">IFERROR(__xludf.DUMMYFUNCTION("""COMPUTED_VALUE"""),44568)</f>
        <v>44568</v>
      </c>
      <c r="C50" s="41"/>
      <c r="D50" s="42" t="str">
        <f ca="1">IFERROR(__xludf.DUMMYFUNCTION("""COMPUTED_VALUE"""),"Gull-billed Tern")</f>
        <v>Gull-billed Tern</v>
      </c>
      <c r="E50" s="53">
        <f ca="1">IFERROR(__xludf.DUMMYFUNCTION("""COMPUTED_VALUE"""),1)</f>
        <v>1</v>
      </c>
      <c r="F50" s="15" t="str">
        <f ca="1">IFERROR(__xludf.DUMMYFUNCTION("""COMPUTED_VALUE"""),"ad")</f>
        <v>ad</v>
      </c>
      <c r="G50" s="44" t="str">
        <f ca="1">IFERROR(__xludf.DUMMYFUNCTION("""COMPUTED_VALUE"""),"Red Rocks, Hoylake")</f>
        <v>Red Rocks, Hoylake</v>
      </c>
      <c r="H50" s="12">
        <f ca="1">IFERROR(__xludf.DUMMYFUNCTION("""COMPUTED_VALUE"""),27974)</f>
        <v>27974</v>
      </c>
      <c r="I50" s="13"/>
      <c r="J50" s="14"/>
      <c r="K50" s="15"/>
      <c r="L50" s="17" t="str">
        <f ca="1">IFERROR(__xludf.DUMMYFUNCTION("""COMPUTED_VALUE"""),"closed")</f>
        <v>closed</v>
      </c>
      <c r="M50" s="17"/>
      <c r="N50" s="15" t="str">
        <f ca="1">IFERROR(__xludf.DUMMYFUNCTION("""COMPUTED_VALUE"""),"BBRC-OK")</f>
        <v>BBRC-OK</v>
      </c>
      <c r="O50" s="18" t="str">
        <f ca="1">IFERROR(__xludf.DUMMYFUNCTION("""COMPUTED_VALUE"""),"Red Rocks, Hoylake, Wirral, adult, 2nd to 4th August.")</f>
        <v>Red Rocks, Hoylake, Wirral, adult, 2nd to 4th August.</v>
      </c>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row>
    <row r="51" spans="1:80" ht="12.75" hidden="1" customHeight="1">
      <c r="A51" s="20">
        <f ca="1">IFERROR(__xludf.DUMMYFUNCTION("""COMPUTED_VALUE"""),1976)</f>
        <v>1976</v>
      </c>
      <c r="B51" s="45">
        <f ca="1">IFERROR(__xludf.DUMMYFUNCTION("""COMPUTED_VALUE"""),44568)</f>
        <v>44568</v>
      </c>
      <c r="C51" s="46"/>
      <c r="D51" s="47" t="str">
        <f ca="1">IFERROR(__xludf.DUMMYFUNCTION("""COMPUTED_VALUE"""),"Aquatic Warbler")</f>
        <v>Aquatic Warbler</v>
      </c>
      <c r="E51" s="52">
        <f ca="1">IFERROR(__xludf.DUMMYFUNCTION("""COMPUTED_VALUE"""),1)</f>
        <v>1</v>
      </c>
      <c r="F51" s="25" t="str">
        <f ca="1">IFERROR(__xludf.DUMMYFUNCTION("""COMPUTED_VALUE"""),"juv")</f>
        <v>juv</v>
      </c>
      <c r="G51" s="48" t="str">
        <f ca="1">IFERROR(__xludf.DUMMYFUNCTION("""COMPUTED_VALUE"""),"Red Rocks, Hoylake")</f>
        <v>Red Rocks, Hoylake</v>
      </c>
      <c r="H51" s="22">
        <f ca="1">IFERROR(__xludf.DUMMYFUNCTION("""COMPUTED_VALUE"""),28000)</f>
        <v>28000</v>
      </c>
      <c r="I51" s="22">
        <f ca="1">IFERROR(__xludf.DUMMYFUNCTION("""COMPUTED_VALUE"""),28007)</f>
        <v>28007</v>
      </c>
      <c r="J51" s="24"/>
      <c r="K51" s="25"/>
      <c r="L51" s="27" t="str">
        <f ca="1">IFERROR(__xludf.DUMMYFUNCTION("""COMPUTED_VALUE"""),"closed")</f>
        <v>closed</v>
      </c>
      <c r="M51" s="27"/>
      <c r="N51" s="25" t="str">
        <f ca="1">IFERROR(__xludf.DUMMYFUNCTION("""COMPUTED_VALUE"""),"BBRC-OK")</f>
        <v>BBRC-OK</v>
      </c>
      <c r="O51" s="28"/>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row>
    <row r="52" spans="1:80" ht="12.75" hidden="1" customHeight="1">
      <c r="A52" s="10">
        <f ca="1">IFERROR(__xludf.DUMMYFUNCTION("""COMPUTED_VALUE"""),1976)</f>
        <v>1976</v>
      </c>
      <c r="B52" s="50">
        <f ca="1">IFERROR(__xludf.DUMMYFUNCTION("""COMPUTED_VALUE"""),44568)</f>
        <v>44568</v>
      </c>
      <c r="C52" s="41"/>
      <c r="D52" s="42" t="str">
        <f ca="1">IFERROR(__xludf.DUMMYFUNCTION("""COMPUTED_VALUE"""),"Tawny Pipit")</f>
        <v>Tawny Pipit</v>
      </c>
      <c r="E52" s="53">
        <f ca="1">IFERROR(__xludf.DUMMYFUNCTION("""COMPUTED_VALUE"""),1)</f>
        <v>1</v>
      </c>
      <c r="F52" s="15"/>
      <c r="G52" s="44" t="str">
        <f ca="1">IFERROR(__xludf.DUMMYFUNCTION("""COMPUTED_VALUE"""),"Red Rocks, Hoylake")</f>
        <v>Red Rocks, Hoylake</v>
      </c>
      <c r="H52" s="12">
        <f ca="1">IFERROR(__xludf.DUMMYFUNCTION("""COMPUTED_VALUE"""),28050)</f>
        <v>28050</v>
      </c>
      <c r="I52" s="12"/>
      <c r="J52" s="14"/>
      <c r="K52" s="15"/>
      <c r="L52" s="17" t="str">
        <f ca="1">IFERROR(__xludf.DUMMYFUNCTION("""COMPUTED_VALUE"""),"closed")</f>
        <v>closed</v>
      </c>
      <c r="M52" s="17"/>
      <c r="N52" s="15" t="str">
        <f ca="1">IFERROR(__xludf.DUMMYFUNCTION("""COMPUTED_VALUE"""),"BBRC-OK")</f>
        <v>BBRC-OK</v>
      </c>
      <c r="O52" s="18"/>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row>
    <row r="53" spans="1:80" ht="12.75" hidden="1" customHeight="1">
      <c r="A53" s="20">
        <f ca="1">IFERROR(__xludf.DUMMYFUNCTION("""COMPUTED_VALUE"""),1976)</f>
        <v>1976</v>
      </c>
      <c r="B53" s="45">
        <f ca="1">IFERROR(__xludf.DUMMYFUNCTION("""COMPUTED_VALUE"""),44568)</f>
        <v>44568</v>
      </c>
      <c r="C53" s="46"/>
      <c r="D53" s="47" t="str">
        <f ca="1">IFERROR(__xludf.DUMMYFUNCTION("""COMPUTED_VALUE"""),"Whiskered Tern")</f>
        <v>Whiskered Tern</v>
      </c>
      <c r="E53" s="52"/>
      <c r="F53" s="25"/>
      <c r="G53" s="48" t="str">
        <f ca="1">IFERROR(__xludf.DUMMYFUNCTION("""COMPUTED_VALUE"""),"Shotton")</f>
        <v>Shotton</v>
      </c>
      <c r="H53" s="22">
        <f ca="1">IFERROR(__xludf.DUMMYFUNCTION("""COMPUTED_VALUE"""),27946)</f>
        <v>27946</v>
      </c>
      <c r="I53" s="23"/>
      <c r="J53" s="24"/>
      <c r="K53" s="25"/>
      <c r="L53" s="27" t="str">
        <f ca="1">IFERROR(__xludf.DUMMYFUNCTION("""COMPUTED_VALUE"""),"closed")</f>
        <v>closed</v>
      </c>
      <c r="M53" s="27"/>
      <c r="N53" s="25" t="str">
        <f ca="1">IFERROR(__xludf.DUMMYFUNCTION("""COMPUTED_VALUE"""),"BBRC-OK")</f>
        <v>BBRC-OK</v>
      </c>
      <c r="O53" s="28" t="str">
        <f ca="1">IFERROR(__xludf.DUMMYFUNCTION("""COMPUTED_VALUE"""),"Shotton, adult, 5th July.")</f>
        <v>Shotton, adult, 5th July.</v>
      </c>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row>
    <row r="54" spans="1:80" ht="12.75" hidden="1" customHeight="1">
      <c r="A54" s="10">
        <f ca="1">IFERROR(__xludf.DUMMYFUNCTION("""COMPUTED_VALUE"""),1977)</f>
        <v>1977</v>
      </c>
      <c r="B54" s="50">
        <f ca="1">IFERROR(__xludf.DUMMYFUNCTION("""COMPUTED_VALUE"""),44590)</f>
        <v>44590</v>
      </c>
      <c r="C54" s="41"/>
      <c r="D54" s="42" t="str">
        <f ca="1">IFERROR(__xludf.DUMMYFUNCTION("""COMPUTED_VALUE"""),"Macaronesian Shearwater")</f>
        <v>Macaronesian Shearwater</v>
      </c>
      <c r="E54" s="53"/>
      <c r="F54" s="15"/>
      <c r="G54" s="44" t="str">
        <f ca="1">IFERROR(__xludf.DUMMYFUNCTION("""COMPUTED_VALUE"""),"Rostherne")</f>
        <v>Rostherne</v>
      </c>
      <c r="H54" s="12">
        <f ca="1">IFERROR(__xludf.DUMMYFUNCTION("""COMPUTED_VALUE"""),28305)</f>
        <v>28305</v>
      </c>
      <c r="I54" s="13"/>
      <c r="J54" s="14"/>
      <c r="K54" s="15"/>
      <c r="L54" s="17" t="str">
        <f ca="1">IFERROR(__xludf.DUMMYFUNCTION("""COMPUTED_VALUE"""),"closed")</f>
        <v>closed</v>
      </c>
      <c r="M54" s="17"/>
      <c r="N54" s="15" t="str">
        <f ca="1">IFERROR(__xludf.DUMMYFUNCTION("""COMPUTED_VALUE"""),"BBRC-OK")</f>
        <v>BBRC-OK</v>
      </c>
      <c r="O54" s="18" t="str">
        <f ca="1">IFERROR(__xludf.DUMMYFUNCTION("""COMPUTED_VALUE"""),"Rostherne Mere, sick, 29th June, caught 2nd July, died 3rd July, &lt;I&gt;P. a. baroli&lt;/I&gt;, now at Manchester Museum.")</f>
        <v>Rostherne Mere, sick, 29th June, caught 2nd July, died 3rd July, &lt;I&gt;P. a. baroli&lt;/I&gt;, now at Manchester Museum.</v>
      </c>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row>
    <row r="55" spans="1:80" ht="12.75" hidden="1" customHeight="1">
      <c r="A55" s="20">
        <f ca="1">IFERROR(__xludf.DUMMYFUNCTION("""COMPUTED_VALUE"""),1978)</f>
        <v>1978</v>
      </c>
      <c r="B55" s="45">
        <f ca="1">IFERROR(__xludf.DUMMYFUNCTION("""COMPUTED_VALUE"""),44568)</f>
        <v>44568</v>
      </c>
      <c r="C55" s="46"/>
      <c r="D55" s="47" t="str">
        <f ca="1">IFERROR(__xludf.DUMMYFUNCTION("""COMPUTED_VALUE"""),"Wilson's Phalarope")</f>
        <v>Wilson's Phalarope</v>
      </c>
      <c r="E55" s="52">
        <f ca="1">IFERROR(__xludf.DUMMYFUNCTION("""COMPUTED_VALUE"""),1)</f>
        <v>1</v>
      </c>
      <c r="F55" s="25"/>
      <c r="G55" s="48" t="str">
        <f ca="1">IFERROR(__xludf.DUMMYFUNCTION("""COMPUTED_VALUE"""),"Burton Marsh")</f>
        <v>Burton Marsh</v>
      </c>
      <c r="H55" s="22">
        <f ca="1">IFERROR(__xludf.DUMMYFUNCTION("""COMPUTED_VALUE"""),28717)</f>
        <v>28717</v>
      </c>
      <c r="I55" s="23"/>
      <c r="J55" s="24"/>
      <c r="K55" s="25"/>
      <c r="L55" s="27" t="str">
        <f ca="1">IFERROR(__xludf.DUMMYFUNCTION("""COMPUTED_VALUE"""),"closed")</f>
        <v>closed</v>
      </c>
      <c r="M55" s="27"/>
      <c r="N55" s="25" t="str">
        <f ca="1">IFERROR(__xludf.DUMMYFUNCTION("""COMPUTED_VALUE"""),"BBRC-OK")</f>
        <v>BBRC-OK</v>
      </c>
      <c r="O55" s="28" t="str">
        <f ca="1">IFERROR(__xludf.DUMMYFUNCTION("""COMPUTED_VALUE"""),"Burton Marsh, Denhall, 15th to 19th August.")</f>
        <v>Burton Marsh, Denhall, 15th to 19th August.</v>
      </c>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row>
    <row r="56" spans="1:80" ht="12.75" hidden="1" customHeight="1">
      <c r="A56" s="10">
        <f ca="1">IFERROR(__xludf.DUMMYFUNCTION("""COMPUTED_VALUE"""),1978)</f>
        <v>1978</v>
      </c>
      <c r="B56" s="50">
        <f ca="1">IFERROR(__xludf.DUMMYFUNCTION("""COMPUTED_VALUE"""),44568)</f>
        <v>44568</v>
      </c>
      <c r="C56" s="41"/>
      <c r="D56" s="42" t="str">
        <f ca="1">IFERROR(__xludf.DUMMYFUNCTION("""COMPUTED_VALUE"""),"Great Spotted Cuckoo")</f>
        <v>Great Spotted Cuckoo</v>
      </c>
      <c r="E56" s="53">
        <f ca="1">IFERROR(__xludf.DUMMYFUNCTION("""COMPUTED_VALUE"""),1)</f>
        <v>1</v>
      </c>
      <c r="F56" s="15" t="str">
        <f ca="1">IFERROR(__xludf.DUMMYFUNCTION("""COMPUTED_VALUE"""),"1cy")</f>
        <v>1cy</v>
      </c>
      <c r="G56" s="44" t="str">
        <f ca="1">IFERROR(__xludf.DUMMYFUNCTION("""COMPUTED_VALUE"""),"Red Rocks, Hoylake")</f>
        <v>Red Rocks, Hoylake</v>
      </c>
      <c r="H56" s="12">
        <f ca="1">IFERROR(__xludf.DUMMYFUNCTION("""COMPUTED_VALUE"""),28756)</f>
        <v>28756</v>
      </c>
      <c r="I56" s="13"/>
      <c r="J56" s="14"/>
      <c r="K56" s="15"/>
      <c r="L56" s="17" t="str">
        <f ca="1">IFERROR(__xludf.DUMMYFUNCTION("""COMPUTED_VALUE"""),"closed")</f>
        <v>closed</v>
      </c>
      <c r="M56" s="17"/>
      <c r="N56" s="15" t="str">
        <f ca="1">IFERROR(__xludf.DUMMYFUNCTION("""COMPUTED_VALUE"""),"BBRC-OK")</f>
        <v>BBRC-OK</v>
      </c>
      <c r="O56" s="18" t="str">
        <f ca="1">IFERROR(__xludf.DUMMYFUNCTION("""COMPUTED_VALUE"""),"Red Rocks, Hoylake, Wirral, juvenile or first-year, 23rd September.")</f>
        <v>Red Rocks, Hoylake, Wirral, juvenile or first-year, 23rd September.</v>
      </c>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row>
    <row r="57" spans="1:80" ht="12.75" hidden="1" customHeight="1">
      <c r="A57" s="20">
        <f ca="1">IFERROR(__xludf.DUMMYFUNCTION("""COMPUTED_VALUE"""),1978)</f>
        <v>1978</v>
      </c>
      <c r="B57" s="45">
        <f ca="1">IFERROR(__xludf.DUMMYFUNCTION("""COMPUTED_VALUE"""),44568)</f>
        <v>44568</v>
      </c>
      <c r="C57" s="46"/>
      <c r="D57" s="47" t="str">
        <f ca="1">IFERROR(__xludf.DUMMYFUNCTION("""COMPUTED_VALUE"""),"Collared Pratincole")</f>
        <v>Collared Pratincole</v>
      </c>
      <c r="E57" s="52">
        <f ca="1">IFERROR(__xludf.DUMMYFUNCTION("""COMPUTED_VALUE"""),1)</f>
        <v>1</v>
      </c>
      <c r="F57" s="25"/>
      <c r="G57" s="48" t="str">
        <f ca="1">IFERROR(__xludf.DUMMYFUNCTION("""COMPUTED_VALUE"""),"Red Rocks, Hoylake")</f>
        <v>Red Rocks, Hoylake</v>
      </c>
      <c r="H57" s="22">
        <f ca="1">IFERROR(__xludf.DUMMYFUNCTION("""COMPUTED_VALUE"""),28631)</f>
        <v>28631</v>
      </c>
      <c r="I57" s="23"/>
      <c r="J57" s="24"/>
      <c r="K57" s="25"/>
      <c r="L57" s="27" t="str">
        <f ca="1">IFERROR(__xludf.DUMMYFUNCTION("""COMPUTED_VALUE"""),"closed")</f>
        <v>closed</v>
      </c>
      <c r="M57" s="27"/>
      <c r="N57" s="25" t="str">
        <f ca="1">IFERROR(__xludf.DUMMYFUNCTION("""COMPUTED_VALUE"""),"BBRC-OK")</f>
        <v>BBRC-OK</v>
      </c>
      <c r="O57" s="28" t="str">
        <f ca="1">IFERROR(__xludf.DUMMYFUNCTION("""COMPUTED_VALUE"""),"Near West Kirby, Wirral, adult, 21st May.")</f>
        <v>Near West Kirby, Wirral, adult, 21st May.</v>
      </c>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row>
    <row r="58" spans="1:80" ht="12.75" hidden="1" customHeight="1">
      <c r="A58" s="10">
        <f ca="1">IFERROR(__xludf.DUMMYFUNCTION("""COMPUTED_VALUE"""),1978)</f>
        <v>1978</v>
      </c>
      <c r="B58" s="50">
        <f ca="1">IFERROR(__xludf.DUMMYFUNCTION("""COMPUTED_VALUE"""),44568)</f>
        <v>44568</v>
      </c>
      <c r="C58" s="41"/>
      <c r="D58" s="42" t="str">
        <f ca="1">IFERROR(__xludf.DUMMYFUNCTION("""COMPUTED_VALUE"""),"Laughing Gull")</f>
        <v>Laughing Gull</v>
      </c>
      <c r="E58" s="53">
        <f ca="1">IFERROR(__xludf.DUMMYFUNCTION("""COMPUTED_VALUE"""),1)</f>
        <v>1</v>
      </c>
      <c r="F58" s="15" t="str">
        <f ca="1">IFERROR(__xludf.DUMMYFUNCTION("""COMPUTED_VALUE"""),"1st S")</f>
        <v>1st S</v>
      </c>
      <c r="G58" s="44" t="str">
        <f ca="1">IFERROR(__xludf.DUMMYFUNCTION("""COMPUTED_VALUE"""),"Hilbre")</f>
        <v>Hilbre</v>
      </c>
      <c r="H58" s="12">
        <f ca="1">IFERROR(__xludf.DUMMYFUNCTION("""COMPUTED_VALUE"""),28626)</f>
        <v>28626</v>
      </c>
      <c r="I58" s="13"/>
      <c r="J58" s="14"/>
      <c r="K58" s="15"/>
      <c r="L58" s="17" t="str">
        <f ca="1">IFERROR(__xludf.DUMMYFUNCTION("""COMPUTED_VALUE"""),"closed")</f>
        <v>closed</v>
      </c>
      <c r="M58" s="17"/>
      <c r="N58" s="15" t="str">
        <f ca="1">IFERROR(__xludf.DUMMYFUNCTION("""COMPUTED_VALUE"""),"BBRC-OK")</f>
        <v>BBRC-OK</v>
      </c>
      <c r="O58" s="18" t="str">
        <f ca="1">IFERROR(__xludf.DUMMYFUNCTION("""COMPUTED_VALUE"""),"Hilbre Island, first-summer, 16th May.")</f>
        <v>Hilbre Island, first-summer, 16th May.</v>
      </c>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row>
    <row r="59" spans="1:80" ht="12.75" hidden="1" customHeight="1">
      <c r="A59" s="20">
        <f ca="1">IFERROR(__xludf.DUMMYFUNCTION("""COMPUTED_VALUE"""),1978)</f>
        <v>1978</v>
      </c>
      <c r="B59" s="45">
        <f ca="1">IFERROR(__xludf.DUMMYFUNCTION("""COMPUTED_VALUE"""),44568)</f>
        <v>44568</v>
      </c>
      <c r="C59" s="46"/>
      <c r="D59" s="47" t="str">
        <f ca="1">IFERROR(__xludf.DUMMYFUNCTION("""COMPUTED_VALUE"""),"Aquatic Warbler")</f>
        <v>Aquatic Warbler</v>
      </c>
      <c r="E59" s="52">
        <f ca="1">IFERROR(__xludf.DUMMYFUNCTION("""COMPUTED_VALUE"""),1)</f>
        <v>1</v>
      </c>
      <c r="F59" s="25" t="str">
        <f ca="1">IFERROR(__xludf.DUMMYFUNCTION("""COMPUTED_VALUE"""),"juv")</f>
        <v>juv</v>
      </c>
      <c r="G59" s="48" t="str">
        <f ca="1">IFERROR(__xludf.DUMMYFUNCTION("""COMPUTED_VALUE"""),"Frodsham")</f>
        <v>Frodsham</v>
      </c>
      <c r="H59" s="22">
        <f ca="1">IFERROR(__xludf.DUMMYFUNCTION("""COMPUTED_VALUE"""),28722)</f>
        <v>28722</v>
      </c>
      <c r="I59" s="23"/>
      <c r="J59" s="24"/>
      <c r="K59" s="25"/>
      <c r="L59" s="27" t="str">
        <f ca="1">IFERROR(__xludf.DUMMYFUNCTION("""COMPUTED_VALUE"""),"closed")</f>
        <v>closed</v>
      </c>
      <c r="M59" s="27"/>
      <c r="N59" s="25" t="str">
        <f ca="1">IFERROR(__xludf.DUMMYFUNCTION("""COMPUTED_VALUE"""),"BBRC-OK")</f>
        <v>BBRC-OK</v>
      </c>
      <c r="O59" s="28"/>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row>
    <row r="60" spans="1:80" ht="12.75" hidden="1" customHeight="1">
      <c r="A60" s="10">
        <f ca="1">IFERROR(__xludf.DUMMYFUNCTION("""COMPUTED_VALUE"""),1978)</f>
        <v>1978</v>
      </c>
      <c r="B60" s="50">
        <f ca="1">IFERROR(__xludf.DUMMYFUNCTION("""COMPUTED_VALUE"""),44568)</f>
        <v>44568</v>
      </c>
      <c r="C60" s="41"/>
      <c r="D60" s="42" t="str">
        <f ca="1">IFERROR(__xludf.DUMMYFUNCTION("""COMPUTED_VALUE"""),"Savi's Warbler")</f>
        <v>Savi's Warbler</v>
      </c>
      <c r="E60" s="53">
        <f ca="1">IFERROR(__xludf.DUMMYFUNCTION("""COMPUTED_VALUE"""),1)</f>
        <v>1</v>
      </c>
      <c r="F60" s="15"/>
      <c r="G60" s="44" t="str">
        <f ca="1">IFERROR(__xludf.DUMMYFUNCTION("""COMPUTED_VALUE"""),"Frodsham")</f>
        <v>Frodsham</v>
      </c>
      <c r="H60" s="12">
        <f ca="1">IFERROR(__xludf.DUMMYFUNCTION("""COMPUTED_VALUE"""),28619)</f>
        <v>28619</v>
      </c>
      <c r="I60" s="12"/>
      <c r="J60" s="14"/>
      <c r="K60" s="15"/>
      <c r="L60" s="17" t="str">
        <f ca="1">IFERROR(__xludf.DUMMYFUNCTION("""COMPUTED_VALUE"""),"closed")</f>
        <v>closed</v>
      </c>
      <c r="M60" s="17"/>
      <c r="N60" s="15" t="str">
        <f ca="1">IFERROR(__xludf.DUMMYFUNCTION("""COMPUTED_VALUE"""),"BBRC-OK")</f>
        <v>BBRC-OK</v>
      </c>
      <c r="O60" s="18" t="str">
        <f ca="1">IFERROR(__xludf.DUMMYFUNCTION("""COMPUTED_VALUE"""),"Frodsham, male, 9th to 10th May.")</f>
        <v>Frodsham, male, 9th to 10th May.</v>
      </c>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row>
    <row r="61" spans="1:80" ht="12.75" hidden="1" customHeight="1">
      <c r="A61" s="20">
        <f ca="1">IFERROR(__xludf.DUMMYFUNCTION("""COMPUTED_VALUE"""),1979)</f>
        <v>1979</v>
      </c>
      <c r="B61" s="45">
        <f ca="1">IFERROR(__xludf.DUMMYFUNCTION("""COMPUTED_VALUE"""),44568)</f>
        <v>44568</v>
      </c>
      <c r="C61" s="46"/>
      <c r="D61" s="47" t="str">
        <f ca="1">IFERROR(__xludf.DUMMYFUNCTION("""COMPUTED_VALUE"""),"Long-billed Dowitcher")</f>
        <v>Long-billed Dowitcher</v>
      </c>
      <c r="E61" s="52"/>
      <c r="F61" s="25"/>
      <c r="G61" s="48" t="str">
        <f ca="1">IFERROR(__xludf.DUMMYFUNCTION("""COMPUTED_VALUE"""),"Frodsham")</f>
        <v>Frodsham</v>
      </c>
      <c r="H61" s="22">
        <f ca="1">IFERROR(__xludf.DUMMYFUNCTION("""COMPUTED_VALUE"""),29127)</f>
        <v>29127</v>
      </c>
      <c r="I61" s="23"/>
      <c r="J61" s="24"/>
      <c r="K61" s="25"/>
      <c r="L61" s="27" t="str">
        <f ca="1">IFERROR(__xludf.DUMMYFUNCTION("""COMPUTED_VALUE"""),"closed")</f>
        <v>closed</v>
      </c>
      <c r="M61" s="27"/>
      <c r="N61" s="25" t="str">
        <f ca="1">IFERROR(__xludf.DUMMYFUNCTION("""COMPUTED_VALUE"""),"BBRC-OK")</f>
        <v>BBRC-OK</v>
      </c>
      <c r="O61" s="28" t="str">
        <f ca="1">IFERROR(__xludf.DUMMYFUNCTION("""COMPUTED_VALUE"""),"Weaver Bend, Frodsham, 29th September to at least 5th October; probably same, Burton Marsh, 14th to at least 26th October, photo.")</f>
        <v>Weaver Bend, Frodsham, 29th September to at least 5th October; probably same, Burton Marsh, 14th to at least 26th October, photo.</v>
      </c>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row>
    <row r="62" spans="1:80" ht="12.75" hidden="1" customHeight="1">
      <c r="A62" s="10">
        <f ca="1">IFERROR(__xludf.DUMMYFUNCTION("""COMPUTED_VALUE"""),1979)</f>
        <v>1979</v>
      </c>
      <c r="B62" s="50">
        <f ca="1">IFERROR(__xludf.DUMMYFUNCTION("""COMPUTED_VALUE"""),44568)</f>
        <v>44568</v>
      </c>
      <c r="C62" s="41"/>
      <c r="D62" s="42" t="str">
        <f ca="1">IFERROR(__xludf.DUMMYFUNCTION("""COMPUTED_VALUE"""),"Bonaparte's Gull")</f>
        <v>Bonaparte's Gull</v>
      </c>
      <c r="E62" s="53">
        <f ca="1">IFERROR(__xludf.DUMMYFUNCTION("""COMPUTED_VALUE"""),1)</f>
        <v>1</v>
      </c>
      <c r="F62" s="15" t="str">
        <f ca="1">IFERROR(__xludf.DUMMYFUNCTION("""COMPUTED_VALUE"""),"1stS")</f>
        <v>1stS</v>
      </c>
      <c r="G62" s="44" t="str">
        <f ca="1">IFERROR(__xludf.DUMMYFUNCTION("""COMPUTED_VALUE"""),"Seacombe")</f>
        <v>Seacombe</v>
      </c>
      <c r="H62" s="12">
        <f ca="1">IFERROR(__xludf.DUMMYFUNCTION("""COMPUTED_VALUE"""),29088)</f>
        <v>29088</v>
      </c>
      <c r="I62" s="13"/>
      <c r="J62" s="14"/>
      <c r="K62" s="15"/>
      <c r="L62" s="17" t="str">
        <f ca="1">IFERROR(__xludf.DUMMYFUNCTION("""COMPUTED_VALUE"""),"closed")</f>
        <v>closed</v>
      </c>
      <c r="M62" s="17"/>
      <c r="N62" s="15" t="str">
        <f ca="1">IFERROR(__xludf.DUMMYFUNCTION("""COMPUTED_VALUE"""),"BBRC-OK")</f>
        <v>BBRC-OK</v>
      </c>
      <c r="O62" s="18" t="str">
        <f ca="1">IFERROR(__xludf.DUMMYFUNCTION("""COMPUTED_VALUE"""),"Seacombe Ferry, first-summer to second-winter, 21st August.")</f>
        <v>Seacombe Ferry, first-summer to second-winter, 21st August.</v>
      </c>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row>
    <row r="63" spans="1:80" ht="12.75" hidden="1" customHeight="1">
      <c r="A63" s="20">
        <f ca="1">IFERROR(__xludf.DUMMYFUNCTION("""COMPUTED_VALUE"""),1979)</f>
        <v>1979</v>
      </c>
      <c r="B63" s="45">
        <f ca="1">IFERROR(__xludf.DUMMYFUNCTION("""COMPUTED_VALUE"""),44568)</f>
        <v>44568</v>
      </c>
      <c r="C63" s="46"/>
      <c r="D63" s="47" t="str">
        <f ca="1">IFERROR(__xludf.DUMMYFUNCTION("""COMPUTED_VALUE"""),"Asian Desert Warbler")</f>
        <v>Asian Desert Warbler</v>
      </c>
      <c r="E63" s="52"/>
      <c r="F63" s="25"/>
      <c r="G63" s="48" t="str">
        <f ca="1">IFERROR(__xludf.DUMMYFUNCTION("""COMPUTED_VALUE"""),"Meols")</f>
        <v>Meols</v>
      </c>
      <c r="H63" s="22">
        <f ca="1">IFERROR(__xludf.DUMMYFUNCTION("""COMPUTED_VALUE"""),29150)</f>
        <v>29150</v>
      </c>
      <c r="I63" s="23"/>
      <c r="J63" s="24"/>
      <c r="K63" s="25"/>
      <c r="L63" s="27" t="str">
        <f ca="1">IFERROR(__xludf.DUMMYFUNCTION("""COMPUTED_VALUE"""),"closed")</f>
        <v>closed</v>
      </c>
      <c r="M63" s="27"/>
      <c r="N63" s="25" t="str">
        <f ca="1">IFERROR(__xludf.DUMMYFUNCTION("""COMPUTED_VALUE"""),"BBRC-OK")</f>
        <v>BBRC-OK</v>
      </c>
      <c r="O63" s="28" t="str">
        <f ca="1">IFERROR(__xludf.DUMMYFUNCTION("""COMPUTED_VALUE"""),"Meols, Wirral, 28th October to 22nd November, photo.")</f>
        <v>Meols, Wirral, 28th October to 22nd November, photo.</v>
      </c>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row>
    <row r="64" spans="1:80" ht="12.75" hidden="1" customHeight="1">
      <c r="A64" s="10">
        <f ca="1">IFERROR(__xludf.DUMMYFUNCTION("""COMPUTED_VALUE"""),1980)</f>
        <v>1980</v>
      </c>
      <c r="B64" s="50">
        <f ca="1">IFERROR(__xludf.DUMMYFUNCTION("""COMPUTED_VALUE"""),44568)</f>
        <v>44568</v>
      </c>
      <c r="C64" s="41"/>
      <c r="D64" s="42" t="str">
        <f ca="1">IFERROR(__xludf.DUMMYFUNCTION("""COMPUTED_VALUE"""),"Wilson's Phalarope")</f>
        <v>Wilson's Phalarope</v>
      </c>
      <c r="E64" s="53">
        <f ca="1">IFERROR(__xludf.DUMMYFUNCTION("""COMPUTED_VALUE"""),1)</f>
        <v>1</v>
      </c>
      <c r="F64" s="15"/>
      <c r="G64" s="44" t="str">
        <f ca="1">IFERROR(__xludf.DUMMYFUNCTION("""COMPUTED_VALUE"""),"Northwich")</f>
        <v>Northwich</v>
      </c>
      <c r="H64" s="12">
        <f ca="1">IFERROR(__xludf.DUMMYFUNCTION("""COMPUTED_VALUE"""),29491)</f>
        <v>29491</v>
      </c>
      <c r="I64" s="13"/>
      <c r="J64" s="14"/>
      <c r="K64" s="15"/>
      <c r="L64" s="17" t="str">
        <f ca="1">IFERROR(__xludf.DUMMYFUNCTION("""COMPUTED_VALUE"""),"closed")</f>
        <v>closed</v>
      </c>
      <c r="M64" s="17"/>
      <c r="N64" s="15" t="str">
        <f ca="1">IFERROR(__xludf.DUMMYFUNCTION("""COMPUTED_VALUE"""),"BBRC-OK")</f>
        <v>BBRC-OK</v>
      </c>
      <c r="O64" s="18" t="str">
        <f ca="1">IFERROR(__xludf.DUMMYFUNCTION("""COMPUTED_VALUE"""),"Northwich, juvenile to first-winter, 27th September to 4th October.")</f>
        <v>Northwich, juvenile to first-winter, 27th September to 4th October.</v>
      </c>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row>
    <row r="65" spans="1:80" ht="12.75" hidden="1" customHeight="1">
      <c r="A65" s="20">
        <f ca="1">IFERROR(__xludf.DUMMYFUNCTION("""COMPUTED_VALUE"""),1980)</f>
        <v>1980</v>
      </c>
      <c r="B65" s="45">
        <f ca="1">IFERROR(__xludf.DUMMYFUNCTION("""COMPUTED_VALUE"""),44568)</f>
        <v>44568</v>
      </c>
      <c r="C65" s="46"/>
      <c r="D65" s="47" t="str">
        <f ca="1">IFERROR(__xludf.DUMMYFUNCTION("""COMPUTED_VALUE"""),"Spotted Sandpiper")</f>
        <v>Spotted Sandpiper</v>
      </c>
      <c r="E65" s="52"/>
      <c r="F65" s="25"/>
      <c r="G65" s="48" t="str">
        <f ca="1">IFERROR(__xludf.DUMMYFUNCTION("""COMPUTED_VALUE"""),"Sandbach")</f>
        <v>Sandbach</v>
      </c>
      <c r="H65" s="22">
        <f ca="1">IFERROR(__xludf.DUMMYFUNCTION("""COMPUTED_VALUE"""),29478)</f>
        <v>29478</v>
      </c>
      <c r="I65" s="23"/>
      <c r="J65" s="24"/>
      <c r="K65" s="25"/>
      <c r="L65" s="27" t="str">
        <f ca="1">IFERROR(__xludf.DUMMYFUNCTION("""COMPUTED_VALUE"""),"closed")</f>
        <v>closed</v>
      </c>
      <c r="M65" s="27"/>
      <c r="N65" s="25" t="str">
        <f ca="1">IFERROR(__xludf.DUMMYFUNCTION("""COMPUTED_VALUE"""),"BBRC-OK")</f>
        <v>BBRC-OK</v>
      </c>
      <c r="O65" s="28" t="str">
        <f ca="1">IFERROR(__xludf.DUMMYFUNCTION("""COMPUTED_VALUE"""),"Railway Flash, Sandbach, juvenile, 14th to 17th September.")</f>
        <v>Railway Flash, Sandbach, juvenile, 14th to 17th September.</v>
      </c>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row>
    <row r="66" spans="1:80" ht="12.75" hidden="1" customHeight="1">
      <c r="A66" s="10">
        <f ca="1">IFERROR(__xludf.DUMMYFUNCTION("""COMPUTED_VALUE"""),1981)</f>
        <v>1981</v>
      </c>
      <c r="B66" s="50">
        <f ca="1">IFERROR(__xludf.DUMMYFUNCTION("""COMPUTED_VALUE"""),44568)</f>
        <v>44568</v>
      </c>
      <c r="C66" s="41"/>
      <c r="D66" s="42" t="str">
        <f ca="1">IFERROR(__xludf.DUMMYFUNCTION("""COMPUTED_VALUE"""),"Wilson's Phalarope")</f>
        <v>Wilson's Phalarope</v>
      </c>
      <c r="E66" s="53">
        <f ca="1">IFERROR(__xludf.DUMMYFUNCTION("""COMPUTED_VALUE"""),1)</f>
        <v>1</v>
      </c>
      <c r="F66" s="15"/>
      <c r="G66" s="44" t="str">
        <f ca="1">IFERROR(__xludf.DUMMYFUNCTION("""COMPUTED_VALUE"""),"Frodsham")</f>
        <v>Frodsham</v>
      </c>
      <c r="H66" s="12">
        <f ca="1">IFERROR(__xludf.DUMMYFUNCTION("""COMPUTED_VALUE"""),29856)</f>
        <v>29856</v>
      </c>
      <c r="I66" s="13"/>
      <c r="J66" s="14"/>
      <c r="K66" s="15"/>
      <c r="L66" s="17" t="str">
        <f ca="1">IFERROR(__xludf.DUMMYFUNCTION("""COMPUTED_VALUE"""),"closed")</f>
        <v>closed</v>
      </c>
      <c r="M66" s="17"/>
      <c r="N66" s="15" t="str">
        <f ca="1">IFERROR(__xludf.DUMMYFUNCTION("""COMPUTED_VALUE"""),"BBRC-OK")</f>
        <v>BBRC-OK</v>
      </c>
      <c r="O66" s="18" t="str">
        <f ca="1">IFERROR(__xludf.DUMMYFUNCTION("""COMPUTED_VALUE"""),"Weaver Bend, Frodsham, juvenile, 27th September to at least 5th October.")</f>
        <v>Weaver Bend, Frodsham, juvenile, 27th September to at least 5th October.</v>
      </c>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row>
    <row r="67" spans="1:80" ht="12.75" hidden="1" customHeight="1">
      <c r="A67" s="20">
        <f ca="1">IFERROR(__xludf.DUMMYFUNCTION("""COMPUTED_VALUE"""),1981)</f>
        <v>1981</v>
      </c>
      <c r="B67" s="45">
        <f ca="1">IFERROR(__xludf.DUMMYFUNCTION("""COMPUTED_VALUE"""),44568)</f>
        <v>44568</v>
      </c>
      <c r="C67" s="46"/>
      <c r="D67" s="47" t="str">
        <f ca="1">IFERROR(__xludf.DUMMYFUNCTION("""COMPUTED_VALUE"""),"Red-throated Pipit")</f>
        <v>Red-throated Pipit</v>
      </c>
      <c r="E67" s="52">
        <f ca="1">IFERROR(__xludf.DUMMYFUNCTION("""COMPUTED_VALUE"""),1)</f>
        <v>1</v>
      </c>
      <c r="F67" s="25"/>
      <c r="G67" s="48" t="str">
        <f ca="1">IFERROR(__xludf.DUMMYFUNCTION("""COMPUTED_VALUE"""),"Red Rocks, Hoylake")</f>
        <v>Red Rocks, Hoylake</v>
      </c>
      <c r="H67" s="22">
        <f ca="1">IFERROR(__xludf.DUMMYFUNCTION("""COMPUTED_VALUE"""),29873)</f>
        <v>29873</v>
      </c>
      <c r="I67" s="23"/>
      <c r="J67" s="24"/>
      <c r="K67" s="25"/>
      <c r="L67" s="27" t="str">
        <f ca="1">IFERROR(__xludf.DUMMYFUNCTION("""COMPUTED_VALUE"""),"closed")</f>
        <v>closed</v>
      </c>
      <c r="M67" s="27"/>
      <c r="N67" s="25" t="str">
        <f ca="1">IFERROR(__xludf.DUMMYFUNCTION("""COMPUTED_VALUE"""),"BBRC-OK")</f>
        <v>BBRC-OK</v>
      </c>
      <c r="O67" s="28"/>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row>
    <row r="68" spans="1:80" ht="12.75" hidden="1" customHeight="1">
      <c r="A68" s="10">
        <f ca="1">IFERROR(__xludf.DUMMYFUNCTION("""COMPUTED_VALUE"""),1982)</f>
        <v>1982</v>
      </c>
      <c r="B68" s="50">
        <f ca="1">IFERROR(__xludf.DUMMYFUNCTION("""COMPUTED_VALUE"""),44568)</f>
        <v>44568</v>
      </c>
      <c r="C68" s="41"/>
      <c r="D68" s="42" t="str">
        <f ca="1">IFERROR(__xludf.DUMMYFUNCTION("""COMPUTED_VALUE"""),"Black-billed Cuckoo")</f>
        <v>Black-billed Cuckoo</v>
      </c>
      <c r="E68" s="53">
        <f ca="1">IFERROR(__xludf.DUMMYFUNCTION("""COMPUTED_VALUE"""),1)</f>
        <v>1</v>
      </c>
      <c r="F68" s="15"/>
      <c r="G68" s="44" t="str">
        <f ca="1">IFERROR(__xludf.DUMMYFUNCTION("""COMPUTED_VALUE"""),"Red Rocks, Hoylake")</f>
        <v>Red Rocks, Hoylake</v>
      </c>
      <c r="H68" s="12">
        <f ca="1">IFERROR(__xludf.DUMMYFUNCTION("""COMPUTED_VALUE"""),30254)</f>
        <v>30254</v>
      </c>
      <c r="I68" s="13"/>
      <c r="J68" s="14"/>
      <c r="K68" s="15"/>
      <c r="L68" s="17" t="str">
        <f ca="1">IFERROR(__xludf.DUMMYFUNCTION("""COMPUTED_VALUE"""),"closed")</f>
        <v>closed</v>
      </c>
      <c r="M68" s="17"/>
      <c r="N68" s="15" t="str">
        <f ca="1">IFERROR(__xludf.DUMMYFUNCTION("""COMPUTED_VALUE"""),"BBRC-OK")</f>
        <v>BBRC-OK</v>
      </c>
      <c r="O68" s="18" t="str">
        <f ca="1">IFERROR(__xludf.DUMMYFUNCTION("""COMPUTED_VALUE"""),"Red Rocks, Hoylake, Wirral, first-winter, 30th October, photo.")</f>
        <v>Red Rocks, Hoylake, Wirral, first-winter, 30th October, photo.</v>
      </c>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row>
    <row r="69" spans="1:80" ht="12.75" hidden="1" customHeight="1">
      <c r="A69" s="20">
        <f ca="1">IFERROR(__xludf.DUMMYFUNCTION("""COMPUTED_VALUE"""),1982)</f>
        <v>1982</v>
      </c>
      <c r="B69" s="45">
        <f ca="1">IFERROR(__xludf.DUMMYFUNCTION("""COMPUTED_VALUE"""),44568)</f>
        <v>44568</v>
      </c>
      <c r="C69" s="46"/>
      <c r="D69" s="47" t="str">
        <f ca="1">IFERROR(__xludf.DUMMYFUNCTION("""COMPUTED_VALUE"""),"Baird's Sandpiper")</f>
        <v>Baird's Sandpiper</v>
      </c>
      <c r="E69" s="52"/>
      <c r="F69" s="25"/>
      <c r="G69" s="48" t="str">
        <f ca="1">IFERROR(__xludf.DUMMYFUNCTION("""COMPUTED_VALUE"""),"Frodsham")</f>
        <v>Frodsham</v>
      </c>
      <c r="H69" s="22">
        <f ca="1">IFERROR(__xludf.DUMMYFUNCTION("""COMPUTED_VALUE"""),30224)</f>
        <v>30224</v>
      </c>
      <c r="I69" s="23"/>
      <c r="J69" s="24"/>
      <c r="K69" s="25"/>
      <c r="L69" s="27" t="str">
        <f ca="1">IFERROR(__xludf.DUMMYFUNCTION("""COMPUTED_VALUE"""),"closed")</f>
        <v>closed</v>
      </c>
      <c r="M69" s="27"/>
      <c r="N69" s="25" t="str">
        <f ca="1">IFERROR(__xludf.DUMMYFUNCTION("""COMPUTED_VALUE"""),"BBRC-OK")</f>
        <v>BBRC-OK</v>
      </c>
      <c r="O69" s="28" t="str">
        <f ca="1">IFERROR(__xludf.DUMMYFUNCTION("""COMPUTED_VALUE"""),"Weaver Bend, Frodsham, 30th September to 3rd October.")</f>
        <v>Weaver Bend, Frodsham, 30th September to 3rd October.</v>
      </c>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row>
    <row r="70" spans="1:80" ht="12.75" hidden="1" customHeight="1">
      <c r="A70" s="10">
        <f ca="1">IFERROR(__xludf.DUMMYFUNCTION("""COMPUTED_VALUE"""),1982)</f>
        <v>1982</v>
      </c>
      <c r="B70" s="50">
        <f ca="1">IFERROR(__xludf.DUMMYFUNCTION("""COMPUTED_VALUE"""),44568)</f>
        <v>44568</v>
      </c>
      <c r="C70" s="41"/>
      <c r="D70" s="42" t="str">
        <f ca="1">IFERROR(__xludf.DUMMYFUNCTION("""COMPUTED_VALUE"""),"Semipalmated Sandpiper")</f>
        <v>Semipalmated Sandpiper</v>
      </c>
      <c r="E70" s="53"/>
      <c r="F70" s="15"/>
      <c r="G70" s="44" t="str">
        <f ca="1">IFERROR(__xludf.DUMMYFUNCTION("""COMPUTED_VALUE"""),"Frodsham")</f>
        <v>Frodsham</v>
      </c>
      <c r="H70" s="12">
        <f ca="1">IFERROR(__xludf.DUMMYFUNCTION("""COMPUTED_VALUE"""),30227)</f>
        <v>30227</v>
      </c>
      <c r="I70" s="12"/>
      <c r="J70" s="14"/>
      <c r="K70" s="15"/>
      <c r="L70" s="17" t="str">
        <f ca="1">IFERROR(__xludf.DUMMYFUNCTION("""COMPUTED_VALUE"""),"closed")</f>
        <v>closed</v>
      </c>
      <c r="M70" s="17"/>
      <c r="N70" s="15" t="str">
        <f ca="1">IFERROR(__xludf.DUMMYFUNCTION("""COMPUTED_VALUE"""),"BBRC-OK")</f>
        <v>BBRC-OK</v>
      </c>
      <c r="O70" s="18" t="str">
        <f ca="1">IFERROR(__xludf.DUMMYFUNCTION("""COMPUTED_VALUE"""),"Weaver Bend, Frodsham, first-winter, 3rd to 4th October.")</f>
        <v>Weaver Bend, Frodsham, first-winter, 3rd to 4th October.</v>
      </c>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row>
    <row r="71" spans="1:80" ht="12.75" hidden="1" customHeight="1">
      <c r="A71" s="20">
        <f ca="1">IFERROR(__xludf.DUMMYFUNCTION("""COMPUTED_VALUE"""),1982)</f>
        <v>1982</v>
      </c>
      <c r="B71" s="45">
        <f ca="1">IFERROR(__xludf.DUMMYFUNCTION("""COMPUTED_VALUE"""),44568)</f>
        <v>44568</v>
      </c>
      <c r="C71" s="46"/>
      <c r="D71" s="47" t="str">
        <f ca="1">IFERROR(__xludf.DUMMYFUNCTION("""COMPUTED_VALUE"""),"Gull-billed Tern")</f>
        <v>Gull-billed Tern</v>
      </c>
      <c r="E71" s="52">
        <f ca="1">IFERROR(__xludf.DUMMYFUNCTION("""COMPUTED_VALUE"""),1)</f>
        <v>1</v>
      </c>
      <c r="F71" s="25" t="str">
        <f ca="1">IFERROR(__xludf.DUMMYFUNCTION("""COMPUTED_VALUE"""),"ad")</f>
        <v>ad</v>
      </c>
      <c r="G71" s="48" t="str">
        <f ca="1">IFERROR(__xludf.DUMMYFUNCTION("""COMPUTED_VALUE"""),"Red Rocks, Hoylake")</f>
        <v>Red Rocks, Hoylake</v>
      </c>
      <c r="H71" s="22">
        <f ca="1">IFERROR(__xludf.DUMMYFUNCTION("""COMPUTED_VALUE"""),30140)</f>
        <v>30140</v>
      </c>
      <c r="I71" s="22"/>
      <c r="J71" s="24"/>
      <c r="K71" s="25"/>
      <c r="L71" s="27" t="str">
        <f ca="1">IFERROR(__xludf.DUMMYFUNCTION("""COMPUTED_VALUE"""),"closed")</f>
        <v>closed</v>
      </c>
      <c r="M71" s="27"/>
      <c r="N71" s="25" t="str">
        <f ca="1">IFERROR(__xludf.DUMMYFUNCTION("""COMPUTED_VALUE"""),"BBRC-OK")</f>
        <v>BBRC-OK</v>
      </c>
      <c r="O71" s="28" t="str">
        <f ca="1">IFERROR(__xludf.DUMMYFUNCTION("""COMPUTED_VALUE"""),"Red Rocks Hoylake, Wirral, 8th July.")</f>
        <v>Red Rocks Hoylake, Wirral, 8th July.</v>
      </c>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row>
    <row r="72" spans="1:80" ht="12.75" hidden="1" customHeight="1">
      <c r="A72" s="10">
        <f ca="1">IFERROR(__xludf.DUMMYFUNCTION("""COMPUTED_VALUE"""),1982)</f>
        <v>1982</v>
      </c>
      <c r="B72" s="50">
        <f ca="1">IFERROR(__xludf.DUMMYFUNCTION("""COMPUTED_VALUE"""),44568)</f>
        <v>44568</v>
      </c>
      <c r="C72" s="41"/>
      <c r="D72" s="42" t="str">
        <f ca="1">IFERROR(__xludf.DUMMYFUNCTION("""COMPUTED_VALUE"""),"European Roller")</f>
        <v>European Roller</v>
      </c>
      <c r="E72" s="53"/>
      <c r="F72" s="15"/>
      <c r="G72" s="44" t="str">
        <f ca="1">IFERROR(__xludf.DUMMYFUNCTION("""COMPUTED_VALUE"""),"Wildboarclough")</f>
        <v>Wildboarclough</v>
      </c>
      <c r="H72" s="12">
        <f ca="1">IFERROR(__xludf.DUMMYFUNCTION("""COMPUTED_VALUE"""),30104)</f>
        <v>30104</v>
      </c>
      <c r="I72" s="13"/>
      <c r="J72" s="14"/>
      <c r="K72" s="15"/>
      <c r="L72" s="17" t="str">
        <f ca="1">IFERROR(__xludf.DUMMYFUNCTION("""COMPUTED_VALUE"""),"closed")</f>
        <v>closed</v>
      </c>
      <c r="M72" s="17"/>
      <c r="N72" s="15" t="str">
        <f ca="1">IFERROR(__xludf.DUMMYFUNCTION("""COMPUTED_VALUE"""),"BBRC-OK")</f>
        <v>BBRC-OK</v>
      </c>
      <c r="O72" s="18" t="str">
        <f ca="1">IFERROR(__xludf.DUMMYFUNCTION("""COMPUTED_VALUE"""),"Wildboarclough, adult, 2nd to 4th June, photo.")</f>
        <v>Wildboarclough, adult, 2nd to 4th June, photo.</v>
      </c>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row>
    <row r="73" spans="1:80" ht="12.75" hidden="1" customHeight="1">
      <c r="A73" s="20">
        <f ca="1">IFERROR(__xludf.DUMMYFUNCTION("""COMPUTED_VALUE"""),1982)</f>
        <v>1982</v>
      </c>
      <c r="B73" s="45">
        <f ca="1">IFERROR(__xludf.DUMMYFUNCTION("""COMPUTED_VALUE"""),44568)</f>
        <v>44568</v>
      </c>
      <c r="C73" s="46"/>
      <c r="D73" s="47" t="str">
        <f ca="1">IFERROR(__xludf.DUMMYFUNCTION("""COMPUTED_VALUE"""),"Gyr Falcon")</f>
        <v>Gyr Falcon</v>
      </c>
      <c r="E73" s="52"/>
      <c r="F73" s="25"/>
      <c r="G73" s="48" t="str">
        <f ca="1">IFERROR(__xludf.DUMMYFUNCTION("""COMPUTED_VALUE"""),"Burton")</f>
        <v>Burton</v>
      </c>
      <c r="H73" s="22">
        <f ca="1">IFERROR(__xludf.DUMMYFUNCTION("""COMPUTED_VALUE"""),30265)</f>
        <v>30265</v>
      </c>
      <c r="I73" s="23"/>
      <c r="J73" s="24"/>
      <c r="K73" s="25"/>
      <c r="L73" s="27" t="str">
        <f ca="1">IFERROR(__xludf.DUMMYFUNCTION("""COMPUTED_VALUE"""),"closed")</f>
        <v>closed</v>
      </c>
      <c r="M73" s="27"/>
      <c r="N73" s="25" t="str">
        <f ca="1">IFERROR(__xludf.DUMMYFUNCTION("""COMPUTED_VALUE"""),"BBRC-OK")</f>
        <v>BBRC-OK</v>
      </c>
      <c r="O73" s="28" t="str">
        <f ca="1">IFERROR(__xludf.DUMMYFUNCTION("""COMPUTED_VALUE"""),"Burton, immature, 10th November; also in Denbighshire &amp; Flintshire.")</f>
        <v>Burton, immature, 10th November; also in Denbighshire &amp; Flintshire.</v>
      </c>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row>
    <row r="74" spans="1:80" ht="12.75" hidden="1" customHeight="1">
      <c r="A74" s="10">
        <f ca="1">IFERROR(__xludf.DUMMYFUNCTION("""COMPUTED_VALUE"""),1983)</f>
        <v>1983</v>
      </c>
      <c r="B74" s="50">
        <f ca="1">IFERROR(__xludf.DUMMYFUNCTION("""COMPUTED_VALUE"""),44568)</f>
        <v>44568</v>
      </c>
      <c r="C74" s="41"/>
      <c r="D74" s="42" t="str">
        <f ca="1">IFERROR(__xludf.DUMMYFUNCTION("""COMPUTED_VALUE"""),"Wilson's Phalarope")</f>
        <v>Wilson's Phalarope</v>
      </c>
      <c r="E74" s="53">
        <f ca="1">IFERROR(__xludf.DUMMYFUNCTION("""COMPUTED_VALUE"""),1)</f>
        <v>1</v>
      </c>
      <c r="F74" s="15"/>
      <c r="G74" s="44" t="str">
        <f ca="1">IFERROR(__xludf.DUMMYFUNCTION("""COMPUTED_VALUE"""),"Frodsham")</f>
        <v>Frodsham</v>
      </c>
      <c r="H74" s="12">
        <f ca="1">IFERROR(__xludf.DUMMYFUNCTION("""COMPUTED_VALUE"""),30585)</f>
        <v>30585</v>
      </c>
      <c r="I74" s="13"/>
      <c r="J74" s="14"/>
      <c r="K74" s="15"/>
      <c r="L74" s="17" t="str">
        <f ca="1">IFERROR(__xludf.DUMMYFUNCTION("""COMPUTED_VALUE"""),"closed")</f>
        <v>closed</v>
      </c>
      <c r="M74" s="17"/>
      <c r="N74" s="15" t="str">
        <f ca="1">IFERROR(__xludf.DUMMYFUNCTION("""COMPUTED_VALUE"""),"BBRC-OK")</f>
        <v>BBRC-OK</v>
      </c>
      <c r="O74" s="18" t="str">
        <f ca="1">IFERROR(__xludf.DUMMYFUNCTION("""COMPUTED_VALUE"""),"Frodsham, first-winter, 26th September to 4th October.")</f>
        <v>Frodsham, first-winter, 26th September to 4th October.</v>
      </c>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row>
    <row r="75" spans="1:80" ht="12.75" hidden="1" customHeight="1">
      <c r="A75" s="20">
        <f ca="1">IFERROR(__xludf.DUMMYFUNCTION("""COMPUTED_VALUE"""),1983)</f>
        <v>1983</v>
      </c>
      <c r="B75" s="45">
        <f ca="1">IFERROR(__xludf.DUMMYFUNCTION("""COMPUTED_VALUE"""),44568)</f>
        <v>44568</v>
      </c>
      <c r="C75" s="46"/>
      <c r="D75" s="47" t="str">
        <f ca="1">IFERROR(__xludf.DUMMYFUNCTION("""COMPUTED_VALUE"""),"Black-winged Stilt")</f>
        <v>Black-winged Stilt</v>
      </c>
      <c r="E75" s="52">
        <f ca="1">IFERROR(__xludf.DUMMYFUNCTION("""COMPUTED_VALUE"""),2)</f>
        <v>2</v>
      </c>
      <c r="F75" s="25"/>
      <c r="G75" s="48" t="str">
        <f ca="1">IFERROR(__xludf.DUMMYFUNCTION("""COMPUTED_VALUE"""),"Frodsham")</f>
        <v>Frodsham</v>
      </c>
      <c r="H75" s="22">
        <f ca="1">IFERROR(__xludf.DUMMYFUNCTION("""COMPUTED_VALUE"""),30438)</f>
        <v>30438</v>
      </c>
      <c r="I75" s="23"/>
      <c r="J75" s="24"/>
      <c r="K75" s="25"/>
      <c r="L75" s="27" t="str">
        <f ca="1">IFERROR(__xludf.DUMMYFUNCTION("""COMPUTED_VALUE"""),"closed")</f>
        <v>closed</v>
      </c>
      <c r="M75" s="27"/>
      <c r="N75" s="25" t="str">
        <f ca="1">IFERROR(__xludf.DUMMYFUNCTION("""COMPUTED_VALUE"""),"BBRC-OK")</f>
        <v>BBRC-OK</v>
      </c>
      <c r="O75" s="28" t="str">
        <f ca="1">IFERROR(__xludf.DUMMYFUNCTION("""COMPUTED_VALUE"""),"Frodsham, two, adults, probably male and female, 2nd to 3rd May; probably same as Cornwall; also in Cambridgeshire.")</f>
        <v>Frodsham, two, adults, probably male and female, 2nd to 3rd May; probably same as Cornwall; also in Cambridgeshire.</v>
      </c>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row>
    <row r="76" spans="1:80" ht="12.75" hidden="1" customHeight="1">
      <c r="A76" s="10">
        <f ca="1">IFERROR(__xludf.DUMMYFUNCTION("""COMPUTED_VALUE"""),1983)</f>
        <v>1983</v>
      </c>
      <c r="B76" s="50">
        <f ca="1">IFERROR(__xludf.DUMMYFUNCTION("""COMPUTED_VALUE"""),44568)</f>
        <v>44568</v>
      </c>
      <c r="C76" s="41"/>
      <c r="D76" s="42" t="str">
        <f ca="1">IFERROR(__xludf.DUMMYFUNCTION("""COMPUTED_VALUE"""),"Black-winged Stilt")</f>
        <v>Black-winged Stilt</v>
      </c>
      <c r="E76" s="53">
        <f ca="1">IFERROR(__xludf.DUMMYFUNCTION("""COMPUTED_VALUE"""),2)</f>
        <v>2</v>
      </c>
      <c r="F76" s="15"/>
      <c r="G76" s="44" t="str">
        <f ca="1">IFERROR(__xludf.DUMMYFUNCTION("""COMPUTED_VALUE"""),"Frodsham")</f>
        <v>Frodsham</v>
      </c>
      <c r="H76" s="12">
        <f ca="1">IFERROR(__xludf.DUMMYFUNCTION("""COMPUTED_VALUE"""),30439)</f>
        <v>30439</v>
      </c>
      <c r="I76" s="13"/>
      <c r="J76" s="14"/>
      <c r="K76" s="15"/>
      <c r="L76" s="17" t="str">
        <f ca="1">IFERROR(__xludf.DUMMYFUNCTION("""COMPUTED_VALUE"""),"closed")</f>
        <v>closed</v>
      </c>
      <c r="M76" s="17"/>
      <c r="N76" s="15" t="str">
        <f ca="1">IFERROR(__xludf.DUMMYFUNCTION("""COMPUTED_VALUE"""),"BBRC-OK")</f>
        <v>BBRC-OK</v>
      </c>
      <c r="O76" s="18" t="str">
        <f ca="1">IFERROR(__xludf.DUMMYFUNCTION("""COMPUTED_VALUE"""),"Frodsham, adult, another, 3rd May.")</f>
        <v>Frodsham, adult, another, 3rd May.</v>
      </c>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row>
    <row r="77" spans="1:80" ht="12.75" hidden="1" customHeight="1">
      <c r="A77" s="20">
        <f ca="1">IFERROR(__xludf.DUMMYFUNCTION("""COMPUTED_VALUE"""),1983)</f>
        <v>1983</v>
      </c>
      <c r="B77" s="45">
        <f ca="1">IFERROR(__xludf.DUMMYFUNCTION("""COMPUTED_VALUE"""),44568)</f>
        <v>44568</v>
      </c>
      <c r="C77" s="46"/>
      <c r="D77" s="47" t="str">
        <f ca="1">IFERROR(__xludf.DUMMYFUNCTION("""COMPUTED_VALUE"""),"Sharp-tailed Sandpiper")</f>
        <v>Sharp-tailed Sandpiper</v>
      </c>
      <c r="E77" s="52"/>
      <c r="F77" s="25"/>
      <c r="G77" s="48" t="str">
        <f ca="1">IFERROR(__xludf.DUMMYFUNCTION("""COMPUTED_VALUE"""),"Frodsham")</f>
        <v>Frodsham</v>
      </c>
      <c r="H77" s="22">
        <f ca="1">IFERROR(__xludf.DUMMYFUNCTION("""COMPUTED_VALUE"""),30555)</f>
        <v>30555</v>
      </c>
      <c r="I77" s="23"/>
      <c r="J77" s="24"/>
      <c r="K77" s="25"/>
      <c r="L77" s="27" t="str">
        <f ca="1">IFERROR(__xludf.DUMMYFUNCTION("""COMPUTED_VALUE"""),"closed")</f>
        <v>closed</v>
      </c>
      <c r="M77" s="27"/>
      <c r="N77" s="25" t="str">
        <f ca="1">IFERROR(__xludf.DUMMYFUNCTION("""COMPUTED_VALUE"""),"BBRC-OK")</f>
        <v>BBRC-OK</v>
      </c>
      <c r="O77" s="28" t="str">
        <f ca="1">IFERROR(__xludf.DUMMYFUNCTION("""COMPUTED_VALUE"""),"Frodsham, adult, 27th to 28th August.")</f>
        <v>Frodsham, adult, 27th to 28th August.</v>
      </c>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row>
    <row r="78" spans="1:80" ht="12.75" hidden="1" customHeight="1">
      <c r="A78" s="10">
        <f ca="1">IFERROR(__xludf.DUMMYFUNCTION("""COMPUTED_VALUE"""),1983)</f>
        <v>1983</v>
      </c>
      <c r="B78" s="50">
        <f ca="1">IFERROR(__xludf.DUMMYFUNCTION("""COMPUTED_VALUE"""),44568)</f>
        <v>44568</v>
      </c>
      <c r="C78" s="41"/>
      <c r="D78" s="42" t="str">
        <f ca="1">IFERROR(__xludf.DUMMYFUNCTION("""COMPUTED_VALUE"""),"Savi's Warbler")</f>
        <v>Savi's Warbler</v>
      </c>
      <c r="E78" s="53">
        <f ca="1">IFERROR(__xludf.DUMMYFUNCTION("""COMPUTED_VALUE"""),1)</f>
        <v>1</v>
      </c>
      <c r="F78" s="15"/>
      <c r="G78" s="44" t="str">
        <f ca="1">IFERROR(__xludf.DUMMYFUNCTION("""COMPUTED_VALUE"""),"Red Rocks, Hoylake")</f>
        <v>Red Rocks, Hoylake</v>
      </c>
      <c r="H78" s="12">
        <f ca="1">IFERROR(__xludf.DUMMYFUNCTION("""COMPUTED_VALUE"""),30558)</f>
        <v>30558</v>
      </c>
      <c r="I78" s="13"/>
      <c r="J78" s="14"/>
      <c r="K78" s="15"/>
      <c r="L78" s="17" t="str">
        <f ca="1">IFERROR(__xludf.DUMMYFUNCTION("""COMPUTED_VALUE"""),"closed")</f>
        <v>closed</v>
      </c>
      <c r="M78" s="17"/>
      <c r="N78" s="15" t="str">
        <f ca="1">IFERROR(__xludf.DUMMYFUNCTION("""COMPUTED_VALUE"""),"BBRC-OK")</f>
        <v>BBRC-OK</v>
      </c>
      <c r="O78" s="18" t="str">
        <f ca="1">IFERROR(__xludf.DUMMYFUNCTION("""COMPUTED_VALUE"""),"Red Rocks, Hoylake, Wirral, 23rd May.")</f>
        <v>Red Rocks, Hoylake, Wirral, 23rd May.</v>
      </c>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row>
    <row r="79" spans="1:80" ht="12.75" hidden="1" customHeight="1">
      <c r="A79" s="20">
        <f ca="1">IFERROR(__xludf.DUMMYFUNCTION("""COMPUTED_VALUE"""),1983)</f>
        <v>1983</v>
      </c>
      <c r="B79" s="45">
        <f ca="1">IFERROR(__xludf.DUMMYFUNCTION("""COMPUTED_VALUE"""),44568)</f>
        <v>44568</v>
      </c>
      <c r="C79" s="46"/>
      <c r="D79" s="47" t="str">
        <f ca="1">IFERROR(__xludf.DUMMYFUNCTION("""COMPUTED_VALUE"""),"Whiskered Tern")</f>
        <v>Whiskered Tern</v>
      </c>
      <c r="E79" s="52"/>
      <c r="F79" s="25"/>
      <c r="G79" s="48" t="str">
        <f ca="1">IFERROR(__xludf.DUMMYFUNCTION("""COMPUTED_VALUE"""),"Woolston")</f>
        <v>Woolston</v>
      </c>
      <c r="H79" s="22">
        <f ca="1">IFERROR(__xludf.DUMMYFUNCTION("""COMPUTED_VALUE"""),30479)</f>
        <v>30479</v>
      </c>
      <c r="I79" s="23"/>
      <c r="J79" s="24"/>
      <c r="K79" s="25"/>
      <c r="L79" s="27" t="str">
        <f ca="1">IFERROR(__xludf.DUMMYFUNCTION("""COMPUTED_VALUE"""),"closed")</f>
        <v>closed</v>
      </c>
      <c r="M79" s="27"/>
      <c r="N79" s="25" t="str">
        <f ca="1">IFERROR(__xludf.DUMMYFUNCTION("""COMPUTED_VALUE"""),"BBRC-OK")</f>
        <v>BBRC-OK</v>
      </c>
      <c r="O79" s="28" t="str">
        <f ca="1">IFERROR(__xludf.DUMMYFUNCTION("""COMPUTED_VALUE"""),"Woolston Eyes, first-summer, 12th to 18th June.")</f>
        <v>Woolston Eyes, first-summer, 12th to 18th June.</v>
      </c>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row>
    <row r="80" spans="1:80" ht="12.75" hidden="1" customHeight="1">
      <c r="A80" s="10">
        <f ca="1">IFERROR(__xludf.DUMMYFUNCTION("""COMPUTED_VALUE"""),1983)</f>
        <v>1983</v>
      </c>
      <c r="B80" s="50">
        <f ca="1">IFERROR(__xludf.DUMMYFUNCTION("""COMPUTED_VALUE"""),44568)</f>
        <v>44568</v>
      </c>
      <c r="C80" s="41"/>
      <c r="D80" s="42" t="str">
        <f ca="1">IFERROR(__xludf.DUMMYFUNCTION("""COMPUTED_VALUE"""),"Upland Sandpiper")</f>
        <v>Upland Sandpiper</v>
      </c>
      <c r="E80" s="53"/>
      <c r="F80" s="15"/>
      <c r="G80" s="44" t="str">
        <f ca="1">IFERROR(__xludf.DUMMYFUNCTION("""COMPUTED_VALUE"""),"Sandbach")</f>
        <v>Sandbach</v>
      </c>
      <c r="H80" s="12">
        <f ca="1">IFERROR(__xludf.DUMMYFUNCTION("""COMPUTED_VALUE"""),30653)</f>
        <v>30653</v>
      </c>
      <c r="I80" s="12"/>
      <c r="J80" s="14"/>
      <c r="K80" s="15"/>
      <c r="L80" s="17" t="str">
        <f ca="1">IFERROR(__xludf.DUMMYFUNCTION("""COMPUTED_VALUE"""),"closed")</f>
        <v>closed</v>
      </c>
      <c r="M80" s="17"/>
      <c r="N80" s="15" t="str">
        <f ca="1">IFERROR(__xludf.DUMMYFUNCTION("""COMPUTED_VALUE"""),"BBRC-OK")</f>
        <v>BBRC-OK</v>
      </c>
      <c r="O80" s="18" t="str">
        <f ca="1">IFERROR(__xludf.DUMMYFUNCTION("""COMPUTED_VALUE"""),"Elton Hall Flash, Sandbach, first-winter, 3rd to 7th December.")</f>
        <v>Elton Hall Flash, Sandbach, first-winter, 3rd to 7th December.</v>
      </c>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row>
    <row r="81" spans="1:80" ht="12.75" hidden="1" customHeight="1">
      <c r="A81" s="20">
        <f ca="1">IFERROR(__xludf.DUMMYFUNCTION("""COMPUTED_VALUE"""),1984)</f>
        <v>1984</v>
      </c>
      <c r="B81" s="45">
        <f ca="1">IFERROR(__xludf.DUMMYFUNCTION("""COMPUTED_VALUE"""),44568)</f>
        <v>44568</v>
      </c>
      <c r="C81" s="46"/>
      <c r="D81" s="47" t="str">
        <f ca="1">IFERROR(__xludf.DUMMYFUNCTION("""COMPUTED_VALUE"""),"Wilson's Phalarope")</f>
        <v>Wilson's Phalarope</v>
      </c>
      <c r="E81" s="52">
        <f ca="1">IFERROR(__xludf.DUMMYFUNCTION("""COMPUTED_VALUE"""),1)</f>
        <v>1</v>
      </c>
      <c r="F81" s="25"/>
      <c r="G81" s="48" t="str">
        <f ca="1">IFERROR(__xludf.DUMMYFUNCTION("""COMPUTED_VALUE"""),"Frodsham")</f>
        <v>Frodsham</v>
      </c>
      <c r="H81" s="22">
        <f ca="1">IFERROR(__xludf.DUMMYFUNCTION("""COMPUTED_VALUE"""),30926)</f>
        <v>30926</v>
      </c>
      <c r="I81" s="23"/>
      <c r="J81" s="24"/>
      <c r="K81" s="25"/>
      <c r="L81" s="27" t="str">
        <f ca="1">IFERROR(__xludf.DUMMYFUNCTION("""COMPUTED_VALUE"""),"closed")</f>
        <v>closed</v>
      </c>
      <c r="M81" s="27"/>
      <c r="N81" s="25" t="str">
        <f ca="1">IFERROR(__xludf.DUMMYFUNCTION("""COMPUTED_VALUE"""),"BBRC-OK")</f>
        <v>BBRC-OK</v>
      </c>
      <c r="O81" s="28" t="str">
        <f ca="1">IFERROR(__xludf.DUMMYFUNCTION("""COMPUTED_VALUE"""),"Frodsham, first-winter, 1st September.")</f>
        <v>Frodsham, first-winter, 1st September.</v>
      </c>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row>
    <row r="82" spans="1:80" ht="12.75" hidden="1" customHeight="1">
      <c r="A82" s="10">
        <f ca="1">IFERROR(__xludf.DUMMYFUNCTION("""COMPUTED_VALUE"""),1984)</f>
        <v>1984</v>
      </c>
      <c r="B82" s="50">
        <f ca="1">IFERROR(__xludf.DUMMYFUNCTION("""COMPUTED_VALUE"""),44568)</f>
        <v>44568</v>
      </c>
      <c r="C82" s="41"/>
      <c r="D82" s="42" t="str">
        <f ca="1">IFERROR(__xludf.DUMMYFUNCTION("""COMPUTED_VALUE"""),"Stilt Sandpiper")</f>
        <v>Stilt Sandpiper</v>
      </c>
      <c r="E82" s="53"/>
      <c r="F82" s="15"/>
      <c r="G82" s="44" t="str">
        <f ca="1">IFERROR(__xludf.DUMMYFUNCTION("""COMPUTED_VALUE"""),"Frodsham")</f>
        <v>Frodsham</v>
      </c>
      <c r="H82" s="12">
        <f ca="1">IFERROR(__xludf.DUMMYFUNCTION("""COMPUTED_VALUE"""),30788)</f>
        <v>30788</v>
      </c>
      <c r="I82" s="13"/>
      <c r="J82" s="14"/>
      <c r="K82" s="15"/>
      <c r="L82" s="17" t="str">
        <f ca="1">IFERROR(__xludf.DUMMYFUNCTION("""COMPUTED_VALUE"""),"closed")</f>
        <v>closed</v>
      </c>
      <c r="M82" s="17"/>
      <c r="N82" s="15" t="str">
        <f ca="1">IFERROR(__xludf.DUMMYFUNCTION("""COMPUTED_VALUE"""),"BBRC-OK")</f>
        <v>BBRC-OK</v>
      </c>
      <c r="O82" s="18" t="str">
        <f ca="1">IFERROR(__xludf.DUMMYFUNCTION("""COMPUTED_VALUE"""),"Frodsham area, first-summer, 16th April to 3rd October, photo.")</f>
        <v>Frodsham area, first-summer, 16th April to 3rd October, photo.</v>
      </c>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row>
    <row r="83" spans="1:80" ht="12.75" hidden="1" customHeight="1">
      <c r="A83" s="20">
        <f ca="1">IFERROR(__xludf.DUMMYFUNCTION("""COMPUTED_VALUE"""),1984)</f>
        <v>1984</v>
      </c>
      <c r="B83" s="45">
        <f ca="1">IFERROR(__xludf.DUMMYFUNCTION("""COMPUTED_VALUE"""),44568)</f>
        <v>44568</v>
      </c>
      <c r="C83" s="46"/>
      <c r="D83" s="47" t="str">
        <f ca="1">IFERROR(__xludf.DUMMYFUNCTION("""COMPUTED_VALUE"""),"Franklin's Gull")</f>
        <v>Franklin's Gull</v>
      </c>
      <c r="E83" s="52"/>
      <c r="F83" s="25"/>
      <c r="G83" s="48" t="str">
        <f ca="1">IFERROR(__xludf.DUMMYFUNCTION("""COMPUTED_VALUE"""),"Frodsham")</f>
        <v>Frodsham</v>
      </c>
      <c r="H83" s="22">
        <f ca="1">IFERROR(__xludf.DUMMYFUNCTION("""COMPUTED_VALUE"""),30699)</f>
        <v>30699</v>
      </c>
      <c r="I83" s="23"/>
      <c r="J83" s="24"/>
      <c r="K83" s="25"/>
      <c r="L83" s="27" t="str">
        <f ca="1">IFERROR(__xludf.DUMMYFUNCTION("""COMPUTED_VALUE"""),"closed")</f>
        <v>closed</v>
      </c>
      <c r="M83" s="27"/>
      <c r="N83" s="25" t="str">
        <f ca="1">IFERROR(__xludf.DUMMYFUNCTION("""COMPUTED_VALUE"""),"BBRC-OK")</f>
        <v>BBRC-OK</v>
      </c>
      <c r="O83" s="28" t="str">
        <f ca="1">IFERROR(__xludf.DUMMYFUNCTION("""COMPUTED_VALUE"""),"Near Runcorn, adult, 18th January; presumed same, Frodsham, 27th January; presumed same as 1983 Lancashire &amp; North Merseyside.")</f>
        <v>Near Runcorn, adult, 18th January; presumed same, Frodsham, 27th January; presumed same as 1983 Lancashire &amp; North Merseyside.</v>
      </c>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row>
    <row r="84" spans="1:80" ht="12.75" hidden="1" customHeight="1">
      <c r="A84" s="10">
        <f ca="1">IFERROR(__xludf.DUMMYFUNCTION("""COMPUTED_VALUE"""),1985)</f>
        <v>1985</v>
      </c>
      <c r="B84" s="50">
        <f ca="1">IFERROR(__xludf.DUMMYFUNCTION("""COMPUTED_VALUE"""),44568)</f>
        <v>44568</v>
      </c>
      <c r="C84" s="41"/>
      <c r="D84" s="42" t="str">
        <f ca="1">IFERROR(__xludf.DUMMYFUNCTION("""COMPUTED_VALUE"""),"Common Nighthawk")</f>
        <v>Common Nighthawk</v>
      </c>
      <c r="E84" s="53"/>
      <c r="F84" s="15"/>
      <c r="G84" s="44" t="str">
        <f ca="1">IFERROR(__xludf.DUMMYFUNCTION("""COMPUTED_VALUE"""),"Moreton")</f>
        <v>Moreton</v>
      </c>
      <c r="H84" s="12">
        <f ca="1">IFERROR(__xludf.DUMMYFUNCTION("""COMPUTED_VALUE"""),31331)</f>
        <v>31331</v>
      </c>
      <c r="I84" s="13"/>
      <c r="J84" s="14"/>
      <c r="K84" s="15"/>
      <c r="L84" s="17" t="str">
        <f ca="1">IFERROR(__xludf.DUMMYFUNCTION("""COMPUTED_VALUE"""),"closed")</f>
        <v>closed</v>
      </c>
      <c r="M84" s="17"/>
      <c r="N84" s="15" t="str">
        <f ca="1">IFERROR(__xludf.DUMMYFUNCTION("""COMPUTED_VALUE"""),"BBRC-OK")</f>
        <v>BBRC-OK</v>
      </c>
      <c r="O84" s="18" t="str">
        <f ca="1">IFERROR(__xludf.DUMMYFUNCTION("""COMPUTED_VALUE"""),"Moreton, Wirral, first-winter, taken into care exhausted, 11th October, ringed and transported to Belize, Central America, by courtesy of Royal Air Force and released in good health about 25th October.")</f>
        <v>Moreton, Wirral, first-winter, taken into care exhausted, 11th October, ringed and transported to Belize, Central America, by courtesy of Royal Air Force and released in good health about 25th October.</v>
      </c>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row>
    <row r="85" spans="1:80" ht="12.75" hidden="1" customHeight="1">
      <c r="A85" s="20">
        <f ca="1">IFERROR(__xludf.DUMMYFUNCTION("""COMPUTED_VALUE"""),1985)</f>
        <v>1985</v>
      </c>
      <c r="B85" s="45">
        <f ca="1">IFERROR(__xludf.DUMMYFUNCTION("""COMPUTED_VALUE"""),44568)</f>
        <v>44568</v>
      </c>
      <c r="C85" s="46"/>
      <c r="D85" s="47" t="str">
        <f ca="1">IFERROR(__xludf.DUMMYFUNCTION("""COMPUTED_VALUE"""),"Baird's Sandpiper")</f>
        <v>Baird's Sandpiper</v>
      </c>
      <c r="E85" s="52"/>
      <c r="F85" s="25"/>
      <c r="G85" s="48" t="str">
        <f ca="1">IFERROR(__xludf.DUMMYFUNCTION("""COMPUTED_VALUE"""),"Frodsham")</f>
        <v>Frodsham</v>
      </c>
      <c r="H85" s="22">
        <f ca="1">IFERROR(__xludf.DUMMYFUNCTION("""COMPUTED_VALUE"""),31296)</f>
        <v>31296</v>
      </c>
      <c r="I85" s="23"/>
      <c r="J85" s="24"/>
      <c r="K85" s="25"/>
      <c r="L85" s="27" t="str">
        <f ca="1">IFERROR(__xludf.DUMMYFUNCTION("""COMPUTED_VALUE"""),"closed")</f>
        <v>closed</v>
      </c>
      <c r="M85" s="27"/>
      <c r="N85" s="25" t="str">
        <f ca="1">IFERROR(__xludf.DUMMYFUNCTION("""COMPUTED_VALUE"""),"BBRC-OK")</f>
        <v>BBRC-OK</v>
      </c>
      <c r="O85" s="28" t="str">
        <f ca="1">IFERROR(__xludf.DUMMYFUNCTION("""COMPUTED_VALUE"""),"Weaver Bend, Frodsham, juvenile, 6th to 16th September, photo.")</f>
        <v>Weaver Bend, Frodsham, juvenile, 6th to 16th September, photo.</v>
      </c>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row>
    <row r="86" spans="1:80" ht="12.75" hidden="1" customHeight="1">
      <c r="A86" s="10">
        <f ca="1">IFERROR(__xludf.DUMMYFUNCTION("""COMPUTED_VALUE"""),1985)</f>
        <v>1985</v>
      </c>
      <c r="B86" s="50">
        <f ca="1">IFERROR(__xludf.DUMMYFUNCTION("""COMPUTED_VALUE"""),44568)</f>
        <v>44568</v>
      </c>
      <c r="C86" s="41"/>
      <c r="D86" s="42" t="str">
        <f ca="1">IFERROR(__xludf.DUMMYFUNCTION("""COMPUTED_VALUE"""),"Laughing Gull")</f>
        <v>Laughing Gull</v>
      </c>
      <c r="E86" s="53">
        <f ca="1">IFERROR(__xludf.DUMMYFUNCTION("""COMPUTED_VALUE"""),1)</f>
        <v>1</v>
      </c>
      <c r="F86" s="15" t="str">
        <f ca="1">IFERROR(__xludf.DUMMYFUNCTION("""COMPUTED_VALUE"""),"2ndW")</f>
        <v>2ndW</v>
      </c>
      <c r="G86" s="44" t="str">
        <f ca="1">IFERROR(__xludf.DUMMYFUNCTION("""COMPUTED_VALUE"""),"Latchford Locks, Warrington")</f>
        <v>Latchford Locks, Warrington</v>
      </c>
      <c r="H86" s="12">
        <f ca="1">IFERROR(__xludf.DUMMYFUNCTION("""COMPUTED_VALUE"""),31372)</f>
        <v>31372</v>
      </c>
      <c r="I86" s="13"/>
      <c r="J86" s="14"/>
      <c r="K86" s="15"/>
      <c r="L86" s="17" t="str">
        <f ca="1">IFERROR(__xludf.DUMMYFUNCTION("""COMPUTED_VALUE"""),"closed")</f>
        <v>closed</v>
      </c>
      <c r="M86" s="17"/>
      <c r="N86" s="15" t="str">
        <f ca="1">IFERROR(__xludf.DUMMYFUNCTION("""COMPUTED_VALUE"""),"BBRC-OK")</f>
        <v>BBRC-OK</v>
      </c>
      <c r="O86" s="18" t="str">
        <f ca="1">IFERROR(__xludf.DUMMYFUNCTION("""COMPUTED_VALUE"""),"Latchford Locks, Warrington, second-winter, 21st November; presumed same, Woolston Eyes, 30th November.")</f>
        <v>Latchford Locks, Warrington, second-winter, 21st November; presumed same, Woolston Eyes, 30th November.</v>
      </c>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row>
    <row r="87" spans="1:80" ht="12.75" hidden="1" customHeight="1">
      <c r="A87" s="20">
        <f ca="1">IFERROR(__xludf.DUMMYFUNCTION("""COMPUTED_VALUE"""),1986)</f>
        <v>1986</v>
      </c>
      <c r="B87" s="45">
        <f ca="1">IFERROR(__xludf.DUMMYFUNCTION("""COMPUTED_VALUE"""),44568)</f>
        <v>44568</v>
      </c>
      <c r="C87" s="46"/>
      <c r="D87" s="47" t="str">
        <f ca="1">IFERROR(__xludf.DUMMYFUNCTION("""COMPUTED_VALUE"""),"Caspian Tern")</f>
        <v>Caspian Tern</v>
      </c>
      <c r="E87" s="52">
        <f ca="1">IFERROR(__xludf.DUMMYFUNCTION("""COMPUTED_VALUE"""),1)</f>
        <v>1</v>
      </c>
      <c r="F87" s="25"/>
      <c r="G87" s="48" t="str">
        <f ca="1">IFERROR(__xludf.DUMMYFUNCTION("""COMPUTED_VALUE"""),"Hilbre")</f>
        <v>Hilbre</v>
      </c>
      <c r="H87" s="22">
        <f ca="1">IFERROR(__xludf.DUMMYFUNCTION("""COMPUTED_VALUE"""),31563)</f>
        <v>31563</v>
      </c>
      <c r="I87" s="23"/>
      <c r="J87" s="24"/>
      <c r="K87" s="25"/>
      <c r="L87" s="27" t="str">
        <f ca="1">IFERROR(__xludf.DUMMYFUNCTION("""COMPUTED_VALUE"""),"closed")</f>
        <v>closed</v>
      </c>
      <c r="M87" s="27"/>
      <c r="N87" s="25" t="str">
        <f ca="1">IFERROR(__xludf.DUMMYFUNCTION("""COMPUTED_VALUE"""),"BBRC-OK")</f>
        <v>BBRC-OK</v>
      </c>
      <c r="O87" s="28" t="str">
        <f ca="1">IFERROR(__xludf.DUMMYFUNCTION("""COMPUTED_VALUE"""),"Hilbre Island, 31st May.")</f>
        <v>Hilbre Island, 31st May.</v>
      </c>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row>
    <row r="88" spans="1:80" ht="12.75" hidden="1" customHeight="1">
      <c r="A88" s="10">
        <f ca="1">IFERROR(__xludf.DUMMYFUNCTION("""COMPUTED_VALUE"""),1986)</f>
        <v>1986</v>
      </c>
      <c r="B88" s="50">
        <f ca="1">IFERROR(__xludf.DUMMYFUNCTION("""COMPUTED_VALUE"""),44568)</f>
        <v>44568</v>
      </c>
      <c r="C88" s="41"/>
      <c r="D88" s="42" t="str">
        <f ca="1">IFERROR(__xludf.DUMMYFUNCTION("""COMPUTED_VALUE"""),"Penduline Tit")</f>
        <v>Penduline Tit</v>
      </c>
      <c r="E88" s="53"/>
      <c r="F88" s="15"/>
      <c r="G88" s="44" t="str">
        <f ca="1">IFERROR(__xludf.DUMMYFUNCTION("""COMPUTED_VALUE"""),"Moreton")</f>
        <v>Moreton</v>
      </c>
      <c r="H88" s="12">
        <f ca="1">IFERROR(__xludf.DUMMYFUNCTION("""COMPUTED_VALUE"""),31669)</f>
        <v>31669</v>
      </c>
      <c r="I88" s="13"/>
      <c r="J88" s="14"/>
      <c r="K88" s="15"/>
      <c r="L88" s="17" t="str">
        <f ca="1">IFERROR(__xludf.DUMMYFUNCTION("""COMPUTED_VALUE"""),"closed")</f>
        <v>closed</v>
      </c>
      <c r="M88" s="17"/>
      <c r="N88" s="15" t="str">
        <f ca="1">IFERROR(__xludf.DUMMYFUNCTION("""COMPUTED_VALUE"""),"BBRC-OK")</f>
        <v>BBRC-OK</v>
      </c>
      <c r="O88" s="18" t="str">
        <f ca="1">IFERROR(__xludf.DUMMYFUNCTION("""COMPUTED_VALUE"""),"Moreton, Wirral, first-year, 14th September.")</f>
        <v>Moreton, Wirral, first-year, 14th September.</v>
      </c>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row>
    <row r="89" spans="1:80" ht="12.75" hidden="1" customHeight="1">
      <c r="A89" s="20">
        <f ca="1">IFERROR(__xludf.DUMMYFUNCTION("""COMPUTED_VALUE"""),1987)</f>
        <v>1987</v>
      </c>
      <c r="B89" s="45">
        <f ca="1">IFERROR(__xludf.DUMMYFUNCTION("""COMPUTED_VALUE"""),44568)</f>
        <v>44568</v>
      </c>
      <c r="C89" s="46"/>
      <c r="D89" s="47" t="str">
        <f ca="1">IFERROR(__xludf.DUMMYFUNCTION("""COMPUTED_VALUE"""),"Wilson's Phalarope")</f>
        <v>Wilson's Phalarope</v>
      </c>
      <c r="E89" s="52">
        <f ca="1">IFERROR(__xludf.DUMMYFUNCTION("""COMPUTED_VALUE"""),1)</f>
        <v>1</v>
      </c>
      <c r="F89" s="25"/>
      <c r="G89" s="48" t="str">
        <f ca="1">IFERROR(__xludf.DUMMYFUNCTION("""COMPUTED_VALUE"""),"Burton Marsh")</f>
        <v>Burton Marsh</v>
      </c>
      <c r="H89" s="22">
        <f ca="1">IFERROR(__xludf.DUMMYFUNCTION("""COMPUTED_VALUE"""),32041)</f>
        <v>32041</v>
      </c>
      <c r="I89" s="23"/>
      <c r="J89" s="24"/>
      <c r="K89" s="25"/>
      <c r="L89" s="27" t="str">
        <f ca="1">IFERROR(__xludf.DUMMYFUNCTION("""COMPUTED_VALUE"""),"closed")</f>
        <v>closed</v>
      </c>
      <c r="M89" s="27"/>
      <c r="N89" s="25" t="str">
        <f ca="1">IFERROR(__xludf.DUMMYFUNCTION("""COMPUTED_VALUE"""),"BBRC-OK")</f>
        <v>BBRC-OK</v>
      </c>
      <c r="O89" s="28" t="str">
        <f ca="1">IFERROR(__xludf.DUMMYFUNCTION("""COMPUTED_VALUE"""),"Burton Marsh, Denhall, age uncertain, discontinuously, 21st September to 4th October; same, Weaver Bend, Frodsham, 23rd to 25th and 30th September.")</f>
        <v>Burton Marsh, Denhall, age uncertain, discontinuously, 21st September to 4th October; same, Weaver Bend, Frodsham, 23rd to 25th and 30th September.</v>
      </c>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row>
    <row r="90" spans="1:80" ht="12.75" hidden="1" customHeight="1">
      <c r="A90" s="10">
        <f ca="1">IFERROR(__xludf.DUMMYFUNCTION("""COMPUTED_VALUE"""),1987)</f>
        <v>1987</v>
      </c>
      <c r="B90" s="50">
        <f ca="1">IFERROR(__xludf.DUMMYFUNCTION("""COMPUTED_VALUE"""),44568)</f>
        <v>44568</v>
      </c>
      <c r="C90" s="41"/>
      <c r="D90" s="42" t="str">
        <f ca="1">IFERROR(__xludf.DUMMYFUNCTION("""COMPUTED_VALUE"""),"Broad-billed Sandpiper")</f>
        <v>Broad-billed Sandpiper</v>
      </c>
      <c r="E90" s="53"/>
      <c r="F90" s="15"/>
      <c r="G90" s="44" t="str">
        <f ca="1">IFERROR(__xludf.DUMMYFUNCTION("""COMPUTED_VALUE"""),"Frodsham")</f>
        <v>Frodsham</v>
      </c>
      <c r="H90" s="12">
        <f ca="1">IFERROR(__xludf.DUMMYFUNCTION("""COMPUTED_VALUE"""),31908)</f>
        <v>31908</v>
      </c>
      <c r="I90" s="13"/>
      <c r="J90" s="14"/>
      <c r="K90" s="15"/>
      <c r="L90" s="17" t="str">
        <f ca="1">IFERROR(__xludf.DUMMYFUNCTION("""COMPUTED_VALUE"""),"closed")</f>
        <v>closed</v>
      </c>
      <c r="M90" s="17"/>
      <c r="N90" s="15" t="str">
        <f ca="1">IFERROR(__xludf.DUMMYFUNCTION("""COMPUTED_VALUE"""),"BBRC-OK")</f>
        <v>BBRC-OK</v>
      </c>
      <c r="O90" s="18" t="str">
        <f ca="1">IFERROR(__xludf.DUMMYFUNCTION("""COMPUTED_VALUE"""),"Frodsham, 11th to 12th May; same, Neumann's Flash, Northwich, 13th to 14th May.")</f>
        <v>Frodsham, 11th to 12th May; same, Neumann's Flash, Northwich, 13th to 14th May.</v>
      </c>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row>
    <row r="91" spans="1:80" ht="12.75" hidden="1" customHeight="1">
      <c r="A91" s="20">
        <f ca="1">IFERROR(__xludf.DUMMYFUNCTION("""COMPUTED_VALUE"""),1987)</f>
        <v>1987</v>
      </c>
      <c r="B91" s="45">
        <f ca="1">IFERROR(__xludf.DUMMYFUNCTION("""COMPUTED_VALUE"""),44568)</f>
        <v>44568</v>
      </c>
      <c r="C91" s="46"/>
      <c r="D91" s="47" t="str">
        <f ca="1">IFERROR(__xludf.DUMMYFUNCTION("""COMPUTED_VALUE"""),"Collared Pratincole")</f>
        <v>Collared Pratincole</v>
      </c>
      <c r="E91" s="52">
        <f ca="1">IFERROR(__xludf.DUMMYFUNCTION("""COMPUTED_VALUE"""),1)</f>
        <v>1</v>
      </c>
      <c r="F91" s="25"/>
      <c r="G91" s="48" t="str">
        <f ca="1">IFERROR(__xludf.DUMMYFUNCTION("""COMPUTED_VALUE"""),"Frodsham")</f>
        <v>Frodsham</v>
      </c>
      <c r="H91" s="22">
        <f ca="1">IFERROR(__xludf.DUMMYFUNCTION("""COMPUTED_VALUE"""),31895)</f>
        <v>31895</v>
      </c>
      <c r="I91" s="23"/>
      <c r="J91" s="24"/>
      <c r="K91" s="25"/>
      <c r="L91" s="27" t="str">
        <f ca="1">IFERROR(__xludf.DUMMYFUNCTION("""COMPUTED_VALUE"""),"closed")</f>
        <v>closed</v>
      </c>
      <c r="M91" s="27"/>
      <c r="N91" s="25" t="str">
        <f ca="1">IFERROR(__xludf.DUMMYFUNCTION("""COMPUTED_VALUE"""),"BBRC-OK")</f>
        <v>BBRC-OK</v>
      </c>
      <c r="O91" s="28" t="str">
        <f ca="1">IFERROR(__xludf.DUMMYFUNCTION("""COMPUTED_VALUE"""),"Frodsham, adult, 28th April to 1st May, photo.")</f>
        <v>Frodsham, adult, 28th April to 1st May, photo.</v>
      </c>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row>
    <row r="92" spans="1:80" ht="12.75" hidden="1" customHeight="1">
      <c r="A92" s="10">
        <f ca="1">IFERROR(__xludf.DUMMYFUNCTION("""COMPUTED_VALUE"""),1987)</f>
        <v>1987</v>
      </c>
      <c r="B92" s="50">
        <f ca="1">IFERROR(__xludf.DUMMYFUNCTION("""COMPUTED_VALUE"""),44568)</f>
        <v>44568</v>
      </c>
      <c r="C92" s="41"/>
      <c r="D92" s="42" t="str">
        <f ca="1">IFERROR(__xludf.DUMMYFUNCTION("""COMPUTED_VALUE"""),"Franklin's Gull")</f>
        <v>Franklin's Gull</v>
      </c>
      <c r="E92" s="53"/>
      <c r="F92" s="15"/>
      <c r="G92" s="44" t="str">
        <f ca="1">IFERROR(__xludf.DUMMYFUNCTION("""COMPUTED_VALUE"""),"Neumann's Flash")</f>
        <v>Neumann's Flash</v>
      </c>
      <c r="H92" s="12">
        <f ca="1">IFERROR(__xludf.DUMMYFUNCTION("""COMPUTED_VALUE"""),31908)</f>
        <v>31908</v>
      </c>
      <c r="I92" s="12"/>
      <c r="J92" s="14"/>
      <c r="K92" s="15"/>
      <c r="L92" s="17" t="str">
        <f ca="1">IFERROR(__xludf.DUMMYFUNCTION("""COMPUTED_VALUE"""),"closed")</f>
        <v>closed</v>
      </c>
      <c r="M92" s="17"/>
      <c r="N92" s="15" t="str">
        <f ca="1">IFERROR(__xludf.DUMMYFUNCTION("""COMPUTED_VALUE"""),"BBRC-OK")</f>
        <v>BBRC-OK</v>
      </c>
      <c r="O92" s="18" t="str">
        <f ca="1">IFERROR(__xludf.DUMMYFUNCTION("""COMPUTED_VALUE"""),"Neumann's Flash, adult, 11th, 14th, 15th, 17th May; same, Rostherne Mere, 16th to 17th May.")</f>
        <v>Neumann's Flash, adult, 11th, 14th, 15th, 17th May; same, Rostherne Mere, 16th to 17th May.</v>
      </c>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row>
    <row r="93" spans="1:80" ht="12.75" hidden="1" customHeight="1">
      <c r="A93" s="20">
        <f ca="1">IFERROR(__xludf.DUMMYFUNCTION("""COMPUTED_VALUE"""),1987)</f>
        <v>1987</v>
      </c>
      <c r="B93" s="45">
        <f ca="1">IFERROR(__xludf.DUMMYFUNCTION("""COMPUTED_VALUE"""),44568)</f>
        <v>44568</v>
      </c>
      <c r="C93" s="46"/>
      <c r="D93" s="47" t="str">
        <f ca="1">IFERROR(__xludf.DUMMYFUNCTION("""COMPUTED_VALUE"""),"Gull-billed Tern")</f>
        <v>Gull-billed Tern</v>
      </c>
      <c r="E93" s="52">
        <f ca="1">IFERROR(__xludf.DUMMYFUNCTION("""COMPUTED_VALUE"""),1)</f>
        <v>1</v>
      </c>
      <c r="F93" s="25"/>
      <c r="G93" s="48" t="str">
        <f ca="1">IFERROR(__xludf.DUMMYFUNCTION("""COMPUTED_VALUE"""),"Frodsham")</f>
        <v>Frodsham</v>
      </c>
      <c r="H93" s="22">
        <f ca="1">IFERROR(__xludf.DUMMYFUNCTION("""COMPUTED_VALUE"""),31928)</f>
        <v>31928</v>
      </c>
      <c r="I93" s="23"/>
      <c r="J93" s="24"/>
      <c r="K93" s="25"/>
      <c r="L93" s="27" t="str">
        <f ca="1">IFERROR(__xludf.DUMMYFUNCTION("""COMPUTED_VALUE"""),"closed")</f>
        <v>closed</v>
      </c>
      <c r="M93" s="27"/>
      <c r="N93" s="25" t="str">
        <f ca="1">IFERROR(__xludf.DUMMYFUNCTION("""COMPUTED_VALUE"""),"BBRC-OK")</f>
        <v>BBRC-OK</v>
      </c>
      <c r="O93" s="28" t="str">
        <f ca="1">IFERROR(__xludf.DUMMYFUNCTION("""COMPUTED_VALUE"""),"Frodsham, 31st May.")</f>
        <v>Frodsham, 31st May.</v>
      </c>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row>
    <row r="94" spans="1:80" ht="12.75" hidden="1" customHeight="1">
      <c r="A94" s="10">
        <f ca="1">IFERROR(__xludf.DUMMYFUNCTION("""COMPUTED_VALUE"""),1987)</f>
        <v>1987</v>
      </c>
      <c r="B94" s="50">
        <f ca="1">IFERROR(__xludf.DUMMYFUNCTION("""COMPUTED_VALUE"""),44568)</f>
        <v>44568</v>
      </c>
      <c r="C94" s="41"/>
      <c r="D94" s="42" t="str">
        <f ca="1">IFERROR(__xludf.DUMMYFUNCTION("""COMPUTED_VALUE"""),"Tawny Pipit")</f>
        <v>Tawny Pipit</v>
      </c>
      <c r="E94" s="53">
        <f ca="1">IFERROR(__xludf.DUMMYFUNCTION("""COMPUTED_VALUE"""),1)</f>
        <v>1</v>
      </c>
      <c r="F94" s="15"/>
      <c r="G94" s="44" t="str">
        <f ca="1">IFERROR(__xludf.DUMMYFUNCTION("""COMPUTED_VALUE"""),"Meols")</f>
        <v>Meols</v>
      </c>
      <c r="H94" s="12">
        <f ca="1">IFERROR(__xludf.DUMMYFUNCTION("""COMPUTED_VALUE"""),31920)</f>
        <v>31920</v>
      </c>
      <c r="I94" s="13"/>
      <c r="J94" s="14"/>
      <c r="K94" s="15"/>
      <c r="L94" s="17" t="str">
        <f ca="1">IFERROR(__xludf.DUMMYFUNCTION("""COMPUTED_VALUE"""),"closed")</f>
        <v>closed</v>
      </c>
      <c r="M94" s="17"/>
      <c r="N94" s="15" t="str">
        <f ca="1">IFERROR(__xludf.DUMMYFUNCTION("""COMPUTED_VALUE"""),"BBRC-OK")</f>
        <v>BBRC-OK</v>
      </c>
      <c r="O94" s="18"/>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row>
    <row r="95" spans="1:80" ht="12.75" hidden="1" customHeight="1">
      <c r="A95" s="20">
        <f ca="1">IFERROR(__xludf.DUMMYFUNCTION("""COMPUTED_VALUE"""),1988)</f>
        <v>1988</v>
      </c>
      <c r="B95" s="45">
        <f ca="1">IFERROR(__xludf.DUMMYFUNCTION("""COMPUTED_VALUE"""),44568)</f>
        <v>44568</v>
      </c>
      <c r="C95" s="46"/>
      <c r="D95" s="47" t="str">
        <f ca="1">IFERROR(__xludf.DUMMYFUNCTION("""COMPUTED_VALUE"""),"Lesser Yellowlegs")</f>
        <v>Lesser Yellowlegs</v>
      </c>
      <c r="E95" s="52"/>
      <c r="F95" s="25"/>
      <c r="G95" s="48" t="str">
        <f ca="1">IFERROR(__xludf.DUMMYFUNCTION("""COMPUTED_VALUE"""),"Frodsham")</f>
        <v>Frodsham</v>
      </c>
      <c r="H95" s="22">
        <f ca="1">IFERROR(__xludf.DUMMYFUNCTION("""COMPUTED_VALUE"""),32411)</f>
        <v>32411</v>
      </c>
      <c r="I95" s="23"/>
      <c r="J95" s="24"/>
      <c r="K95" s="25"/>
      <c r="L95" s="27" t="str">
        <f ca="1">IFERROR(__xludf.DUMMYFUNCTION("""COMPUTED_VALUE"""),"closed")</f>
        <v>closed</v>
      </c>
      <c r="M95" s="27"/>
      <c r="N95" s="25" t="str">
        <f ca="1">IFERROR(__xludf.DUMMYFUNCTION("""COMPUTED_VALUE"""),"BBRC-OK")</f>
        <v>BBRC-OK</v>
      </c>
      <c r="O95" s="28" t="str">
        <f ca="1">IFERROR(__xludf.DUMMYFUNCTION("""COMPUTED_VALUE"""),"Weaver Bend, Frodsham, juvenile, 25th September; presumed same as Lancashire &amp; North Merseyside individual.")</f>
        <v>Weaver Bend, Frodsham, juvenile, 25th September; presumed same as Lancashire &amp; North Merseyside individual.</v>
      </c>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row>
    <row r="96" spans="1:80" ht="12.75" hidden="1" customHeight="1">
      <c r="A96" s="10">
        <f ca="1">IFERROR(__xludf.DUMMYFUNCTION("""COMPUTED_VALUE"""),1988)</f>
        <v>1988</v>
      </c>
      <c r="B96" s="50">
        <f ca="1">IFERROR(__xludf.DUMMYFUNCTION("""COMPUTED_VALUE"""),44568)</f>
        <v>44568</v>
      </c>
      <c r="C96" s="41"/>
      <c r="D96" s="42" t="str">
        <f ca="1">IFERROR(__xludf.DUMMYFUNCTION("""COMPUTED_VALUE"""),"Black-winged Pratincole")</f>
        <v>Black-winged Pratincole</v>
      </c>
      <c r="E96" s="53"/>
      <c r="F96" s="15"/>
      <c r="G96" s="44" t="str">
        <f ca="1">IFERROR(__xludf.DUMMYFUNCTION("""COMPUTED_VALUE"""),"Inner Marsh Farm RSPB")</f>
        <v>Inner Marsh Farm RSPB</v>
      </c>
      <c r="H96" s="12">
        <f ca="1">IFERROR(__xludf.DUMMYFUNCTION("""COMPUTED_VALUE"""),32296)</f>
        <v>32296</v>
      </c>
      <c r="I96" s="12"/>
      <c r="J96" s="14"/>
      <c r="K96" s="15"/>
      <c r="L96" s="17" t="str">
        <f ca="1">IFERROR(__xludf.DUMMYFUNCTION("""COMPUTED_VALUE"""),"closed")</f>
        <v>closed</v>
      </c>
      <c r="M96" s="17"/>
      <c r="N96" s="15" t="str">
        <f ca="1">IFERROR(__xludf.DUMMYFUNCTION("""COMPUTED_VALUE"""),"BBRC-OK")</f>
        <v>BBRC-OK</v>
      </c>
      <c r="O96" s="18" t="str">
        <f ca="1">IFERROR(__xludf.DUMMYFUNCTION("""COMPUTED_VALUE"""),"Inner Marsh Farm RSPB, adult, 2nd June; same as Flintshire.")</f>
        <v>Inner Marsh Farm RSPB, adult, 2nd June; same as Flintshire.</v>
      </c>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row>
    <row r="97" spans="1:80" ht="12.75" hidden="1" customHeight="1">
      <c r="A97" s="20">
        <f ca="1">IFERROR(__xludf.DUMMYFUNCTION("""COMPUTED_VALUE"""),1988)</f>
        <v>1988</v>
      </c>
      <c r="B97" s="45">
        <f ca="1">IFERROR(__xludf.DUMMYFUNCTION("""COMPUTED_VALUE"""),44568)</f>
        <v>44568</v>
      </c>
      <c r="C97" s="46"/>
      <c r="D97" s="47" t="str">
        <f ca="1">IFERROR(__xludf.DUMMYFUNCTION("""COMPUTED_VALUE"""),"Caspian Tern")</f>
        <v>Caspian Tern</v>
      </c>
      <c r="E97" s="52">
        <f ca="1">IFERROR(__xludf.DUMMYFUNCTION("""COMPUTED_VALUE"""),1)</f>
        <v>1</v>
      </c>
      <c r="F97" s="25"/>
      <c r="G97" s="48" t="str">
        <f ca="1">IFERROR(__xludf.DUMMYFUNCTION("""COMPUTED_VALUE"""),"Northwich")</f>
        <v>Northwich</v>
      </c>
      <c r="H97" s="22">
        <f ca="1">IFERROR(__xludf.DUMMYFUNCTION("""COMPUTED_VALUE"""),32271)</f>
        <v>32271</v>
      </c>
      <c r="I97" s="23"/>
      <c r="J97" s="24"/>
      <c r="K97" s="25"/>
      <c r="L97" s="27" t="str">
        <f ca="1">IFERROR(__xludf.DUMMYFUNCTION("""COMPUTED_VALUE"""),"closed")</f>
        <v>closed</v>
      </c>
      <c r="M97" s="27"/>
      <c r="N97" s="25" t="str">
        <f ca="1">IFERROR(__xludf.DUMMYFUNCTION("""COMPUTED_VALUE"""),"BBRC-OK")</f>
        <v>BBRC-OK</v>
      </c>
      <c r="O97" s="28" t="str">
        <f ca="1">IFERROR(__xludf.DUMMYFUNCTION("""COMPUTED_VALUE"""),"Northwich, 8th May; probably same as Lincolnshire, 5th May; also in Leicestershire &amp; Rutland, Warwickshire.")</f>
        <v>Northwich, 8th May; probably same as Lincolnshire, 5th May; also in Leicestershire &amp; Rutland, Warwickshire.</v>
      </c>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row>
    <row r="98" spans="1:80" ht="12.75" hidden="1" customHeight="1">
      <c r="A98" s="10">
        <f ca="1">IFERROR(__xludf.DUMMYFUNCTION("""COMPUTED_VALUE"""),1988)</f>
        <v>1988</v>
      </c>
      <c r="B98" s="50">
        <f ca="1">IFERROR(__xludf.DUMMYFUNCTION("""COMPUTED_VALUE"""),44568)</f>
        <v>44568</v>
      </c>
      <c r="C98" s="41"/>
      <c r="D98" s="42" t="str">
        <f ca="1">IFERROR(__xludf.DUMMYFUNCTION("""COMPUTED_VALUE"""),"Caspian Tern")</f>
        <v>Caspian Tern</v>
      </c>
      <c r="E98" s="53">
        <f ca="1">IFERROR(__xludf.DUMMYFUNCTION("""COMPUTED_VALUE"""),1)</f>
        <v>1</v>
      </c>
      <c r="F98" s="15"/>
      <c r="G98" s="44" t="str">
        <f ca="1">IFERROR(__xludf.DUMMYFUNCTION("""COMPUTED_VALUE"""),"Neumann's Flash")</f>
        <v>Neumann's Flash</v>
      </c>
      <c r="H98" s="12">
        <f ca="1">IFERROR(__xludf.DUMMYFUNCTION("""COMPUTED_VALUE"""),32320)</f>
        <v>32320</v>
      </c>
      <c r="I98" s="13"/>
      <c r="J98" s="14"/>
      <c r="K98" s="15"/>
      <c r="L98" s="17" t="str">
        <f ca="1">IFERROR(__xludf.DUMMYFUNCTION("""COMPUTED_VALUE"""),"closed")</f>
        <v>closed</v>
      </c>
      <c r="M98" s="17"/>
      <c r="N98" s="15" t="str">
        <f ca="1">IFERROR(__xludf.DUMMYFUNCTION("""COMPUTED_VALUE"""),"BBRC-OK")</f>
        <v>BBRC-OK</v>
      </c>
      <c r="O98" s="18" t="str">
        <f ca="1">IFERROR(__xludf.DUMMYFUNCTION("""COMPUTED_VALUE"""),"Neumann's Flash, 26th June; presumed same as Ogston Reservoir, Derbyshire individual, 26th June.")</f>
        <v>Neumann's Flash, 26th June; presumed same as Ogston Reservoir, Derbyshire individual, 26th June.</v>
      </c>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row>
    <row r="99" spans="1:80" ht="12.75" hidden="1" customHeight="1">
      <c r="A99" s="20">
        <f ca="1">IFERROR(__xludf.DUMMYFUNCTION("""COMPUTED_VALUE"""),1989)</f>
        <v>1989</v>
      </c>
      <c r="B99" s="45">
        <f ca="1">IFERROR(__xludf.DUMMYFUNCTION("""COMPUTED_VALUE"""),44568)</f>
        <v>44568</v>
      </c>
      <c r="C99" s="46"/>
      <c r="D99" s="47" t="str">
        <f ca="1">IFERROR(__xludf.DUMMYFUNCTION("""COMPUTED_VALUE"""),"Gull-billed Tern")</f>
        <v>Gull-billed Tern</v>
      </c>
      <c r="E99" s="52">
        <f ca="1">IFERROR(__xludf.DUMMYFUNCTION("""COMPUTED_VALUE"""),1)</f>
        <v>1</v>
      </c>
      <c r="F99" s="25"/>
      <c r="G99" s="48" t="str">
        <f ca="1">IFERROR(__xludf.DUMMYFUNCTION("""COMPUTED_VALUE"""),"Burton")</f>
        <v>Burton</v>
      </c>
      <c r="H99" s="22">
        <f ca="1">IFERROR(__xludf.DUMMYFUNCTION("""COMPUTED_VALUE"""),32675)</f>
        <v>32675</v>
      </c>
      <c r="I99" s="22"/>
      <c r="J99" s="24"/>
      <c r="K99" s="25"/>
      <c r="L99" s="27" t="str">
        <f ca="1">IFERROR(__xludf.DUMMYFUNCTION("""COMPUTED_VALUE"""),"closed")</f>
        <v>closed</v>
      </c>
      <c r="M99" s="27"/>
      <c r="N99" s="25" t="str">
        <f ca="1">IFERROR(__xludf.DUMMYFUNCTION("""COMPUTED_VALUE"""),"BBRC-OK")</f>
        <v>BBRC-OK</v>
      </c>
      <c r="O99" s="28" t="str">
        <f ca="1">IFERROR(__xludf.DUMMYFUNCTION("""COMPUTED_VALUE"""),"Burton Marsh, Denhall, 16th June; presumed same as Staffordshire individual.")</f>
        <v>Burton Marsh, Denhall, 16th June; presumed same as Staffordshire individual.</v>
      </c>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row>
    <row r="100" spans="1:80" ht="12.75" hidden="1" customHeight="1">
      <c r="A100" s="10">
        <f ca="1">IFERROR(__xludf.DUMMYFUNCTION("""COMPUTED_VALUE"""),1990)</f>
        <v>1990</v>
      </c>
      <c r="B100" s="50">
        <f ca="1">IFERROR(__xludf.DUMMYFUNCTION("""COMPUTED_VALUE"""),44568)</f>
        <v>44568</v>
      </c>
      <c r="C100" s="41"/>
      <c r="D100" s="42" t="str">
        <f ca="1">IFERROR(__xludf.DUMMYFUNCTION("""COMPUTED_VALUE"""),"Wilson's Phalarope")</f>
        <v>Wilson's Phalarope</v>
      </c>
      <c r="E100" s="53">
        <f ca="1">IFERROR(__xludf.DUMMYFUNCTION("""COMPUTED_VALUE"""),1)</f>
        <v>1</v>
      </c>
      <c r="F100" s="15"/>
      <c r="G100" s="44" t="str">
        <f ca="1">IFERROR(__xludf.DUMMYFUNCTION("""COMPUTED_VALUE"""),"Burton Marsh")</f>
        <v>Burton Marsh</v>
      </c>
      <c r="H100" s="12">
        <f ca="1">IFERROR(__xludf.DUMMYFUNCTION("""COMPUTED_VALUE"""),33148)</f>
        <v>33148</v>
      </c>
      <c r="I100" s="13"/>
      <c r="J100" s="14"/>
      <c r="K100" s="15"/>
      <c r="L100" s="17" t="str">
        <f ca="1">IFERROR(__xludf.DUMMYFUNCTION("""COMPUTED_VALUE"""),"closed")</f>
        <v>closed</v>
      </c>
      <c r="M100" s="17"/>
      <c r="N100" s="15" t="str">
        <f ca="1">IFERROR(__xludf.DUMMYFUNCTION("""COMPUTED_VALUE"""),"BBRC-OK")</f>
        <v>BBRC-OK</v>
      </c>
      <c r="O100" s="18" t="str">
        <f ca="1">IFERROR(__xludf.DUMMYFUNCTION("""COMPUTED_VALUE"""),"Burton Marsh, Denhall, juvenile to first-winter, 2nd to 5th October.")</f>
        <v>Burton Marsh, Denhall, juvenile to first-winter, 2nd to 5th October.</v>
      </c>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row>
    <row r="101" spans="1:80" ht="12.75" hidden="1" customHeight="1">
      <c r="A101" s="20">
        <f ca="1">IFERROR(__xludf.DUMMYFUNCTION("""COMPUTED_VALUE"""),1990)</f>
        <v>1990</v>
      </c>
      <c r="B101" s="45">
        <f ca="1">IFERROR(__xludf.DUMMYFUNCTION("""COMPUTED_VALUE"""),44568)</f>
        <v>44568</v>
      </c>
      <c r="C101" s="46"/>
      <c r="D101" s="47" t="str">
        <f ca="1">IFERROR(__xludf.DUMMYFUNCTION("""COMPUTED_VALUE"""),"Broad-billed Sandpiper")</f>
        <v>Broad-billed Sandpiper</v>
      </c>
      <c r="E101" s="52"/>
      <c r="F101" s="25"/>
      <c r="G101" s="48" t="str">
        <f ca="1">IFERROR(__xludf.DUMMYFUNCTION("""COMPUTED_VALUE"""),"Inner Marsh Farm RSPB")</f>
        <v>Inner Marsh Farm RSPB</v>
      </c>
      <c r="H101" s="22">
        <f ca="1">IFERROR(__xludf.DUMMYFUNCTION("""COMPUTED_VALUE"""),33001)</f>
        <v>33001</v>
      </c>
      <c r="I101" s="22"/>
      <c r="J101" s="24"/>
      <c r="K101" s="25"/>
      <c r="L101" s="27" t="str">
        <f ca="1">IFERROR(__xludf.DUMMYFUNCTION("""COMPUTED_VALUE"""),"closed")</f>
        <v>closed</v>
      </c>
      <c r="M101" s="27"/>
      <c r="N101" s="25" t="str">
        <f ca="1">IFERROR(__xludf.DUMMYFUNCTION("""COMPUTED_VALUE"""),"BBRC-OK")</f>
        <v>BBRC-OK</v>
      </c>
      <c r="O101" s="28" t="str">
        <f ca="1">IFERROR(__xludf.DUMMYFUNCTION("""COMPUTED_VALUE"""),"Inner Marsh Farm RSPB, 8th to 13th May.")</f>
        <v>Inner Marsh Farm RSPB, 8th to 13th May.</v>
      </c>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row>
    <row r="102" spans="1:80" ht="12.75" hidden="1" customHeight="1">
      <c r="A102" s="10">
        <f ca="1">IFERROR(__xludf.DUMMYFUNCTION("""COMPUTED_VALUE"""),1990)</f>
        <v>1990</v>
      </c>
      <c r="B102" s="50">
        <f ca="1">IFERROR(__xludf.DUMMYFUNCTION("""COMPUTED_VALUE"""),44568)</f>
        <v>44568</v>
      </c>
      <c r="C102" s="41"/>
      <c r="D102" s="42" t="str">
        <f ca="1">IFERROR(__xludf.DUMMYFUNCTION("""COMPUTED_VALUE"""),"Long-billed Dowitcher")</f>
        <v>Long-billed Dowitcher</v>
      </c>
      <c r="E102" s="53"/>
      <c r="F102" s="15"/>
      <c r="G102" s="44" t="str">
        <f ca="1">IFERROR(__xludf.DUMMYFUNCTION("""COMPUTED_VALUE"""),"Frodsham")</f>
        <v>Frodsham</v>
      </c>
      <c r="H102" s="12">
        <f ca="1">IFERROR(__xludf.DUMMYFUNCTION("""COMPUTED_VALUE"""),33093)</f>
        <v>33093</v>
      </c>
      <c r="I102" s="13"/>
      <c r="J102" s="14"/>
      <c r="K102" s="15"/>
      <c r="L102" s="17" t="str">
        <f ca="1">IFERROR(__xludf.DUMMYFUNCTION("""COMPUTED_VALUE"""),"closed")</f>
        <v>closed</v>
      </c>
      <c r="M102" s="17"/>
      <c r="N102" s="15" t="str">
        <f ca="1">IFERROR(__xludf.DUMMYFUNCTION("""COMPUTED_VALUE"""),"BBRC-OK")</f>
        <v>BBRC-OK</v>
      </c>
      <c r="O102" s="18" t="str">
        <f ca="1">IFERROR(__xludf.DUMMYFUNCTION("""COMPUTED_VALUE"""),"Weaver Bend and ICI Lagoon, Frodsham, adult, 8th to 13th August, photo.")</f>
        <v>Weaver Bend and ICI Lagoon, Frodsham, adult, 8th to 13th August, photo.</v>
      </c>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row>
    <row r="103" spans="1:80" ht="12.75" hidden="1" customHeight="1">
      <c r="A103" s="20">
        <f ca="1">IFERROR(__xludf.DUMMYFUNCTION("""COMPUTED_VALUE"""),1990)</f>
        <v>1990</v>
      </c>
      <c r="B103" s="45">
        <f ca="1">IFERROR(__xludf.DUMMYFUNCTION("""COMPUTED_VALUE"""),44568)</f>
        <v>44568</v>
      </c>
      <c r="C103" s="46"/>
      <c r="D103" s="47" t="str">
        <f ca="1">IFERROR(__xludf.DUMMYFUNCTION("""COMPUTED_VALUE"""),"Marsh Sandpiper")</f>
        <v>Marsh Sandpiper</v>
      </c>
      <c r="E103" s="52"/>
      <c r="F103" s="25"/>
      <c r="G103" s="48" t="str">
        <f ca="1">IFERROR(__xludf.DUMMYFUNCTION("""COMPUTED_VALUE"""),"Sandbach")</f>
        <v>Sandbach</v>
      </c>
      <c r="H103" s="22">
        <f ca="1">IFERROR(__xludf.DUMMYFUNCTION("""COMPUTED_VALUE"""),33013)</f>
        <v>33013</v>
      </c>
      <c r="I103" s="23"/>
      <c r="J103" s="24"/>
      <c r="K103" s="25"/>
      <c r="L103" s="27" t="str">
        <f ca="1">IFERROR(__xludf.DUMMYFUNCTION("""COMPUTED_VALUE"""),"closed")</f>
        <v>closed</v>
      </c>
      <c r="M103" s="27"/>
      <c r="N103" s="25" t="str">
        <f ca="1">IFERROR(__xludf.DUMMYFUNCTION("""COMPUTED_VALUE"""),"BBRC-OK")</f>
        <v>BBRC-OK</v>
      </c>
      <c r="O103" s="28" t="str">
        <f ca="1">IFERROR(__xludf.DUMMYFUNCTION("""COMPUTED_VALUE"""),"Sandbach Flashes, 20th to 21st May.")</f>
        <v>Sandbach Flashes, 20th to 21st May.</v>
      </c>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row>
    <row r="104" spans="1:80" ht="12.75" hidden="1" customHeight="1">
      <c r="A104" s="10">
        <f ca="1">IFERROR(__xludf.DUMMYFUNCTION("""COMPUTED_VALUE"""),1990)</f>
        <v>1990</v>
      </c>
      <c r="B104" s="50">
        <f ca="1">IFERROR(__xludf.DUMMYFUNCTION("""COMPUTED_VALUE"""),44568)</f>
        <v>44568</v>
      </c>
      <c r="C104" s="41"/>
      <c r="D104" s="42" t="str">
        <f ca="1">IFERROR(__xludf.DUMMYFUNCTION("""COMPUTED_VALUE"""),"Bonaparte's Gull")</f>
        <v>Bonaparte's Gull</v>
      </c>
      <c r="E104" s="53">
        <f ca="1">IFERROR(__xludf.DUMMYFUNCTION("""COMPUTED_VALUE"""),1)</f>
        <v>1</v>
      </c>
      <c r="F104" s="15" t="str">
        <f ca="1">IFERROR(__xludf.DUMMYFUNCTION("""COMPUTED_VALUE"""),"ad")</f>
        <v>ad</v>
      </c>
      <c r="G104" s="44" t="str">
        <f ca="1">IFERROR(__xludf.DUMMYFUNCTION("""COMPUTED_VALUE"""),"New Brighton")</f>
        <v>New Brighton</v>
      </c>
      <c r="H104" s="12">
        <f ca="1">IFERROR(__xludf.DUMMYFUNCTION("""COMPUTED_VALUE"""),32985)</f>
        <v>32985</v>
      </c>
      <c r="I104" s="12"/>
      <c r="J104" s="14"/>
      <c r="K104" s="15"/>
      <c r="L104" s="17" t="str">
        <f ca="1">IFERROR(__xludf.DUMMYFUNCTION("""COMPUTED_VALUE"""),"closed")</f>
        <v>closed</v>
      </c>
      <c r="M104" s="17"/>
      <c r="N104" s="15" t="str">
        <f ca="1">IFERROR(__xludf.DUMMYFUNCTION("""COMPUTED_VALUE"""),"BBRC-OK")</f>
        <v>BBRC-OK</v>
      </c>
      <c r="O104" s="18" t="str">
        <f ca="1">IFERROR(__xludf.DUMMYFUNCTION("""COMPUTED_VALUE"""),"New Brighton, Wirral, adult, 22nd, 24th, 29th April, photo; same as Lancashire &amp; North Merseyside.")</f>
        <v>New Brighton, Wirral, adult, 22nd, 24th, 29th April, photo; same as Lancashire &amp; North Merseyside.</v>
      </c>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row>
    <row r="105" spans="1:80" ht="12.75" hidden="1" customHeight="1">
      <c r="A105" s="20">
        <f ca="1">IFERROR(__xludf.DUMMYFUNCTION("""COMPUTED_VALUE"""),1990)</f>
        <v>1990</v>
      </c>
      <c r="B105" s="45">
        <f ca="1">IFERROR(__xludf.DUMMYFUNCTION("""COMPUTED_VALUE"""),44568)</f>
        <v>44568</v>
      </c>
      <c r="C105" s="46"/>
      <c r="D105" s="47" t="str">
        <f ca="1">IFERROR(__xludf.DUMMYFUNCTION("""COMPUTED_VALUE"""),"Red-throated Pipit")</f>
        <v>Red-throated Pipit</v>
      </c>
      <c r="E105" s="52">
        <f ca="1">IFERROR(__xludf.DUMMYFUNCTION("""COMPUTED_VALUE"""),1)</f>
        <v>1</v>
      </c>
      <c r="F105" s="25"/>
      <c r="G105" s="48" t="str">
        <f ca="1">IFERROR(__xludf.DUMMYFUNCTION("""COMPUTED_VALUE"""),"Moreton")</f>
        <v>Moreton</v>
      </c>
      <c r="H105" s="22">
        <f ca="1">IFERROR(__xludf.DUMMYFUNCTION("""COMPUTED_VALUE"""),33162)</f>
        <v>33162</v>
      </c>
      <c r="I105" s="22">
        <f ca="1">IFERROR(__xludf.DUMMYFUNCTION("""COMPUTED_VALUE"""),33164)</f>
        <v>33164</v>
      </c>
      <c r="J105" s="24"/>
      <c r="K105" s="25"/>
      <c r="L105" s="27" t="str">
        <f ca="1">IFERROR(__xludf.DUMMYFUNCTION("""COMPUTED_VALUE"""),"closed")</f>
        <v>closed</v>
      </c>
      <c r="M105" s="27"/>
      <c r="N105" s="25" t="str">
        <f ca="1">IFERROR(__xludf.DUMMYFUNCTION("""COMPUTED_VALUE"""),"BBRC-OK")</f>
        <v>BBRC-OK</v>
      </c>
      <c r="O105" s="28"/>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row>
    <row r="106" spans="1:80" ht="12.75" hidden="1" customHeight="1">
      <c r="A106" s="10">
        <f ca="1">IFERROR(__xludf.DUMMYFUNCTION("""COMPUTED_VALUE"""),1990)</f>
        <v>1990</v>
      </c>
      <c r="B106" s="50">
        <f ca="1">IFERROR(__xludf.DUMMYFUNCTION("""COMPUTED_VALUE"""),44568)</f>
        <v>44568</v>
      </c>
      <c r="C106" s="41"/>
      <c r="D106" s="42" t="str">
        <f ca="1">IFERROR(__xludf.DUMMYFUNCTION("""COMPUTED_VALUE"""),"Red-throated Pipit")</f>
        <v>Red-throated Pipit</v>
      </c>
      <c r="E106" s="53">
        <f ca="1">IFERROR(__xludf.DUMMYFUNCTION("""COMPUTED_VALUE"""),1)</f>
        <v>1</v>
      </c>
      <c r="F106" s="15"/>
      <c r="G106" s="44" t="str">
        <f ca="1">IFERROR(__xludf.DUMMYFUNCTION("""COMPUTED_VALUE"""),"Red Rocks, Hoylake")</f>
        <v>Red Rocks, Hoylake</v>
      </c>
      <c r="H106" s="12">
        <f ca="1">IFERROR(__xludf.DUMMYFUNCTION("""COMPUTED_VALUE"""),33132)</f>
        <v>33132</v>
      </c>
      <c r="I106" s="12">
        <f ca="1">IFERROR(__xludf.DUMMYFUNCTION("""COMPUTED_VALUE"""),33134)</f>
        <v>33134</v>
      </c>
      <c r="J106" s="14"/>
      <c r="K106" s="15"/>
      <c r="L106" s="17" t="str">
        <f ca="1">IFERROR(__xludf.DUMMYFUNCTION("""COMPUTED_VALUE"""),"closed")</f>
        <v>closed</v>
      </c>
      <c r="M106" s="17"/>
      <c r="N106" s="15" t="str">
        <f ca="1">IFERROR(__xludf.DUMMYFUNCTION("""COMPUTED_VALUE"""),"BBRC-OK")</f>
        <v>BBRC-OK</v>
      </c>
      <c r="O106" s="18"/>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row>
    <row r="107" spans="1:80" ht="12.75" hidden="1" customHeight="1">
      <c r="A107" s="20">
        <f ca="1">IFERROR(__xludf.DUMMYFUNCTION("""COMPUTED_VALUE"""),1991)</f>
        <v>1991</v>
      </c>
      <c r="B107" s="45">
        <f ca="1">IFERROR(__xludf.DUMMYFUNCTION("""COMPUTED_VALUE"""),44568)</f>
        <v>44568</v>
      </c>
      <c r="C107" s="46"/>
      <c r="D107" s="47" t="str">
        <f ca="1">IFERROR(__xludf.DUMMYFUNCTION("""COMPUTED_VALUE"""),"Wilson's Phalarope")</f>
        <v>Wilson's Phalarope</v>
      </c>
      <c r="E107" s="52">
        <f ca="1">IFERROR(__xludf.DUMMYFUNCTION("""COMPUTED_VALUE"""),1)</f>
        <v>1</v>
      </c>
      <c r="F107" s="25"/>
      <c r="G107" s="48" t="str">
        <f ca="1">IFERROR(__xludf.DUMMYFUNCTION("""COMPUTED_VALUE"""),"Woolston Eyes")</f>
        <v>Woolston Eyes</v>
      </c>
      <c r="H107" s="22">
        <f ca="1">IFERROR(__xludf.DUMMYFUNCTION("""COMPUTED_VALUE"""),33530)</f>
        <v>33530</v>
      </c>
      <c r="I107" s="23"/>
      <c r="J107" s="24"/>
      <c r="K107" s="25"/>
      <c r="L107" s="27" t="str">
        <f ca="1">IFERROR(__xludf.DUMMYFUNCTION("""COMPUTED_VALUE"""),"closed")</f>
        <v>closed</v>
      </c>
      <c r="M107" s="27"/>
      <c r="N107" s="25" t="str">
        <f ca="1">IFERROR(__xludf.DUMMYFUNCTION("""COMPUTED_VALUE"""),"BBRC-OK")</f>
        <v>BBRC-OK</v>
      </c>
      <c r="O107" s="28" t="str">
        <f ca="1">IFERROR(__xludf.DUMMYFUNCTION("""COMPUTED_VALUE"""),"Woolston Eyes, first-winter, 19th October to 4th November.")</f>
        <v>Woolston Eyes, first-winter, 19th October to 4th November.</v>
      </c>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row>
    <row r="108" spans="1:80" ht="12.75" hidden="1" customHeight="1">
      <c r="A108" s="10">
        <f ca="1">IFERROR(__xludf.DUMMYFUNCTION("""COMPUTED_VALUE"""),1991)</f>
        <v>1991</v>
      </c>
      <c r="B108" s="50">
        <f ca="1">IFERROR(__xludf.DUMMYFUNCTION("""COMPUTED_VALUE"""),44568)</f>
        <v>44568</v>
      </c>
      <c r="C108" s="41"/>
      <c r="D108" s="42" t="str">
        <f ca="1">IFERROR(__xludf.DUMMYFUNCTION("""COMPUTED_VALUE"""),"Bonaparte's Gull")</f>
        <v>Bonaparte's Gull</v>
      </c>
      <c r="E108" s="53">
        <f ca="1">IFERROR(__xludf.DUMMYFUNCTION("""COMPUTED_VALUE"""),1)</f>
        <v>1</v>
      </c>
      <c r="F108" s="15" t="str">
        <f ca="1">IFERROR(__xludf.DUMMYFUNCTION("""COMPUTED_VALUE"""),"ad")</f>
        <v>ad</v>
      </c>
      <c r="G108" s="44" t="str">
        <f ca="1">IFERROR(__xludf.DUMMYFUNCTION("""COMPUTED_VALUE"""),"New Brighton")</f>
        <v>New Brighton</v>
      </c>
      <c r="H108" s="12">
        <f ca="1">IFERROR(__xludf.DUMMYFUNCTION("""COMPUTED_VALUE"""),33317)</f>
        <v>33317</v>
      </c>
      <c r="I108" s="13"/>
      <c r="J108" s="14"/>
      <c r="K108" s="15"/>
      <c r="L108" s="17" t="str">
        <f ca="1">IFERROR(__xludf.DUMMYFUNCTION("""COMPUTED_VALUE"""),"closed")</f>
        <v>closed</v>
      </c>
      <c r="M108" s="17"/>
      <c r="N108" s="15" t="str">
        <f ca="1">IFERROR(__xludf.DUMMYFUNCTION("""COMPUTED_VALUE"""),"BBRC-OK")</f>
        <v>BBRC-OK</v>
      </c>
      <c r="O108" s="18" t="str">
        <f ca="1">IFERROR(__xludf.DUMMYFUNCTION("""COMPUTED_VALUE"""),"New Brighton, Wirral, adult, intermittently, 20th March to 20th April; same as Lancashire &amp; North Merseyside; presumed returning individual.")</f>
        <v>New Brighton, Wirral, adult, intermittently, 20th March to 20th April; same as Lancashire &amp; North Merseyside; presumed returning individual.</v>
      </c>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row>
    <row r="109" spans="1:80" ht="12.75" hidden="1" customHeight="1">
      <c r="A109" s="20">
        <f ca="1">IFERROR(__xludf.DUMMYFUNCTION("""COMPUTED_VALUE"""),1992)</f>
        <v>1992</v>
      </c>
      <c r="B109" s="45">
        <f ca="1">IFERROR(__xludf.DUMMYFUNCTION("""COMPUTED_VALUE"""),44568)</f>
        <v>44568</v>
      </c>
      <c r="C109" s="46"/>
      <c r="D109" s="47" t="str">
        <f ca="1">IFERROR(__xludf.DUMMYFUNCTION("""COMPUTED_VALUE"""),"Blue-winged Teal")</f>
        <v>Blue-winged Teal</v>
      </c>
      <c r="E109" s="52"/>
      <c r="F109" s="25"/>
      <c r="G109" s="48" t="str">
        <f ca="1">IFERROR(__xludf.DUMMYFUNCTION("""COMPUTED_VALUE"""),"Inner Marsh Farm RSPB")</f>
        <v>Inner Marsh Farm RSPB</v>
      </c>
      <c r="H109" s="22">
        <f ca="1">IFERROR(__xludf.DUMMYFUNCTION("""COMPUTED_VALUE"""),33751)</f>
        <v>33751</v>
      </c>
      <c r="I109" s="23"/>
      <c r="J109" s="24"/>
      <c r="K109" s="25"/>
      <c r="L109" s="27" t="str">
        <f ca="1">IFERROR(__xludf.DUMMYFUNCTION("""COMPUTED_VALUE"""),"closed")</f>
        <v>closed</v>
      </c>
      <c r="M109" s="27"/>
      <c r="N109" s="25" t="str">
        <f ca="1">IFERROR(__xludf.DUMMYFUNCTION("""COMPUTED_VALUE"""),"BBRC-OK")</f>
        <v>BBRC-OK</v>
      </c>
      <c r="O109" s="28" t="str">
        <f ca="1">IFERROR(__xludf.DUMMYFUNCTION("""COMPUTED_VALUE"""),"Inner Marsh Farm RSPB, male, 27th to 28th May.")</f>
        <v>Inner Marsh Farm RSPB, male, 27th to 28th May.</v>
      </c>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row>
    <row r="110" spans="1:80" ht="12.75" hidden="1" customHeight="1">
      <c r="A110" s="10">
        <f ca="1">IFERROR(__xludf.DUMMYFUNCTION("""COMPUTED_VALUE"""),1992)</f>
        <v>1992</v>
      </c>
      <c r="B110" s="50">
        <f ca="1">IFERROR(__xludf.DUMMYFUNCTION("""COMPUTED_VALUE"""),41509)</f>
        <v>41509</v>
      </c>
      <c r="C110" s="41"/>
      <c r="D110" s="42" t="str">
        <f ca="1">IFERROR(__xludf.DUMMYFUNCTION("""COMPUTED_VALUE"""),"Quail")</f>
        <v>Quail</v>
      </c>
      <c r="E110" s="53">
        <f ca="1">IFERROR(__xludf.DUMMYFUNCTION("""COMPUTED_VALUE"""),1)</f>
        <v>1</v>
      </c>
      <c r="F110" s="15"/>
      <c r="G110" s="44" t="str">
        <f ca="1">IFERROR(__xludf.DUMMYFUNCTION("""COMPUTED_VALUE"""),"Shinning Tor")</f>
        <v>Shinning Tor</v>
      </c>
      <c r="H110" s="12">
        <f ca="1">IFERROR(__xludf.DUMMYFUNCTION("""COMPUTED_VALUE"""),33780)</f>
        <v>33780</v>
      </c>
      <c r="I110" s="13"/>
      <c r="J110" s="14" t="str">
        <f ca="1">IFERROR(__xludf.DUMMYFUNCTION("""COMPUTED_VALUE"""),"Fussell, R")</f>
        <v>Fussell, R</v>
      </c>
      <c r="K110" s="15"/>
      <c r="L110" s="17" t="str">
        <f ca="1">IFERROR(__xludf.DUMMYFUNCTION("""COMPUTED_VALUE"""),"closed")</f>
        <v>closed</v>
      </c>
      <c r="M110" s="17" t="str">
        <f ca="1">IFERROR(__xludf.DUMMYFUNCTION("""COMPUTED_VALUE"""),"1st U")</f>
        <v>1st U</v>
      </c>
      <c r="N110" s="15" t="str">
        <f ca="1">IFERROR(__xludf.DUMMYFUNCTION("""COMPUTED_VALUE"""),"accepted")</f>
        <v>accepted</v>
      </c>
      <c r="O110" s="18"/>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row>
    <row r="111" spans="1:80" ht="12.75" hidden="1" customHeight="1">
      <c r="A111" s="20">
        <f ca="1">IFERROR(__xludf.DUMMYFUNCTION("""COMPUTED_VALUE"""),1992)</f>
        <v>1992</v>
      </c>
      <c r="B111" s="45">
        <f ca="1">IFERROR(__xludf.DUMMYFUNCTION("""COMPUTED_VALUE"""),44568)</f>
        <v>44568</v>
      </c>
      <c r="C111" s="46"/>
      <c r="D111" s="47" t="str">
        <f ca="1">IFERROR(__xludf.DUMMYFUNCTION("""COMPUTED_VALUE"""),"Caspian Tern")</f>
        <v>Caspian Tern</v>
      </c>
      <c r="E111" s="52">
        <f ca="1">IFERROR(__xludf.DUMMYFUNCTION("""COMPUTED_VALUE"""),1)</f>
        <v>1</v>
      </c>
      <c r="F111" s="25"/>
      <c r="G111" s="48" t="str">
        <f ca="1">IFERROR(__xludf.DUMMYFUNCTION("""COMPUTED_VALUE"""),"Neumann's Flash")</f>
        <v>Neumann's Flash</v>
      </c>
      <c r="H111" s="22">
        <f ca="1">IFERROR(__xludf.DUMMYFUNCTION("""COMPUTED_VALUE"""),33754)</f>
        <v>33754</v>
      </c>
      <c r="I111" s="23"/>
      <c r="J111" s="24"/>
      <c r="K111" s="25"/>
      <c r="L111" s="27" t="str">
        <f ca="1">IFERROR(__xludf.DUMMYFUNCTION("""COMPUTED_VALUE"""),"closed")</f>
        <v>closed</v>
      </c>
      <c r="M111" s="27"/>
      <c r="N111" s="25" t="str">
        <f ca="1">IFERROR(__xludf.DUMMYFUNCTION("""COMPUTED_VALUE"""),"BBRC-OK")</f>
        <v>BBRC-OK</v>
      </c>
      <c r="O111" s="28" t="str">
        <f ca="1">IFERROR(__xludf.DUMMYFUNCTION("""COMPUTED_VALUE"""),"Neumann's Flash, Marbury Mere and Great Budworth Mere, 30th to 31st May.")</f>
        <v>Neumann's Flash, Marbury Mere and Great Budworth Mere, 30th to 31st May.</v>
      </c>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row>
    <row r="112" spans="1:80" ht="12.75" hidden="1" customHeight="1">
      <c r="A112" s="10">
        <f ca="1">IFERROR(__xludf.DUMMYFUNCTION("""COMPUTED_VALUE"""),1992)</f>
        <v>1992</v>
      </c>
      <c r="B112" s="50">
        <f ca="1">IFERROR(__xludf.DUMMYFUNCTION("""COMPUTED_VALUE"""),44568)</f>
        <v>44568</v>
      </c>
      <c r="C112" s="41"/>
      <c r="D112" s="42" t="str">
        <f ca="1">IFERROR(__xludf.DUMMYFUNCTION("""COMPUTED_VALUE"""),"Glossy Ibis")</f>
        <v>Glossy Ibis</v>
      </c>
      <c r="E112" s="53">
        <f ca="1">IFERROR(__xludf.DUMMYFUNCTION("""COMPUTED_VALUE"""),1)</f>
        <v>1</v>
      </c>
      <c r="F112" s="15"/>
      <c r="G112" s="44" t="str">
        <f ca="1">IFERROR(__xludf.DUMMYFUNCTION("""COMPUTED_VALUE"""),"Neumann's Flash")</f>
        <v>Neumann's Flash</v>
      </c>
      <c r="H112" s="12">
        <f ca="1">IFERROR(__xludf.DUMMYFUNCTION("""COMPUTED_VALUE"""),33879)</f>
        <v>33879</v>
      </c>
      <c r="I112" s="12"/>
      <c r="J112" s="14"/>
      <c r="K112" s="15"/>
      <c r="L112" s="17" t="str">
        <f ca="1">IFERROR(__xludf.DUMMYFUNCTION("""COMPUTED_VALUE"""),"closed")</f>
        <v>closed</v>
      </c>
      <c r="M112" s="17"/>
      <c r="N112" s="15" t="str">
        <f ca="1">IFERROR(__xludf.DUMMYFUNCTION("""COMPUTED_VALUE"""),"BBRC-OK")</f>
        <v>BBRC-OK</v>
      </c>
      <c r="O112" s="18" t="str">
        <f ca="1">IFERROR(__xludf.DUMMYFUNCTION("""COMPUTED_VALUE"""),"Neumann's Flash and Marston Flash, 2nd to 3rd October; presumed same as Cumbria.")</f>
        <v>Neumann's Flash and Marston Flash, 2nd to 3rd October; presumed same as Cumbria.</v>
      </c>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row>
    <row r="113" spans="1:80" ht="12.75" hidden="1" customHeight="1">
      <c r="A113" s="20">
        <f ca="1">IFERROR(__xludf.DUMMYFUNCTION("""COMPUTED_VALUE"""),1992)</f>
        <v>1992</v>
      </c>
      <c r="B113" s="45">
        <f ca="1">IFERROR(__xludf.DUMMYFUNCTION("""COMPUTED_VALUE"""),44568)</f>
        <v>44568</v>
      </c>
      <c r="C113" s="46"/>
      <c r="D113" s="47" t="str">
        <f ca="1">IFERROR(__xludf.DUMMYFUNCTION("""COMPUTED_VALUE"""),"Tawny Pipit")</f>
        <v>Tawny Pipit</v>
      </c>
      <c r="E113" s="52">
        <f ca="1">IFERROR(__xludf.DUMMYFUNCTION("""COMPUTED_VALUE"""),1)</f>
        <v>1</v>
      </c>
      <c r="F113" s="25"/>
      <c r="G113" s="48" t="str">
        <f ca="1">IFERROR(__xludf.DUMMYFUNCTION("""COMPUTED_VALUE"""),"Red Rocks, Hoylake")</f>
        <v>Red Rocks, Hoylake</v>
      </c>
      <c r="H113" s="22">
        <f ca="1">IFERROR(__xludf.DUMMYFUNCTION("""COMPUTED_VALUE"""),33738)</f>
        <v>33738</v>
      </c>
      <c r="I113" s="22">
        <f ca="1">IFERROR(__xludf.DUMMYFUNCTION("""COMPUTED_VALUE"""),33751)</f>
        <v>33751</v>
      </c>
      <c r="J113" s="24"/>
      <c r="K113" s="25"/>
      <c r="L113" s="27" t="str">
        <f ca="1">IFERROR(__xludf.DUMMYFUNCTION("""COMPUTED_VALUE"""),"closed")</f>
        <v>closed</v>
      </c>
      <c r="M113" s="27"/>
      <c r="N113" s="25" t="str">
        <f ca="1">IFERROR(__xludf.DUMMYFUNCTION("""COMPUTED_VALUE"""),"BBRC-OK")</f>
        <v>BBRC-OK</v>
      </c>
      <c r="O113" s="28"/>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row>
    <row r="114" spans="1:80" ht="12.75" hidden="1" customHeight="1">
      <c r="A114" s="10">
        <f ca="1">IFERROR(__xludf.DUMMYFUNCTION("""COMPUTED_VALUE"""),1992)</f>
        <v>1992</v>
      </c>
      <c r="B114" s="50">
        <f ca="1">IFERROR(__xludf.DUMMYFUNCTION("""COMPUTED_VALUE"""),44568)</f>
        <v>44568</v>
      </c>
      <c r="C114" s="41"/>
      <c r="D114" s="42" t="str">
        <f ca="1">IFERROR(__xludf.DUMMYFUNCTION("""COMPUTED_VALUE"""),"Red-throated Pipit")</f>
        <v>Red-throated Pipit</v>
      </c>
      <c r="E114" s="53">
        <f ca="1">IFERROR(__xludf.DUMMYFUNCTION("""COMPUTED_VALUE"""),1)</f>
        <v>1</v>
      </c>
      <c r="F114" s="15"/>
      <c r="G114" s="44" t="str">
        <f ca="1">IFERROR(__xludf.DUMMYFUNCTION("""COMPUTED_VALUE"""),"Red Rocks, Hoylake")</f>
        <v>Red Rocks, Hoylake</v>
      </c>
      <c r="H114" s="12">
        <f ca="1">IFERROR(__xludf.DUMMYFUNCTION("""COMPUTED_VALUE"""),33739)</f>
        <v>33739</v>
      </c>
      <c r="I114" s="13"/>
      <c r="J114" s="14"/>
      <c r="K114" s="15"/>
      <c r="L114" s="17" t="str">
        <f ca="1">IFERROR(__xludf.DUMMYFUNCTION("""COMPUTED_VALUE"""),"closed")</f>
        <v>closed</v>
      </c>
      <c r="M114" s="17"/>
      <c r="N114" s="15" t="str">
        <f ca="1">IFERROR(__xludf.DUMMYFUNCTION("""COMPUTED_VALUE"""),"BBRC-OK")</f>
        <v>BBRC-OK</v>
      </c>
      <c r="O114" s="18"/>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row>
    <row r="115" spans="1:80" ht="12.75" hidden="1" customHeight="1">
      <c r="A115" s="20">
        <f ca="1">IFERROR(__xludf.DUMMYFUNCTION("""COMPUTED_VALUE"""),1993)</f>
        <v>1993</v>
      </c>
      <c r="B115" s="45">
        <f ca="1">IFERROR(__xludf.DUMMYFUNCTION("""COMPUTED_VALUE"""),44568)</f>
        <v>44568</v>
      </c>
      <c r="C115" s="46"/>
      <c r="D115" s="47" t="str">
        <f ca="1">IFERROR(__xludf.DUMMYFUNCTION("""COMPUTED_VALUE"""),"Black-winged Stilt")</f>
        <v>Black-winged Stilt</v>
      </c>
      <c r="E115" s="52">
        <f ca="1">IFERROR(__xludf.DUMMYFUNCTION("""COMPUTED_VALUE"""),3)</f>
        <v>3</v>
      </c>
      <c r="F115" s="25"/>
      <c r="G115" s="48" t="str">
        <f ca="1">IFERROR(__xludf.DUMMYFUNCTION("""COMPUTED_VALUE"""),"Inner Marsh Farm RSPB")</f>
        <v>Inner Marsh Farm RSPB</v>
      </c>
      <c r="H115" s="22">
        <f ca="1">IFERROR(__xludf.DUMMYFUNCTION("""COMPUTED_VALUE"""),34081)</f>
        <v>34081</v>
      </c>
      <c r="I115" s="23"/>
      <c r="J115" s="24"/>
      <c r="K115" s="25"/>
      <c r="L115" s="27" t="str">
        <f ca="1">IFERROR(__xludf.DUMMYFUNCTION("""COMPUTED_VALUE"""),"closed")</f>
        <v>closed</v>
      </c>
      <c r="M115" s="27"/>
      <c r="N115" s="25" t="str">
        <f ca="1">IFERROR(__xludf.DUMMYFUNCTION("""COMPUTED_VALUE"""),"BBRC-OK")</f>
        <v>BBRC-OK</v>
      </c>
      <c r="O115" s="28" t="str">
        <f ca="1">IFERROR(__xludf.DUMMYFUNCTION("""COMPUTED_VALUE"""),"Inner Marsh Farm RSPB, three: adult pair and one other, intermittently, 22nd April to 4th May, 8th to 13th May; same, Sandbach Flashes, three, 25th April; same, Frodsham, 25th April, 1st May to 7th June; same as Anglesey, also in Oxfordshire.")</f>
        <v>Inner Marsh Farm RSPB, three: adult pair and one other, intermittently, 22nd April to 4th May, 8th to 13th May; same, Sandbach Flashes, three, 25th April; same, Frodsham, 25th April, 1st May to 7th June; same as Anglesey, also in Oxfordshire.</v>
      </c>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row>
    <row r="116" spans="1:80" ht="12.75" hidden="1" customHeight="1">
      <c r="A116" s="10">
        <f ca="1">IFERROR(__xludf.DUMMYFUNCTION("""COMPUTED_VALUE"""),1993)</f>
        <v>1993</v>
      </c>
      <c r="B116" s="50">
        <f ca="1">IFERROR(__xludf.DUMMYFUNCTION("""COMPUTED_VALUE"""),44568)</f>
        <v>44568</v>
      </c>
      <c r="C116" s="41"/>
      <c r="D116" s="42" t="str">
        <f ca="1">IFERROR(__xludf.DUMMYFUNCTION("""COMPUTED_VALUE"""),"Long-billed Dowitcher")</f>
        <v>Long-billed Dowitcher</v>
      </c>
      <c r="E116" s="53"/>
      <c r="F116" s="15"/>
      <c r="G116" s="44" t="str">
        <f ca="1">IFERROR(__xludf.DUMMYFUNCTION("""COMPUTED_VALUE"""),"Inner Marsh Farm RSPB")</f>
        <v>Inner Marsh Farm RSPB</v>
      </c>
      <c r="H116" s="12">
        <f ca="1">IFERROR(__xludf.DUMMYFUNCTION("""COMPUTED_VALUE"""),34266)</f>
        <v>34266</v>
      </c>
      <c r="I116" s="12"/>
      <c r="J116" s="14"/>
      <c r="K116" s="15"/>
      <c r="L116" s="17" t="str">
        <f ca="1">IFERROR(__xludf.DUMMYFUNCTION("""COMPUTED_VALUE"""),"closed")</f>
        <v>closed</v>
      </c>
      <c r="M116" s="17"/>
      <c r="N116" s="15" t="str">
        <f ca="1">IFERROR(__xludf.DUMMYFUNCTION("""COMPUTED_VALUE"""),"BBRC-OK")</f>
        <v>BBRC-OK</v>
      </c>
      <c r="O116" s="18" t="str">
        <f ca="1">IFERROR(__xludf.DUMMYFUNCTION("""COMPUTED_VALUE"""),"Inner Marsh Farm RSPB, juvenile, 24th October to 3rd November, photo.")</f>
        <v>Inner Marsh Farm RSPB, juvenile, 24th October to 3rd November, photo.</v>
      </c>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row>
    <row r="117" spans="1:80" ht="12.75" hidden="1" customHeight="1">
      <c r="A117" s="20">
        <f ca="1">IFERROR(__xludf.DUMMYFUNCTION("""COMPUTED_VALUE"""),1993)</f>
        <v>1993</v>
      </c>
      <c r="B117" s="45">
        <f ca="1">IFERROR(__xludf.DUMMYFUNCTION("""COMPUTED_VALUE"""),44568)</f>
        <v>44568</v>
      </c>
      <c r="C117" s="46"/>
      <c r="D117" s="47" t="str">
        <f ca="1">IFERROR(__xludf.DUMMYFUNCTION("""COMPUTED_VALUE"""),"Savi's Warbler")</f>
        <v>Savi's Warbler</v>
      </c>
      <c r="E117" s="52">
        <f ca="1">IFERROR(__xludf.DUMMYFUNCTION("""COMPUTED_VALUE"""),1)</f>
        <v>1</v>
      </c>
      <c r="F117" s="25"/>
      <c r="G117" s="48" t="str">
        <f ca="1">IFERROR(__xludf.DUMMYFUNCTION("""COMPUTED_VALUE"""),"Red Rocks, Hoylake")</f>
        <v>Red Rocks, Hoylake</v>
      </c>
      <c r="H117" s="22">
        <f ca="1">IFERROR(__xludf.DUMMYFUNCTION("""COMPUTED_VALUE"""),34112)</f>
        <v>34112</v>
      </c>
      <c r="I117" s="23"/>
      <c r="J117" s="24"/>
      <c r="K117" s="25"/>
      <c r="L117" s="27" t="str">
        <f ca="1">IFERROR(__xludf.DUMMYFUNCTION("""COMPUTED_VALUE"""),"closed")</f>
        <v>closed</v>
      </c>
      <c r="M117" s="27"/>
      <c r="N117" s="25" t="str">
        <f ca="1">IFERROR(__xludf.DUMMYFUNCTION("""COMPUTED_VALUE"""),"BBRC-OK")</f>
        <v>BBRC-OK</v>
      </c>
      <c r="O117" s="28" t="str">
        <f ca="1">IFERROR(__xludf.DUMMYFUNCTION("""COMPUTED_VALUE"""),"Red Rocks, Hoylake, Wirral, 23rd May.")</f>
        <v>Red Rocks, Hoylake, Wirral, 23rd May.</v>
      </c>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row>
    <row r="118" spans="1:80" ht="12.75" hidden="1" customHeight="1">
      <c r="A118" s="10">
        <f ca="1">IFERROR(__xludf.DUMMYFUNCTION("""COMPUTED_VALUE"""),1993)</f>
        <v>1993</v>
      </c>
      <c r="B118" s="50">
        <f ca="1">IFERROR(__xludf.DUMMYFUNCTION("""COMPUTED_VALUE"""),44568)</f>
        <v>44568</v>
      </c>
      <c r="C118" s="41"/>
      <c r="D118" s="42" t="str">
        <f ca="1">IFERROR(__xludf.DUMMYFUNCTION("""COMPUTED_VALUE"""),"Red-throated Pipit")</f>
        <v>Red-throated Pipit</v>
      </c>
      <c r="E118" s="53">
        <f ca="1">IFERROR(__xludf.DUMMYFUNCTION("""COMPUTED_VALUE"""),1)</f>
        <v>1</v>
      </c>
      <c r="F118" s="15"/>
      <c r="G118" s="44" t="str">
        <f ca="1">IFERROR(__xludf.DUMMYFUNCTION("""COMPUTED_VALUE"""),"Red Rocks, Hoylake")</f>
        <v>Red Rocks, Hoylake</v>
      </c>
      <c r="H118" s="12">
        <f ca="1">IFERROR(__xludf.DUMMYFUNCTION("""COMPUTED_VALUE"""),34243)</f>
        <v>34243</v>
      </c>
      <c r="I118" s="12">
        <f ca="1">IFERROR(__xludf.DUMMYFUNCTION("""COMPUTED_VALUE"""),34244)</f>
        <v>34244</v>
      </c>
      <c r="J118" s="14"/>
      <c r="K118" s="15"/>
      <c r="L118" s="17" t="str">
        <f ca="1">IFERROR(__xludf.DUMMYFUNCTION("""COMPUTED_VALUE"""),"closed")</f>
        <v>closed</v>
      </c>
      <c r="M118" s="17"/>
      <c r="N118" s="15" t="str">
        <f ca="1">IFERROR(__xludf.DUMMYFUNCTION("""COMPUTED_VALUE"""),"BBRC-OK")</f>
        <v>BBRC-OK</v>
      </c>
      <c r="O118" s="18"/>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row>
    <row r="119" spans="1:80" ht="12.75" hidden="1" customHeight="1">
      <c r="A119" s="20">
        <f ca="1">IFERROR(__xludf.DUMMYFUNCTION("""COMPUTED_VALUE"""),1994)</f>
        <v>1994</v>
      </c>
      <c r="B119" s="45">
        <f ca="1">IFERROR(__xludf.DUMMYFUNCTION("""COMPUTED_VALUE"""),44568)</f>
        <v>44568</v>
      </c>
      <c r="C119" s="46"/>
      <c r="D119" s="47" t="str">
        <f ca="1">IFERROR(__xludf.DUMMYFUNCTION("""COMPUTED_VALUE"""),"Bonaparte's Gull")</f>
        <v>Bonaparte's Gull</v>
      </c>
      <c r="E119" s="52">
        <f ca="1">IFERROR(__xludf.DUMMYFUNCTION("""COMPUTED_VALUE"""),1)</f>
        <v>1</v>
      </c>
      <c r="F119" s="25" t="str">
        <f ca="1">IFERROR(__xludf.DUMMYFUNCTION("""COMPUTED_VALUE"""),"1stS")</f>
        <v>1stS</v>
      </c>
      <c r="G119" s="48" t="str">
        <f ca="1">IFERROR(__xludf.DUMMYFUNCTION("""COMPUTED_VALUE"""),"Inner Marsh Farm RSPB")</f>
        <v>Inner Marsh Farm RSPB</v>
      </c>
      <c r="H119" s="22">
        <f ca="1">IFERROR(__xludf.DUMMYFUNCTION("""COMPUTED_VALUE"""),34486)</f>
        <v>34486</v>
      </c>
      <c r="I119" s="22"/>
      <c r="J119" s="24"/>
      <c r="K119" s="25"/>
      <c r="L119" s="27" t="str">
        <f ca="1">IFERROR(__xludf.DUMMYFUNCTION("""COMPUTED_VALUE"""),"closed")</f>
        <v>closed</v>
      </c>
      <c r="M119" s="27"/>
      <c r="N119" s="25" t="str">
        <f ca="1">IFERROR(__xludf.DUMMYFUNCTION("""COMPUTED_VALUE"""),"BBRC-OK")</f>
        <v>BBRC-OK</v>
      </c>
      <c r="O119" s="28" t="str">
        <f ca="1">IFERROR(__xludf.DUMMYFUNCTION("""COMPUTED_VALUE"""),"Inner Marsh Farm RSPB, first-winter to first-summer, 1st to 14th June.")</f>
        <v>Inner Marsh Farm RSPB, first-winter to first-summer, 1st to 14th June.</v>
      </c>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row>
    <row r="120" spans="1:80" ht="12.75" hidden="1" customHeight="1">
      <c r="A120" s="10">
        <f ca="1">IFERROR(__xludf.DUMMYFUNCTION("""COMPUTED_VALUE"""),1994)</f>
        <v>1994</v>
      </c>
      <c r="B120" s="50">
        <f ca="1">IFERROR(__xludf.DUMMYFUNCTION("""COMPUTED_VALUE"""),44568)</f>
        <v>44568</v>
      </c>
      <c r="C120" s="41"/>
      <c r="D120" s="42" t="str">
        <f ca="1">IFERROR(__xludf.DUMMYFUNCTION("""COMPUTED_VALUE"""),"American Herring Gull")</f>
        <v>American Herring Gull</v>
      </c>
      <c r="E120" s="53"/>
      <c r="F120" s="15"/>
      <c r="G120" s="44"/>
      <c r="H120" s="12">
        <f ca="1">IFERROR(__xludf.DUMMYFUNCTION("""COMPUTED_VALUE"""),34389)</f>
        <v>34389</v>
      </c>
      <c r="I120" s="13"/>
      <c r="J120" s="14"/>
      <c r="K120" s="15"/>
      <c r="L120" s="17" t="str">
        <f ca="1">IFERROR(__xludf.DUMMYFUNCTION("""COMPUTED_VALUE"""),"closed")</f>
        <v>closed</v>
      </c>
      <c r="M120" s="17"/>
      <c r="N120" s="15" t="str">
        <f ca="1">IFERROR(__xludf.DUMMYFUNCTION("""COMPUTED_VALUE"""),"BBRC-OK")</f>
        <v>BBRC-OK</v>
      </c>
      <c r="O120" s="18" t="str">
        <f ca="1">IFERROR(__xludf.DUMMYFUNCTION("""COMPUTED_VALUE"""),"Ashton's Flash, Northwich, first-winter, 24th February to 4th March; also in Lancashire &amp; North Merseyside.")</f>
        <v>Ashton's Flash, Northwich, first-winter, 24th February to 4th March; also in Lancashire &amp; North Merseyside.</v>
      </c>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row>
    <row r="121" spans="1:80" ht="12.75" hidden="1" customHeight="1">
      <c r="A121" s="20">
        <f ca="1">IFERROR(__xludf.DUMMYFUNCTION("""COMPUTED_VALUE"""),1994)</f>
        <v>1994</v>
      </c>
      <c r="B121" s="45">
        <f ca="1">IFERROR(__xludf.DUMMYFUNCTION("""COMPUTED_VALUE"""),44568)</f>
        <v>44568</v>
      </c>
      <c r="C121" s="46"/>
      <c r="D121" s="47" t="str">
        <f ca="1">IFERROR(__xludf.DUMMYFUNCTION("""COMPUTED_VALUE"""),"Caspian Tern")</f>
        <v>Caspian Tern</v>
      </c>
      <c r="E121" s="52">
        <f ca="1">IFERROR(__xludf.DUMMYFUNCTION("""COMPUTED_VALUE"""),1)</f>
        <v>1</v>
      </c>
      <c r="F121" s="25"/>
      <c r="G121" s="48" t="str">
        <f ca="1">IFERROR(__xludf.DUMMYFUNCTION("""COMPUTED_VALUE"""),"Neumann's Flash")</f>
        <v>Neumann's Flash</v>
      </c>
      <c r="H121" s="22">
        <f ca="1">IFERROR(__xludf.DUMMYFUNCTION("""COMPUTED_VALUE"""),34497)</f>
        <v>34497</v>
      </c>
      <c r="I121" s="23"/>
      <c r="J121" s="24"/>
      <c r="K121" s="25"/>
      <c r="L121" s="27" t="str">
        <f ca="1">IFERROR(__xludf.DUMMYFUNCTION("""COMPUTED_VALUE"""),"closed")</f>
        <v>closed</v>
      </c>
      <c r="M121" s="27"/>
      <c r="N121" s="25" t="str">
        <f ca="1">IFERROR(__xludf.DUMMYFUNCTION("""COMPUTED_VALUE"""),"BBRC-OK")</f>
        <v>BBRC-OK</v>
      </c>
      <c r="O121" s="28" t="str">
        <f ca="1">IFERROR(__xludf.DUMMYFUNCTION("""COMPUTED_VALUE"""),"Neumann's Flash and Marbury Mere, 12th June; same, Fiddler's Ferry, 12th June.")</f>
        <v>Neumann's Flash and Marbury Mere, 12th June; same, Fiddler's Ferry, 12th June.</v>
      </c>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row>
    <row r="122" spans="1:80" ht="12.75" hidden="1" customHeight="1">
      <c r="A122" s="10">
        <f ca="1">IFERROR(__xludf.DUMMYFUNCTION("""COMPUTED_VALUE"""),2013)</f>
        <v>2013</v>
      </c>
      <c r="B122" s="50">
        <f ca="1">IFERROR(__xludf.DUMMYFUNCTION("""COMPUTED_VALUE"""),44568)</f>
        <v>44568</v>
      </c>
      <c r="C122" s="41"/>
      <c r="D122" s="42" t="str">
        <f ca="1">IFERROR(__xludf.DUMMYFUNCTION("""COMPUTED_VALUE"""),"Caspian Tern")</f>
        <v>Caspian Tern</v>
      </c>
      <c r="E122" s="53">
        <f ca="1">IFERROR(__xludf.DUMMYFUNCTION("""COMPUTED_VALUE"""),1)</f>
        <v>1</v>
      </c>
      <c r="F122" s="15" t="str">
        <f ca="1">IFERROR(__xludf.DUMMYFUNCTION("""COMPUTED_VALUE"""),"1stS")</f>
        <v>1stS</v>
      </c>
      <c r="G122" s="44" t="str">
        <f ca="1">IFERROR(__xludf.DUMMYFUNCTION("""COMPUTED_VALUE"""),"Acre Nook Sand Quarry")</f>
        <v>Acre Nook Sand Quarry</v>
      </c>
      <c r="H122" s="12">
        <f ca="1">IFERROR(__xludf.DUMMYFUNCTION("""COMPUTED_VALUE"""),41479)</f>
        <v>41479</v>
      </c>
      <c r="I122" s="12">
        <f ca="1">IFERROR(__xludf.DUMMYFUNCTION("""COMPUTED_VALUE"""),41484)</f>
        <v>41484</v>
      </c>
      <c r="J122" s="14"/>
      <c r="K122" s="15"/>
      <c r="L122" s="17" t="str">
        <f ca="1">IFERROR(__xludf.DUMMYFUNCTION("""COMPUTED_VALUE"""),"closed")</f>
        <v>closed</v>
      </c>
      <c r="M122" s="17"/>
      <c r="N122" s="15" t="str">
        <f ca="1">IFERROR(__xludf.DUMMYFUNCTION("""COMPUTED_VALUE"""),"BBRC-OK")</f>
        <v>BBRC-OK</v>
      </c>
      <c r="O122" s="18" t="str">
        <f ca="1">IFERROR(__xludf.DUMMYFUNCTION("""COMPUTED_VALUE""")," photo; also in Staffordshire.")</f>
        <v xml:space="preserve"> photo; also in Staffordshire.</v>
      </c>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row>
    <row r="123" spans="1:80" ht="12.75" hidden="1" customHeight="1">
      <c r="A123" s="20">
        <f ca="1">IFERROR(__xludf.DUMMYFUNCTION("""COMPUTED_VALUE"""),1994)</f>
        <v>1994</v>
      </c>
      <c r="B123" s="45">
        <f ca="1">IFERROR(__xludf.DUMMYFUNCTION("""COMPUTED_VALUE"""),44568)</f>
        <v>44568</v>
      </c>
      <c r="C123" s="46"/>
      <c r="D123" s="47" t="str">
        <f ca="1">IFERROR(__xludf.DUMMYFUNCTION("""COMPUTED_VALUE"""),"Savi's Warbler")</f>
        <v>Savi's Warbler</v>
      </c>
      <c r="E123" s="52">
        <f ca="1">IFERROR(__xludf.DUMMYFUNCTION("""COMPUTED_VALUE"""),1)</f>
        <v>1</v>
      </c>
      <c r="F123" s="25"/>
      <c r="G123" s="48" t="str">
        <f ca="1">IFERROR(__xludf.DUMMYFUNCTION("""COMPUTED_VALUE"""),"Moreton")</f>
        <v>Moreton</v>
      </c>
      <c r="H123" s="22">
        <f ca="1">IFERROR(__xludf.DUMMYFUNCTION("""COMPUTED_VALUE"""),34457)</f>
        <v>34457</v>
      </c>
      <c r="I123" s="23"/>
      <c r="J123" s="24"/>
      <c r="K123" s="25"/>
      <c r="L123" s="27" t="str">
        <f ca="1">IFERROR(__xludf.DUMMYFUNCTION("""COMPUTED_VALUE"""),"closed")</f>
        <v>closed</v>
      </c>
      <c r="M123" s="27"/>
      <c r="N123" s="25" t="str">
        <f ca="1">IFERROR(__xludf.DUMMYFUNCTION("""COMPUTED_VALUE"""),"BBRC-OK")</f>
        <v>BBRC-OK</v>
      </c>
      <c r="O123" s="28" t="str">
        <f ca="1">IFERROR(__xludf.DUMMYFUNCTION("""COMPUTED_VALUE"""),"Moreton Common, 3rd May.")</f>
        <v>Moreton Common, 3rd May.</v>
      </c>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row>
    <row r="124" spans="1:80" ht="12.75" hidden="1" customHeight="1">
      <c r="A124" s="10">
        <f ca="1">IFERROR(__xludf.DUMMYFUNCTION("""COMPUTED_VALUE"""),1994)</f>
        <v>1994</v>
      </c>
      <c r="B124" s="50">
        <f ca="1">IFERROR(__xludf.DUMMYFUNCTION("""COMPUTED_VALUE"""),44568)</f>
        <v>44568</v>
      </c>
      <c r="C124" s="41"/>
      <c r="D124" s="42" t="str">
        <f ca="1">IFERROR(__xludf.DUMMYFUNCTION("""COMPUTED_VALUE"""),"Yellow-breasted Bunting")</f>
        <v>Yellow-breasted Bunting</v>
      </c>
      <c r="E124" s="53"/>
      <c r="F124" s="15"/>
      <c r="G124" s="44" t="str">
        <f ca="1">IFERROR(__xludf.DUMMYFUNCTION("""COMPUTED_VALUE"""),"Hilbre")</f>
        <v>Hilbre</v>
      </c>
      <c r="H124" s="12">
        <f ca="1">IFERROR(__xludf.DUMMYFUNCTION("""COMPUTED_VALUE"""),34584)</f>
        <v>34584</v>
      </c>
      <c r="I124" s="13"/>
      <c r="J124" s="14"/>
      <c r="K124" s="15"/>
      <c r="L124" s="17" t="str">
        <f ca="1">IFERROR(__xludf.DUMMYFUNCTION("""COMPUTED_VALUE"""),"closed")</f>
        <v>closed</v>
      </c>
      <c r="M124" s="17"/>
      <c r="N124" s="15" t="str">
        <f ca="1">IFERROR(__xludf.DUMMYFUNCTION("""COMPUTED_VALUE"""),"BBRC-OK")</f>
        <v>BBRC-OK</v>
      </c>
      <c r="O124" s="18" t="str">
        <f ca="1">IFERROR(__xludf.DUMMYFUNCTION("""COMPUTED_VALUE"""),"Hilbre Island, female or first-winter, 7th September.")</f>
        <v>Hilbre Island, female or first-winter, 7th September.</v>
      </c>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row>
    <row r="125" spans="1:80" ht="12.75" hidden="1" customHeight="1">
      <c r="A125" s="20">
        <f ca="1">IFERROR(__xludf.DUMMYFUNCTION("""COMPUTED_VALUE"""),1995)</f>
        <v>1995</v>
      </c>
      <c r="B125" s="45">
        <f ca="1">IFERROR(__xludf.DUMMYFUNCTION("""COMPUTED_VALUE"""),44568)</f>
        <v>44568</v>
      </c>
      <c r="C125" s="46"/>
      <c r="D125" s="47" t="str">
        <f ca="1">IFERROR(__xludf.DUMMYFUNCTION("""COMPUTED_VALUE"""),"Gull-billed Tern")</f>
        <v>Gull-billed Tern</v>
      </c>
      <c r="E125" s="52">
        <f ca="1">IFERROR(__xludf.DUMMYFUNCTION("""COMPUTED_VALUE"""),1)</f>
        <v>1</v>
      </c>
      <c r="F125" s="25"/>
      <c r="G125" s="48" t="str">
        <f ca="1">IFERROR(__xludf.DUMMYFUNCTION("""COMPUTED_VALUE"""),"Frodsham")</f>
        <v>Frodsham</v>
      </c>
      <c r="H125" s="22">
        <f ca="1">IFERROR(__xludf.DUMMYFUNCTION("""COMPUTED_VALUE"""),34911)</f>
        <v>34911</v>
      </c>
      <c r="I125" s="23"/>
      <c r="J125" s="24"/>
      <c r="K125" s="25"/>
      <c r="L125" s="27" t="str">
        <f ca="1">IFERROR(__xludf.DUMMYFUNCTION("""COMPUTED_VALUE"""),"closed")</f>
        <v>closed</v>
      </c>
      <c r="M125" s="27"/>
      <c r="N125" s="25" t="str">
        <f ca="1">IFERROR(__xludf.DUMMYFUNCTION("""COMPUTED_VALUE"""),"BBRC-OK")</f>
        <v>BBRC-OK</v>
      </c>
      <c r="O125" s="28" t="str">
        <f ca="1">IFERROR(__xludf.DUMMYFUNCTION("""COMPUTED_VALUE"""),"Frodsham Marsh, adult, 31st July; presumed same as Lancashire &amp; North Merseyside.")</f>
        <v>Frodsham Marsh, adult, 31st July; presumed same as Lancashire &amp; North Merseyside.</v>
      </c>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row>
    <row r="126" spans="1:80" ht="12.75" hidden="1" customHeight="1">
      <c r="A126" s="10">
        <f ca="1">IFERROR(__xludf.DUMMYFUNCTION("""COMPUTED_VALUE"""),1996)</f>
        <v>1996</v>
      </c>
      <c r="B126" s="50">
        <f ca="1">IFERROR(__xludf.DUMMYFUNCTION("""COMPUTED_VALUE"""),44568)</f>
        <v>44568</v>
      </c>
      <c r="C126" s="41"/>
      <c r="D126" s="42" t="str">
        <f ca="1">IFERROR(__xludf.DUMMYFUNCTION("""COMPUTED_VALUE"""),"Lesser Scaup")</f>
        <v>Lesser Scaup</v>
      </c>
      <c r="E126" s="53"/>
      <c r="F126" s="15"/>
      <c r="G126" s="44" t="str">
        <f ca="1">IFERROR(__xludf.DUMMYFUNCTION("""COMPUTED_VALUE"""),"Frodsham")</f>
        <v>Frodsham</v>
      </c>
      <c r="H126" s="12">
        <f ca="1">IFERROR(__xludf.DUMMYFUNCTION("""COMPUTED_VALUE"""),35201)</f>
        <v>35201</v>
      </c>
      <c r="I126" s="13"/>
      <c r="J126" s="14"/>
      <c r="K126" s="15"/>
      <c r="L126" s="17" t="str">
        <f ca="1">IFERROR(__xludf.DUMMYFUNCTION("""COMPUTED_VALUE"""),"closed")</f>
        <v>closed</v>
      </c>
      <c r="M126" s="17"/>
      <c r="N126" s="15" t="str">
        <f ca="1">IFERROR(__xludf.DUMMYFUNCTION("""COMPUTED_VALUE"""),"BBRC-OK")</f>
        <v>BBRC-OK</v>
      </c>
      <c r="O126" s="18" t="str">
        <f ca="1">IFERROR(__xludf.DUMMYFUNCTION("""COMPUTED_VALUE"""),"Frodsham Marsh, first-summer male, 16th May to 9th September, photo.")</f>
        <v>Frodsham Marsh, first-summer male, 16th May to 9th September, photo.</v>
      </c>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row>
    <row r="127" spans="1:80" ht="12.75" hidden="1" customHeight="1">
      <c r="A127" s="20">
        <f ca="1">IFERROR(__xludf.DUMMYFUNCTION("""COMPUTED_VALUE"""),1996)</f>
        <v>1996</v>
      </c>
      <c r="B127" s="45">
        <f ca="1">IFERROR(__xludf.DUMMYFUNCTION("""COMPUTED_VALUE"""),44568)</f>
        <v>44568</v>
      </c>
      <c r="C127" s="46"/>
      <c r="D127" s="47" t="str">
        <f ca="1">IFERROR(__xludf.DUMMYFUNCTION("""COMPUTED_VALUE"""),"Long-billed Dowitcher")</f>
        <v>Long-billed Dowitcher</v>
      </c>
      <c r="E127" s="52"/>
      <c r="F127" s="25"/>
      <c r="G127" s="48" t="str">
        <f ca="1">IFERROR(__xludf.DUMMYFUNCTION("""COMPUTED_VALUE"""),"Budworth Mere")</f>
        <v>Budworth Mere</v>
      </c>
      <c r="H127" s="22">
        <f ca="1">IFERROR(__xludf.DUMMYFUNCTION("""COMPUTED_VALUE"""),35179)</f>
        <v>35179</v>
      </c>
      <c r="I127" s="23"/>
      <c r="J127" s="24"/>
      <c r="K127" s="25"/>
      <c r="L127" s="27" t="str">
        <f ca="1">IFERROR(__xludf.DUMMYFUNCTION("""COMPUTED_VALUE"""),"closed")</f>
        <v>closed</v>
      </c>
      <c r="M127" s="27"/>
      <c r="N127" s="25" t="str">
        <f ca="1">IFERROR(__xludf.DUMMYFUNCTION("""COMPUTED_VALUE"""),"BBRC-OK")</f>
        <v>BBRC-OK</v>
      </c>
      <c r="O127" s="28" t="str">
        <f ca="1">IFERROR(__xludf.DUMMYFUNCTION("""COMPUTED_VALUE"""),"Budworth Mere, 24th April.")</f>
        <v>Budworth Mere, 24th April.</v>
      </c>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row>
    <row r="128" spans="1:80" ht="12.75" hidden="1" customHeight="1">
      <c r="A128" s="10">
        <f ca="1">IFERROR(__xludf.DUMMYFUNCTION("""COMPUTED_VALUE"""),1996)</f>
        <v>1996</v>
      </c>
      <c r="B128" s="50">
        <f ca="1">IFERROR(__xludf.DUMMYFUNCTION("""COMPUTED_VALUE"""),44568)</f>
        <v>44568</v>
      </c>
      <c r="C128" s="41"/>
      <c r="D128" s="42" t="str">
        <f ca="1">IFERROR(__xludf.DUMMYFUNCTION("""COMPUTED_VALUE"""),"Lesser Yellowlegs")</f>
        <v>Lesser Yellowlegs</v>
      </c>
      <c r="E128" s="53"/>
      <c r="F128" s="15"/>
      <c r="G128" s="44" t="str">
        <f ca="1">IFERROR(__xludf.DUMMYFUNCTION("""COMPUTED_VALUE"""),"Gatewarth")</f>
        <v>Gatewarth</v>
      </c>
      <c r="H128" s="12">
        <f ca="1">IFERROR(__xludf.DUMMYFUNCTION("""COMPUTED_VALUE"""),35166)</f>
        <v>35166</v>
      </c>
      <c r="I128" s="12"/>
      <c r="J128" s="14"/>
      <c r="K128" s="15"/>
      <c r="L128" s="17" t="str">
        <f ca="1">IFERROR(__xludf.DUMMYFUNCTION("""COMPUTED_VALUE"""),"closed")</f>
        <v>closed</v>
      </c>
      <c r="M128" s="17"/>
      <c r="N128" s="15" t="str">
        <f ca="1">IFERROR(__xludf.DUMMYFUNCTION("""COMPUTED_VALUE"""),"BBRC-OK")</f>
        <v>BBRC-OK</v>
      </c>
      <c r="O128" s="18" t="str">
        <f ca="1">IFERROR(__xludf.DUMMYFUNCTION("""COMPUTED_VALUE"""),"Gatewarth, intermittently, 11th to 22nd April; same, Houghton Green Pool, 21st April to 1st May.")</f>
        <v>Gatewarth, intermittently, 11th to 22nd April; same, Houghton Green Pool, 21st April to 1st May.</v>
      </c>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row>
    <row r="129" spans="1:80" ht="12.75" hidden="1" customHeight="1">
      <c r="A129" s="20">
        <f ca="1">IFERROR(__xludf.DUMMYFUNCTION("""COMPUTED_VALUE"""),1996)</f>
        <v>1996</v>
      </c>
      <c r="B129" s="45">
        <f ca="1">IFERROR(__xludf.DUMMYFUNCTION("""COMPUTED_VALUE"""),40085)</f>
        <v>40085</v>
      </c>
      <c r="C129" s="46">
        <f ca="1">IFERROR(__xludf.DUMMYFUNCTION("""COMPUTED_VALUE"""),40065)</f>
        <v>40065</v>
      </c>
      <c r="D129" s="47" t="str">
        <f ca="1">IFERROR(__xludf.DUMMYFUNCTION("""COMPUTED_VALUE"""),"Great Northern Diver")</f>
        <v>Great Northern Diver</v>
      </c>
      <c r="E129" s="52">
        <f ca="1">IFERROR(__xludf.DUMMYFUNCTION("""COMPUTED_VALUE"""),1)</f>
        <v>1</v>
      </c>
      <c r="F129" s="25"/>
      <c r="G129" s="48" t="str">
        <f ca="1">IFERROR(__xludf.DUMMYFUNCTION("""COMPUTED_VALUE"""),"Frodsham, Weaver just south of A56")</f>
        <v>Frodsham, Weaver just south of A56</v>
      </c>
      <c r="H129" s="22">
        <f ca="1">IFERROR(__xludf.DUMMYFUNCTION("""COMPUTED_VALUE"""),35118)</f>
        <v>35118</v>
      </c>
      <c r="I129" s="22">
        <f ca="1">IFERROR(__xludf.DUMMYFUNCTION("""COMPUTED_VALUE"""),35119)</f>
        <v>35119</v>
      </c>
      <c r="J129" s="24"/>
      <c r="K129" s="25"/>
      <c r="L129" s="27" t="str">
        <f ca="1">IFERROR(__xludf.DUMMYFUNCTION("""COMPUTED_VALUE"""),"closed")</f>
        <v>closed</v>
      </c>
      <c r="M129" s="27" t="str">
        <f ca="1">IFERROR(__xludf.DUMMYFUNCTION("""COMPUTED_VALUE"""),"1st M")</f>
        <v>1st M</v>
      </c>
      <c r="N129" s="25" t="str">
        <f ca="1">IFERROR(__xludf.DUMMYFUNCTION("""COMPUTED_VALUE"""),"unproven")</f>
        <v>unproven</v>
      </c>
      <c r="O129" s="28"/>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row>
    <row r="130" spans="1:80" ht="12.75" hidden="1" customHeight="1">
      <c r="A130" s="10">
        <f ca="1">IFERROR(__xludf.DUMMYFUNCTION("""COMPUTED_VALUE"""),1996)</f>
        <v>1996</v>
      </c>
      <c r="B130" s="50">
        <f ca="1">IFERROR(__xludf.DUMMYFUNCTION("""COMPUTED_VALUE"""),44568)</f>
        <v>44568</v>
      </c>
      <c r="C130" s="41"/>
      <c r="D130" s="42" t="str">
        <f ca="1">IFERROR(__xludf.DUMMYFUNCTION("""COMPUTED_VALUE"""),"Glossy Ibis")</f>
        <v>Glossy Ibis</v>
      </c>
      <c r="E130" s="53">
        <f ca="1">IFERROR(__xludf.DUMMYFUNCTION("""COMPUTED_VALUE"""),1)</f>
        <v>1</v>
      </c>
      <c r="F130" s="15"/>
      <c r="G130" s="44" t="str">
        <f ca="1">IFERROR(__xludf.DUMMYFUNCTION("""COMPUTED_VALUE"""),"Inner Marsh Farm RSPB")</f>
        <v>Inner Marsh Farm RSPB</v>
      </c>
      <c r="H130" s="12">
        <f ca="1">IFERROR(__xludf.DUMMYFUNCTION("""COMPUTED_VALUE"""),35393)</f>
        <v>35393</v>
      </c>
      <c r="I130" s="13"/>
      <c r="J130" s="14"/>
      <c r="K130" s="15"/>
      <c r="L130" s="17" t="str">
        <f ca="1">IFERROR(__xludf.DUMMYFUNCTION("""COMPUTED_VALUE"""),"closed")</f>
        <v>closed</v>
      </c>
      <c r="M130" s="17"/>
      <c r="N130" s="15" t="str">
        <f ca="1">IFERROR(__xludf.DUMMYFUNCTION("""COMPUTED_VALUE"""),"BBRC-OK")</f>
        <v>BBRC-OK</v>
      </c>
      <c r="O130" s="18" t="str">
        <f ca="1">IFERROR(__xludf.DUMMYFUNCTION("""COMPUTED_VALUE"""),"Inner Marsh Farm and Burton Marsh, 24th to 25th November.")</f>
        <v>Inner Marsh Farm and Burton Marsh, 24th to 25th November.</v>
      </c>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row>
    <row r="131" spans="1:80" ht="12.75" hidden="1" customHeight="1">
      <c r="A131" s="20">
        <f ca="1">IFERROR(__xludf.DUMMYFUNCTION("""COMPUTED_VALUE"""),1997)</f>
        <v>1997</v>
      </c>
      <c r="B131" s="45">
        <f ca="1">IFERROR(__xludf.DUMMYFUNCTION("""COMPUTED_VALUE"""),44568)</f>
        <v>44568</v>
      </c>
      <c r="C131" s="46"/>
      <c r="D131" s="47" t="str">
        <f ca="1">IFERROR(__xludf.DUMMYFUNCTION("""COMPUTED_VALUE"""),"Laughing Gull")</f>
        <v>Laughing Gull</v>
      </c>
      <c r="E131" s="52">
        <f ca="1">IFERROR(__xludf.DUMMYFUNCTION("""COMPUTED_VALUE"""),1)</f>
        <v>1</v>
      </c>
      <c r="F131" s="25" t="str">
        <f ca="1">IFERROR(__xludf.DUMMYFUNCTION("""COMPUTED_VALUE"""),"ad")</f>
        <v>ad</v>
      </c>
      <c r="G131" s="48"/>
      <c r="H131" s="22">
        <f ca="1">IFERROR(__xludf.DUMMYFUNCTION("""COMPUTED_VALUE"""),35442)</f>
        <v>35442</v>
      </c>
      <c r="I131" s="23"/>
      <c r="J131" s="24"/>
      <c r="K131" s="25"/>
      <c r="L131" s="27" t="str">
        <f ca="1">IFERROR(__xludf.DUMMYFUNCTION("""COMPUTED_VALUE"""),"closed")</f>
        <v>closed</v>
      </c>
      <c r="M131" s="27"/>
      <c r="N131" s="25" t="str">
        <f ca="1">IFERROR(__xludf.DUMMYFUNCTION("""COMPUTED_VALUE"""),"BBRC-OK")</f>
        <v>BBRC-OK</v>
      </c>
      <c r="O131" s="28" t="str">
        <f ca="1">IFERROR(__xludf.DUMMYFUNCTION("""COMPUTED_VALUE"""),"Houghton Green, adult, 12th January.")</f>
        <v>Houghton Green, adult, 12th January.</v>
      </c>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row>
    <row r="132" spans="1:80" ht="12.75" hidden="1" customHeight="1">
      <c r="A132" s="10">
        <f ca="1">IFERROR(__xludf.DUMMYFUNCTION("""COMPUTED_VALUE"""),1997)</f>
        <v>1997</v>
      </c>
      <c r="B132" s="50">
        <f ca="1">IFERROR(__xludf.DUMMYFUNCTION("""COMPUTED_VALUE"""),44568)</f>
        <v>44568</v>
      </c>
      <c r="C132" s="41"/>
      <c r="D132" s="42" t="str">
        <f ca="1">IFERROR(__xludf.DUMMYFUNCTION("""COMPUTED_VALUE"""),"Dark-eyed Junco")</f>
        <v>Dark-eyed Junco</v>
      </c>
      <c r="E132" s="53"/>
      <c r="F132" s="15"/>
      <c r="G132" s="44" t="str">
        <f ca="1">IFERROR(__xludf.DUMMYFUNCTION("""COMPUTED_VALUE"""),"Chester")</f>
        <v>Chester</v>
      </c>
      <c r="H132" s="12">
        <f ca="1">IFERROR(__xludf.DUMMYFUNCTION("""COMPUTED_VALUE"""),35779)</f>
        <v>35779</v>
      </c>
      <c r="I132" s="13"/>
      <c r="J132" s="14"/>
      <c r="K132" s="15"/>
      <c r="L132" s="17" t="str">
        <f ca="1">IFERROR(__xludf.DUMMYFUNCTION("""COMPUTED_VALUE"""),"closed")</f>
        <v>closed</v>
      </c>
      <c r="M132" s="17"/>
      <c r="N132" s="15" t="str">
        <f ca="1">IFERROR(__xludf.DUMMYFUNCTION("""COMPUTED_VALUE"""),"BBRC-OK")</f>
        <v>BBRC-OK</v>
      </c>
      <c r="O132" s="18" t="str">
        <f ca="1">IFERROR(__xludf.DUMMYFUNCTION("""COMPUTED_VALUE"""),"Vicar's Cross, Chester, probably first-winter, 15th December to 19th April 1998, photo.")</f>
        <v>Vicar's Cross, Chester, probably first-winter, 15th December to 19th April 1998, photo.</v>
      </c>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row>
    <row r="133" spans="1:80" ht="12.75" hidden="1" customHeight="1">
      <c r="A133" s="20">
        <f ca="1">IFERROR(__xludf.DUMMYFUNCTION("""COMPUTED_VALUE"""),1998)</f>
        <v>1998</v>
      </c>
      <c r="B133" s="45">
        <f ca="1">IFERROR(__xludf.DUMMYFUNCTION("""COMPUTED_VALUE"""),44571)</f>
        <v>44571</v>
      </c>
      <c r="C133" s="46"/>
      <c r="D133" s="47" t="str">
        <f ca="1">IFERROR(__xludf.DUMMYFUNCTION("""COMPUTED_VALUE"""),"Alpine Swift")</f>
        <v>Alpine Swift</v>
      </c>
      <c r="E133" s="52">
        <f ca="1">IFERROR(__xludf.DUMMYFUNCTION("""COMPUTED_VALUE"""),1)</f>
        <v>1</v>
      </c>
      <c r="F133" s="25"/>
      <c r="G133" s="48" t="str">
        <f ca="1">IFERROR(__xludf.DUMMYFUNCTION("""COMPUTED_VALUE"""),"Hoylake")</f>
        <v>Hoylake</v>
      </c>
      <c r="H133" s="22">
        <f ca="1">IFERROR(__xludf.DUMMYFUNCTION("""COMPUTED_VALUE"""),35908)</f>
        <v>35908</v>
      </c>
      <c r="I133" s="23"/>
      <c r="J133" s="24"/>
      <c r="K133" s="25"/>
      <c r="L133" s="27"/>
      <c r="M133" s="27"/>
      <c r="N133" s="25" t="str">
        <f ca="1">IFERROR(__xludf.DUMMYFUNCTION("""COMPUTED_VALUE"""),"BBRC-OK")</f>
        <v>BBRC-OK</v>
      </c>
      <c r="O133" s="28"/>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row>
    <row r="134" spans="1:80" ht="12.75" hidden="1" customHeight="1">
      <c r="A134" s="10">
        <f ca="1">IFERROR(__xludf.DUMMYFUNCTION("""COMPUTED_VALUE"""),1998)</f>
        <v>1998</v>
      </c>
      <c r="B134" s="50">
        <f ca="1">IFERROR(__xludf.DUMMYFUNCTION("""COMPUTED_VALUE"""),44568)</f>
        <v>44568</v>
      </c>
      <c r="C134" s="41"/>
      <c r="D134" s="42" t="str">
        <f ca="1">IFERROR(__xludf.DUMMYFUNCTION("""COMPUTED_VALUE"""),"Bonaparte's Gull")</f>
        <v>Bonaparte's Gull</v>
      </c>
      <c r="E134" s="53">
        <f ca="1">IFERROR(__xludf.DUMMYFUNCTION("""COMPUTED_VALUE"""),1)</f>
        <v>1</v>
      </c>
      <c r="F134" s="15" t="str">
        <f ca="1">IFERROR(__xludf.DUMMYFUNCTION("""COMPUTED_VALUE"""),"1stW")</f>
        <v>1stW</v>
      </c>
      <c r="G134" s="44" t="str">
        <f ca="1">IFERROR(__xludf.DUMMYFUNCTION("""COMPUTED_VALUE"""),"Richmond Bank")</f>
        <v>Richmond Bank</v>
      </c>
      <c r="H134" s="12">
        <f ca="1">IFERROR(__xludf.DUMMYFUNCTION("""COMPUTED_VALUE"""),35846)</f>
        <v>35846</v>
      </c>
      <c r="I134" s="13"/>
      <c r="J134" s="14"/>
      <c r="K134" s="15"/>
      <c r="L134" s="17" t="str">
        <f ca="1">IFERROR(__xludf.DUMMYFUNCTION("""COMPUTED_VALUE"""),"closed")</f>
        <v>closed</v>
      </c>
      <c r="M134" s="17"/>
      <c r="N134" s="15" t="str">
        <f ca="1">IFERROR(__xludf.DUMMYFUNCTION("""COMPUTED_VALUE"""),"BBRC-OK")</f>
        <v>BBRC-OK</v>
      </c>
      <c r="O134" s="18" t="str">
        <f ca="1">IFERROR(__xludf.DUMMYFUNCTION("""COMPUTED_VALUE"""),"Richmond Bank, first-winter, 20th February.")</f>
        <v>Richmond Bank, first-winter, 20th February.</v>
      </c>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row>
    <row r="135" spans="1:80" ht="12.75" hidden="1" customHeight="1">
      <c r="A135" s="20">
        <f ca="1">IFERROR(__xludf.DUMMYFUNCTION("""COMPUTED_VALUE"""),1999)</f>
        <v>1999</v>
      </c>
      <c r="B135" s="45">
        <f ca="1">IFERROR(__xludf.DUMMYFUNCTION("""COMPUTED_VALUE"""),44568)</f>
        <v>44568</v>
      </c>
      <c r="C135" s="46"/>
      <c r="D135" s="47" t="str">
        <f ca="1">IFERROR(__xludf.DUMMYFUNCTION("""COMPUTED_VALUE"""),"Broad-billed Sandpiper")</f>
        <v>Broad-billed Sandpiper</v>
      </c>
      <c r="E135" s="52"/>
      <c r="F135" s="25"/>
      <c r="G135" s="48" t="str">
        <f ca="1">IFERROR(__xludf.DUMMYFUNCTION("""COMPUTED_VALUE"""),"Frodsham")</f>
        <v>Frodsham</v>
      </c>
      <c r="H135" s="22">
        <f ca="1">IFERROR(__xludf.DUMMYFUNCTION("""COMPUTED_VALUE"""),36296)</f>
        <v>36296</v>
      </c>
      <c r="I135" s="23"/>
      <c r="J135" s="24"/>
      <c r="K135" s="25"/>
      <c r="L135" s="27" t="str">
        <f ca="1">IFERROR(__xludf.DUMMYFUNCTION("""COMPUTED_VALUE"""),"closed")</f>
        <v>closed</v>
      </c>
      <c r="M135" s="27"/>
      <c r="N135" s="25" t="str">
        <f ca="1">IFERROR(__xludf.DUMMYFUNCTION("""COMPUTED_VALUE"""),"BBRC-OK")</f>
        <v>BBRC-OK</v>
      </c>
      <c r="O135" s="28" t="str">
        <f ca="1">IFERROR(__xludf.DUMMYFUNCTION("""COMPUTED_VALUE"""),"Frodsham, 16th to 19th May, photo; possibly same as Caernarfonshire.")</f>
        <v>Frodsham, 16th to 19th May, photo; possibly same as Caernarfonshire.</v>
      </c>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row>
    <row r="136" spans="1:80" ht="12.75" hidden="1" customHeight="1">
      <c r="A136" s="10">
        <f ca="1">IFERROR(__xludf.DUMMYFUNCTION("""COMPUTED_VALUE"""),1999)</f>
        <v>1999</v>
      </c>
      <c r="B136" s="50">
        <f ca="1">IFERROR(__xludf.DUMMYFUNCTION("""COMPUTED_VALUE"""),44568)</f>
        <v>44568</v>
      </c>
      <c r="C136" s="41"/>
      <c r="D136" s="42" t="str">
        <f ca="1">IFERROR(__xludf.DUMMYFUNCTION("""COMPUTED_VALUE"""),"Long-billed Dowitcher")</f>
        <v>Long-billed Dowitcher</v>
      </c>
      <c r="E136" s="53"/>
      <c r="F136" s="15"/>
      <c r="G136" s="44" t="str">
        <f ca="1">IFERROR(__xludf.DUMMYFUNCTION("""COMPUTED_VALUE"""),"Frodsham")</f>
        <v>Frodsham</v>
      </c>
      <c r="H136" s="12">
        <f ca="1">IFERROR(__xludf.DUMMYFUNCTION("""COMPUTED_VALUE"""),36210)</f>
        <v>36210</v>
      </c>
      <c r="I136" s="13"/>
      <c r="J136" s="14"/>
      <c r="K136" s="15"/>
      <c r="L136" s="17" t="str">
        <f ca="1">IFERROR(__xludf.DUMMYFUNCTION("""COMPUTED_VALUE"""),"closed")</f>
        <v>closed</v>
      </c>
      <c r="M136" s="17"/>
      <c r="N136" s="15" t="str">
        <f ca="1">IFERROR(__xludf.DUMMYFUNCTION("""COMPUTED_VALUE"""),"BBRC-OK")</f>
        <v>BBRC-OK</v>
      </c>
      <c r="O136" s="18" t="str">
        <f ca="1">IFERROR(__xludf.DUMMYFUNCTION("""COMPUTED_VALUE"""),"Frodsham, age uncertain, intermittently, 19th February to 22nd April; presumed same as Lancashire &amp; North Merseyside.")</f>
        <v>Frodsham, age uncertain, intermittently, 19th February to 22nd April; presumed same as Lancashire &amp; North Merseyside.</v>
      </c>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row>
    <row r="137" spans="1:80" ht="12.75" hidden="1" customHeight="1">
      <c r="A137" s="20">
        <f ca="1">IFERROR(__xludf.DUMMYFUNCTION("""COMPUTED_VALUE"""),1999)</f>
        <v>1999</v>
      </c>
      <c r="B137" s="45">
        <f ca="1">IFERROR(__xludf.DUMMYFUNCTION("""COMPUTED_VALUE"""),44568)</f>
        <v>44568</v>
      </c>
      <c r="C137" s="46"/>
      <c r="D137" s="47" t="str">
        <f ca="1">IFERROR(__xludf.DUMMYFUNCTION("""COMPUTED_VALUE"""),"Terek Sandpiper")</f>
        <v>Terek Sandpiper</v>
      </c>
      <c r="E137" s="52"/>
      <c r="F137" s="25"/>
      <c r="G137" s="48" t="str">
        <f ca="1">IFERROR(__xludf.DUMMYFUNCTION("""COMPUTED_VALUE"""),"Frodsham")</f>
        <v>Frodsham</v>
      </c>
      <c r="H137" s="22">
        <f ca="1">IFERROR(__xludf.DUMMYFUNCTION("""COMPUTED_VALUE"""),36276)</f>
        <v>36276</v>
      </c>
      <c r="I137" s="23"/>
      <c r="J137" s="24"/>
      <c r="K137" s="25"/>
      <c r="L137" s="27" t="str">
        <f ca="1">IFERROR(__xludf.DUMMYFUNCTION("""COMPUTED_VALUE"""),"closed")</f>
        <v>closed</v>
      </c>
      <c r="M137" s="27"/>
      <c r="N137" s="25" t="str">
        <f ca="1">IFERROR(__xludf.DUMMYFUNCTION("""COMPUTED_VALUE"""),"BBRC-OK")</f>
        <v>BBRC-OK</v>
      </c>
      <c r="O137" s="28" t="str">
        <f ca="1">IFERROR(__xludf.DUMMYFUNCTION("""COMPUTED_VALUE"""),"Frodsham Marsh, 26th to 27th April, photo; also in Caernarfonshire.")</f>
        <v>Frodsham Marsh, 26th to 27th April, photo; also in Caernarfonshire.</v>
      </c>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row>
    <row r="138" spans="1:80" ht="12.75" hidden="1" customHeight="1">
      <c r="A138" s="10">
        <f ca="1">IFERROR(__xludf.DUMMYFUNCTION("""COMPUTED_VALUE"""),2000)</f>
        <v>2000</v>
      </c>
      <c r="B138" s="50">
        <f ca="1">IFERROR(__xludf.DUMMYFUNCTION("""COMPUTED_VALUE"""),44568)</f>
        <v>44568</v>
      </c>
      <c r="C138" s="41"/>
      <c r="D138" s="42" t="str">
        <f ca="1">IFERROR(__xludf.DUMMYFUNCTION("""COMPUTED_VALUE"""),"Tawny Pipit")</f>
        <v>Tawny Pipit</v>
      </c>
      <c r="E138" s="53">
        <f ca="1">IFERROR(__xludf.DUMMYFUNCTION("""COMPUTED_VALUE"""),1)</f>
        <v>1</v>
      </c>
      <c r="F138" s="15"/>
      <c r="G138" s="44" t="str">
        <f ca="1">IFERROR(__xludf.DUMMYFUNCTION("""COMPUTED_VALUE"""),"Meols")</f>
        <v>Meols</v>
      </c>
      <c r="H138" s="12">
        <f ca="1">IFERROR(__xludf.DUMMYFUNCTION("""COMPUTED_VALUE"""),36638)</f>
        <v>36638</v>
      </c>
      <c r="I138" s="13"/>
      <c r="J138" s="14"/>
      <c r="K138" s="15"/>
      <c r="L138" s="17" t="str">
        <f ca="1">IFERROR(__xludf.DUMMYFUNCTION("""COMPUTED_VALUE"""),"closed")</f>
        <v>closed</v>
      </c>
      <c r="M138" s="17" t="str">
        <f ca="1">IFERROR(__xludf.DUMMYFUNCTION("""COMPUTED_VALUE"""),"1st U")</f>
        <v>1st U</v>
      </c>
      <c r="N138" s="15" t="str">
        <f ca="1">IFERROR(__xludf.DUMMYFUNCTION("""COMPUTED_VALUE"""),"accepted")</f>
        <v>accepted</v>
      </c>
      <c r="O138" s="18"/>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row>
    <row r="139" spans="1:80" ht="12.75" hidden="1" customHeight="1">
      <c r="A139" s="20">
        <f ca="1">IFERROR(__xludf.DUMMYFUNCTION("""COMPUTED_VALUE"""),2000)</f>
        <v>2000</v>
      </c>
      <c r="B139" s="45">
        <f ca="1">IFERROR(__xludf.DUMMYFUNCTION("""COMPUTED_VALUE"""),44568)</f>
        <v>44568</v>
      </c>
      <c r="C139" s="46"/>
      <c r="D139" s="47" t="str">
        <f ca="1">IFERROR(__xludf.DUMMYFUNCTION("""COMPUTED_VALUE"""),"Blyth's Reed Warbler")</f>
        <v>Blyth's Reed Warbler</v>
      </c>
      <c r="E139" s="52"/>
      <c r="F139" s="25"/>
      <c r="G139" s="48" t="str">
        <f ca="1">IFERROR(__xludf.DUMMYFUNCTION("""COMPUTED_VALUE"""),"Woolston")</f>
        <v>Woolston</v>
      </c>
      <c r="H139" s="22">
        <f ca="1">IFERROR(__xludf.DUMMYFUNCTION("""COMPUTED_VALUE"""),36764)</f>
        <v>36764</v>
      </c>
      <c r="I139" s="23"/>
      <c r="J139" s="24"/>
      <c r="K139" s="25"/>
      <c r="L139" s="27" t="str">
        <f ca="1">IFERROR(__xludf.DUMMYFUNCTION("""COMPUTED_VALUE"""),"closed")</f>
        <v>closed</v>
      </c>
      <c r="M139" s="27"/>
      <c r="N139" s="25" t="str">
        <f ca="1">IFERROR(__xludf.DUMMYFUNCTION("""COMPUTED_VALUE"""),"BBRC-OK")</f>
        <v>BBRC-OK</v>
      </c>
      <c r="O139" s="28" t="str">
        <f ca="1">IFERROR(__xludf.DUMMYFUNCTION("""COMPUTED_VALUE"""),"Woolston Eyes, juvenile, trapped, 26th August, video, photo.")</f>
        <v>Woolston Eyes, juvenile, trapped, 26th August, video, photo.</v>
      </c>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row>
    <row r="140" spans="1:80" ht="12.75" hidden="1" customHeight="1">
      <c r="A140" s="10">
        <f ca="1">IFERROR(__xludf.DUMMYFUNCTION("""COMPUTED_VALUE"""),2001)</f>
        <v>2001</v>
      </c>
      <c r="B140" s="50">
        <f ca="1">IFERROR(__xludf.DUMMYFUNCTION("""COMPUTED_VALUE"""),44568)</f>
        <v>44568</v>
      </c>
      <c r="C140" s="41"/>
      <c r="D140" s="42" t="str">
        <f ca="1">IFERROR(__xludf.DUMMYFUNCTION("""COMPUTED_VALUE"""),"Lesser Scaup")</f>
        <v>Lesser Scaup</v>
      </c>
      <c r="E140" s="53"/>
      <c r="F140" s="15"/>
      <c r="G140" s="44" t="str">
        <f ca="1">IFERROR(__xludf.DUMMYFUNCTION("""COMPUTED_VALUE"""),"Redesmere")</f>
        <v>Redesmere</v>
      </c>
      <c r="H140" s="12">
        <f ca="1">IFERROR(__xludf.DUMMYFUNCTION("""COMPUTED_VALUE"""),36994)</f>
        <v>36994</v>
      </c>
      <c r="I140" s="12"/>
      <c r="J140" s="14"/>
      <c r="K140" s="15"/>
      <c r="L140" s="17" t="str">
        <f ca="1">IFERROR(__xludf.DUMMYFUNCTION("""COMPUTED_VALUE"""),"closed")</f>
        <v>closed</v>
      </c>
      <c r="M140" s="17"/>
      <c r="N140" s="15" t="str">
        <f ca="1">IFERROR(__xludf.DUMMYFUNCTION("""COMPUTED_VALUE"""),"BBRC-OK")</f>
        <v>BBRC-OK</v>
      </c>
      <c r="O140" s="18" t="str">
        <f ca="1">IFERROR(__xludf.DUMMYFUNCTION("""COMPUTED_VALUE"""),"Redesmere, adult male, 13th to 24th April, photo.")</f>
        <v>Redesmere, adult male, 13th to 24th April, photo.</v>
      </c>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row>
    <row r="141" spans="1:80" ht="12.75" hidden="1" customHeight="1">
      <c r="A141" s="20">
        <f ca="1">IFERROR(__xludf.DUMMYFUNCTION("""COMPUTED_VALUE"""),2001)</f>
        <v>2001</v>
      </c>
      <c r="B141" s="45">
        <f ca="1">IFERROR(__xludf.DUMMYFUNCTION("""COMPUTED_VALUE"""),44568)</f>
        <v>44568</v>
      </c>
      <c r="C141" s="46"/>
      <c r="D141" s="47" t="str">
        <f ca="1">IFERROR(__xludf.DUMMYFUNCTION("""COMPUTED_VALUE"""),"Laughing Gull")</f>
        <v>Laughing Gull</v>
      </c>
      <c r="E141" s="52">
        <f ca="1">IFERROR(__xludf.DUMMYFUNCTION("""COMPUTED_VALUE"""),1)</f>
        <v>1</v>
      </c>
      <c r="F141" s="25" t="str">
        <f ca="1">IFERROR(__xludf.DUMMYFUNCTION("""COMPUTED_VALUE"""),"1st W")</f>
        <v>1st W</v>
      </c>
      <c r="G141" s="48"/>
      <c r="H141" s="22">
        <f ca="1">IFERROR(__xludf.DUMMYFUNCTION("""COMPUTED_VALUE"""),37166)</f>
        <v>37166</v>
      </c>
      <c r="I141" s="22"/>
      <c r="J141" s="24"/>
      <c r="K141" s="25"/>
      <c r="L141" s="27" t="str">
        <f ca="1">IFERROR(__xludf.DUMMYFUNCTION("""COMPUTED_VALUE"""),"closed")</f>
        <v>closed</v>
      </c>
      <c r="M141" s="27"/>
      <c r="N141" s="25" t="str">
        <f ca="1">IFERROR(__xludf.DUMMYFUNCTION("""COMPUTED_VALUE"""),"BBRC-OK")</f>
        <v>BBRC-OK</v>
      </c>
      <c r="O141" s="28" t="str">
        <f ca="1">IFERROR(__xludf.DUMMYFUNCTION("""COMPUTED_VALUE"""),"West Kirby, Wirral, first-winter, 2nd October.")</f>
        <v>West Kirby, Wirral, first-winter, 2nd October.</v>
      </c>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row>
    <row r="142" spans="1:80" ht="12.75" hidden="1" customHeight="1">
      <c r="A142" s="10">
        <f ca="1">IFERROR(__xludf.DUMMYFUNCTION("""COMPUTED_VALUE"""),2002)</f>
        <v>2002</v>
      </c>
      <c r="B142" s="50">
        <f ca="1">IFERROR(__xludf.DUMMYFUNCTION("""COMPUTED_VALUE"""),44568)</f>
        <v>44568</v>
      </c>
      <c r="C142" s="41"/>
      <c r="D142" s="42" t="str">
        <f ca="1">IFERROR(__xludf.DUMMYFUNCTION("""COMPUTED_VALUE"""),"Lesser Yellowlegs")</f>
        <v>Lesser Yellowlegs</v>
      </c>
      <c r="E142" s="53"/>
      <c r="F142" s="15"/>
      <c r="G142" s="44" t="str">
        <f ca="1">IFERROR(__xludf.DUMMYFUNCTION("""COMPUTED_VALUE"""),"Frodsham")</f>
        <v>Frodsham</v>
      </c>
      <c r="H142" s="12">
        <f ca="1">IFERROR(__xludf.DUMMYFUNCTION("""COMPUTED_VALUE"""),37332)</f>
        <v>37332</v>
      </c>
      <c r="I142" s="12">
        <f ca="1">IFERROR(__xludf.DUMMYFUNCTION("""COMPUTED_VALUE"""),37361)</f>
        <v>37361</v>
      </c>
      <c r="J142" s="14"/>
      <c r="K142" s="15"/>
      <c r="L142" s="17" t="str">
        <f ca="1">IFERROR(__xludf.DUMMYFUNCTION("""COMPUTED_VALUE"""),"closed")</f>
        <v>closed</v>
      </c>
      <c r="M142" s="17"/>
      <c r="N142" s="15" t="str">
        <f ca="1">IFERROR(__xludf.DUMMYFUNCTION("""COMPUTED_VALUE"""),"BBRC-OK")</f>
        <v>BBRC-OK</v>
      </c>
      <c r="O142" s="18" t="str">
        <f ca="1">IFERROR(__xludf.DUMMYFUNCTION("""COMPUTED_VALUE"""),"Frodsham, 17th March to about 15th April.")</f>
        <v>Frodsham, 17th March to about 15th April.</v>
      </c>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row>
    <row r="143" spans="1:80" ht="12.75" hidden="1" customHeight="1">
      <c r="A143" s="20">
        <f ca="1">IFERROR(__xludf.DUMMYFUNCTION("""COMPUTED_VALUE"""),2002)</f>
        <v>2002</v>
      </c>
      <c r="B143" s="45">
        <f ca="1">IFERROR(__xludf.DUMMYFUNCTION("""COMPUTED_VALUE"""),44568)</f>
        <v>44568</v>
      </c>
      <c r="C143" s="46"/>
      <c r="D143" s="47" t="str">
        <f ca="1">IFERROR(__xludf.DUMMYFUNCTION("""COMPUTED_VALUE"""),"Lesser Yellowlegs")</f>
        <v>Lesser Yellowlegs</v>
      </c>
      <c r="E143" s="52"/>
      <c r="F143" s="25"/>
      <c r="G143" s="48" t="str">
        <f ca="1">IFERROR(__xludf.DUMMYFUNCTION("""COMPUTED_VALUE"""),"Sandbach")</f>
        <v>Sandbach</v>
      </c>
      <c r="H143" s="22">
        <f ca="1">IFERROR(__xludf.DUMMYFUNCTION("""COMPUTED_VALUE"""),37546)</f>
        <v>37546</v>
      </c>
      <c r="I143" s="23"/>
      <c r="J143" s="24"/>
      <c r="K143" s="25"/>
      <c r="L143" s="27" t="str">
        <f ca="1">IFERROR(__xludf.DUMMYFUNCTION("""COMPUTED_VALUE"""),"closed")</f>
        <v>closed</v>
      </c>
      <c r="M143" s="27"/>
      <c r="N143" s="25" t="str">
        <f ca="1">IFERROR(__xludf.DUMMYFUNCTION("""COMPUTED_VALUE"""),"BBRC-OK")</f>
        <v>BBRC-OK</v>
      </c>
      <c r="O143" s="28" t="str">
        <f ca="1">IFERROR(__xludf.DUMMYFUNCTION("""COMPUTED_VALUE"""),"Elton Hall Flash, Sandbach, juvenile, 17th October, photo.")</f>
        <v>Elton Hall Flash, Sandbach, juvenile, 17th October, photo.</v>
      </c>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row>
    <row r="144" spans="1:80" ht="12.75" hidden="1" customHeight="1">
      <c r="A144" s="10">
        <f ca="1">IFERROR(__xludf.DUMMYFUNCTION("""COMPUTED_VALUE"""),2002)</f>
        <v>2002</v>
      </c>
      <c r="B144" s="50">
        <f ca="1">IFERROR(__xludf.DUMMYFUNCTION("""COMPUTED_VALUE"""),44568)</f>
        <v>44568</v>
      </c>
      <c r="C144" s="41"/>
      <c r="D144" s="42" t="str">
        <f ca="1">IFERROR(__xludf.DUMMYFUNCTION("""COMPUTED_VALUE"""),"Marsh Sandpiper")</f>
        <v>Marsh Sandpiper</v>
      </c>
      <c r="E144" s="53"/>
      <c r="F144" s="15"/>
      <c r="G144" s="44" t="str">
        <f ca="1">IFERROR(__xludf.DUMMYFUNCTION("""COMPUTED_VALUE"""),"Inner Marsh Farm RSPB")</f>
        <v>Inner Marsh Farm RSPB</v>
      </c>
      <c r="H144" s="12">
        <f ca="1">IFERROR(__xludf.DUMMYFUNCTION("""COMPUTED_VALUE"""),37458)</f>
        <v>37458</v>
      </c>
      <c r="I144" s="12"/>
      <c r="J144" s="14"/>
      <c r="K144" s="15"/>
      <c r="L144" s="17" t="str">
        <f ca="1">IFERROR(__xludf.DUMMYFUNCTION("""COMPUTED_VALUE"""),"closed")</f>
        <v>closed</v>
      </c>
      <c r="M144" s="17"/>
      <c r="N144" s="15" t="str">
        <f ca="1">IFERROR(__xludf.DUMMYFUNCTION("""COMPUTED_VALUE"""),"BBRC-OK")</f>
        <v>BBRC-OK</v>
      </c>
      <c r="O144" s="18" t="str">
        <f ca="1">IFERROR(__xludf.DUMMYFUNCTION("""COMPUTED_VALUE"""),"Inner Marsh Farm RSPB, adult, 21st to 29th July.")</f>
        <v>Inner Marsh Farm RSPB, adult, 21st to 29th July.</v>
      </c>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row>
    <row r="145" spans="1:80" ht="12.75" hidden="1" customHeight="1">
      <c r="A145" s="20">
        <f ca="1">IFERROR(__xludf.DUMMYFUNCTION("""COMPUTED_VALUE"""),2002)</f>
        <v>2002</v>
      </c>
      <c r="B145" s="45">
        <f ca="1">IFERROR(__xludf.DUMMYFUNCTION("""COMPUTED_VALUE"""),40026)</f>
        <v>40026</v>
      </c>
      <c r="C145" s="46">
        <f ca="1">IFERROR(__xludf.DUMMYFUNCTION("""COMPUTED_VALUE"""),39998)</f>
        <v>39998</v>
      </c>
      <c r="D145" s="47" t="str">
        <f ca="1">IFERROR(__xludf.DUMMYFUNCTION("""COMPUTED_VALUE"""),"Kumlien's Gull")</f>
        <v>Kumlien's Gull</v>
      </c>
      <c r="E145" s="52">
        <f ca="1">IFERROR(__xludf.DUMMYFUNCTION("""COMPUTED_VALUE"""),1)</f>
        <v>1</v>
      </c>
      <c r="F145" s="25" t="str">
        <f ca="1">IFERROR(__xludf.DUMMYFUNCTION("""COMPUTED_VALUE"""),"as S")</f>
        <v>as S</v>
      </c>
      <c r="G145" s="48" t="str">
        <f ca="1">IFERROR(__xludf.DUMMYFUNCTION("""COMPUTED_VALUE"""),"Moore")</f>
        <v>Moore</v>
      </c>
      <c r="H145" s="22">
        <f ca="1">IFERROR(__xludf.DUMMYFUNCTION("""COMPUTED_VALUE"""),37337)</f>
        <v>37337</v>
      </c>
      <c r="I145" s="23"/>
      <c r="J145" s="24" t="str">
        <f ca="1">IFERROR(__xludf.DUMMYFUNCTION("""COMPUTED_VALUE"""),"Minton, S")</f>
        <v>Minton, S</v>
      </c>
      <c r="K145" s="25" t="str">
        <f ca="1">IFERROR(__xludf.DUMMYFUNCTION("""COMPUTED_VALUE"""),"Minton, S")</f>
        <v>Minton, S</v>
      </c>
      <c r="L145" s="27" t="str">
        <f ca="1">IFERROR(__xludf.DUMMYFUNCTION("""COMPUTED_VALUE"""),"closed")</f>
        <v>closed</v>
      </c>
      <c r="M145" s="27" t="str">
        <f ca="1">IFERROR(__xludf.DUMMYFUNCTION("""COMPUTED_VALUE"""),"1st U")</f>
        <v>1st U</v>
      </c>
      <c r="N145" s="25" t="str">
        <f ca="1">IFERROR(__xludf.DUMMYFUNCTION("""COMPUTED_VALUE"""),"accepted")</f>
        <v>accepted</v>
      </c>
      <c r="O145" s="28"/>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row>
    <row r="146" spans="1:80" ht="12.75" hidden="1" customHeight="1">
      <c r="A146" s="10">
        <f ca="1">IFERROR(__xludf.DUMMYFUNCTION("""COMPUTED_VALUE"""),2002)</f>
        <v>2002</v>
      </c>
      <c r="B146" s="50">
        <f ca="1">IFERROR(__xludf.DUMMYFUNCTION("""COMPUTED_VALUE"""),40026)</f>
        <v>40026</v>
      </c>
      <c r="C146" s="41">
        <f ca="1">IFERROR(__xludf.DUMMYFUNCTION("""COMPUTED_VALUE"""),39998)</f>
        <v>39998</v>
      </c>
      <c r="D146" s="42" t="str">
        <f ca="1">IFERROR(__xludf.DUMMYFUNCTION("""COMPUTED_VALUE"""),"Caspian Gull")</f>
        <v>Caspian Gull</v>
      </c>
      <c r="E146" s="53">
        <f ca="1">IFERROR(__xludf.DUMMYFUNCTION("""COMPUTED_VALUE"""),1)</f>
        <v>1</v>
      </c>
      <c r="F146" s="15" t="str">
        <f ca="1">IFERROR(__xludf.DUMMYFUNCTION("""COMPUTED_VALUE"""),"1st w")</f>
        <v>1st w</v>
      </c>
      <c r="G146" s="44" t="str">
        <f ca="1">IFERROR(__xludf.DUMMYFUNCTION("""COMPUTED_VALUE"""),"Moore")</f>
        <v>Moore</v>
      </c>
      <c r="H146" s="12">
        <f ca="1">IFERROR(__xludf.DUMMYFUNCTION("""COMPUTED_VALUE"""),37337)</f>
        <v>37337</v>
      </c>
      <c r="I146" s="12"/>
      <c r="J146" s="14"/>
      <c r="K146" s="15"/>
      <c r="L146" s="17" t="str">
        <f ca="1">IFERROR(__xludf.DUMMYFUNCTION("""COMPUTED_VALUE"""),"closed")</f>
        <v>closed</v>
      </c>
      <c r="M146" s="17" t="str">
        <f ca="1">IFERROR(__xludf.DUMMYFUNCTION("""COMPUTED_VALUE"""),"1st U")</f>
        <v>1st U</v>
      </c>
      <c r="N146" s="15" t="str">
        <f ca="1">IFERROR(__xludf.DUMMYFUNCTION("""COMPUTED_VALUE"""),"unproven")</f>
        <v>unproven</v>
      </c>
      <c r="O146" s="18" t="str">
        <f ca="1">IFERROR(__xludf.DUMMYFUNCTION("""COMPUTED_VALUE"""),"michahellis not excluded")</f>
        <v>michahellis not excluded</v>
      </c>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row>
    <row r="147" spans="1:80" ht="12.75" hidden="1" customHeight="1">
      <c r="A147" s="20">
        <f ca="1">IFERROR(__xludf.DUMMYFUNCTION("""COMPUTED_VALUE"""),2002)</f>
        <v>2002</v>
      </c>
      <c r="B147" s="45">
        <f ca="1">IFERROR(__xludf.DUMMYFUNCTION("""COMPUTED_VALUE"""),44568)</f>
        <v>44568</v>
      </c>
      <c r="C147" s="46"/>
      <c r="D147" s="47" t="str">
        <f ca="1">IFERROR(__xludf.DUMMYFUNCTION("""COMPUTED_VALUE"""),"Gull-billed Tern")</f>
        <v>Gull-billed Tern</v>
      </c>
      <c r="E147" s="52">
        <f ca="1">IFERROR(__xludf.DUMMYFUNCTION("""COMPUTED_VALUE"""),1)</f>
        <v>1</v>
      </c>
      <c r="F147" s="25"/>
      <c r="G147" s="48" t="str">
        <f ca="1">IFERROR(__xludf.DUMMYFUNCTION("""COMPUTED_VALUE"""),"Inner Marsh Farm RSPB")</f>
        <v>Inner Marsh Farm RSPB</v>
      </c>
      <c r="H147" s="22">
        <f ca="1">IFERROR(__xludf.DUMMYFUNCTION("""COMPUTED_VALUE"""),37394)</f>
        <v>37394</v>
      </c>
      <c r="I147" s="22"/>
      <c r="J147" s="24"/>
      <c r="K147" s="25"/>
      <c r="L147" s="27" t="str">
        <f ca="1">IFERROR(__xludf.DUMMYFUNCTION("""COMPUTED_VALUE"""),"closed")</f>
        <v>closed</v>
      </c>
      <c r="M147" s="27"/>
      <c r="N147" s="25" t="str">
        <f ca="1">IFERROR(__xludf.DUMMYFUNCTION("""COMPUTED_VALUE"""),"BBRC-OK")</f>
        <v>BBRC-OK</v>
      </c>
      <c r="O147" s="28" t="str">
        <f ca="1">IFERROR(__xludf.DUMMYFUNCTION("""COMPUTED_VALUE"""),"Inner Marsh Farm RSPB, 18th May.")</f>
        <v>Inner Marsh Farm RSPB, 18th May.</v>
      </c>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row>
    <row r="148" spans="1:80" ht="12.75" hidden="1" customHeight="1">
      <c r="A148" s="10">
        <f ca="1">IFERROR(__xludf.DUMMYFUNCTION("""COMPUTED_VALUE"""),2002)</f>
        <v>2002</v>
      </c>
      <c r="B148" s="50">
        <f ca="1">IFERROR(__xludf.DUMMYFUNCTION("""COMPUTED_VALUE"""),39083)</f>
        <v>39083</v>
      </c>
      <c r="C148" s="41" t="str">
        <f ca="1">IFERROR(__xludf.DUMMYFUNCTION("""COMPUTED_VALUE"""),"2006")</f>
        <v>2006</v>
      </c>
      <c r="D148" s="42" t="str">
        <f ca="1">IFERROR(__xludf.DUMMYFUNCTION("""COMPUTED_VALUE"""),"Chough")</f>
        <v>Chough</v>
      </c>
      <c r="E148" s="53">
        <f ca="1">IFERROR(__xludf.DUMMYFUNCTION("""COMPUTED_VALUE"""),1)</f>
        <v>1</v>
      </c>
      <c r="F148" s="15"/>
      <c r="G148" s="44" t="str">
        <f ca="1">IFERROR(__xludf.DUMMYFUNCTION("""COMPUTED_VALUE"""),"Pott Shrigley")</f>
        <v>Pott Shrigley</v>
      </c>
      <c r="H148" s="12">
        <f ca="1">IFERROR(__xludf.DUMMYFUNCTION("""COMPUTED_VALUE"""),37506)</f>
        <v>37506</v>
      </c>
      <c r="I148" s="13"/>
      <c r="J148" s="14"/>
      <c r="K148" s="15"/>
      <c r="L148" s="17" t="str">
        <f ca="1">IFERROR(__xludf.DUMMYFUNCTION("""COMPUTED_VALUE"""),"closed")</f>
        <v>closed</v>
      </c>
      <c r="M148" s="17" t="str">
        <f ca="1">IFERROR(__xludf.DUMMYFUNCTION("""COMPUTED_VALUE"""),"1st U")</f>
        <v>1st U</v>
      </c>
      <c r="N148" s="15" t="str">
        <f ca="1">IFERROR(__xludf.DUMMYFUNCTION("""COMPUTED_VALUE"""),"unproven")</f>
        <v>unproven</v>
      </c>
      <c r="O148" s="18"/>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row>
    <row r="149" spans="1:80" ht="12.75" hidden="1" customHeight="1">
      <c r="A149" s="20">
        <f ca="1">IFERROR(__xludf.DUMMYFUNCTION("""COMPUTED_VALUE"""),2002)</f>
        <v>2002</v>
      </c>
      <c r="B149" s="45"/>
      <c r="C149" s="46"/>
      <c r="D149" s="47" t="str">
        <f ca="1">IFERROR(__xludf.DUMMYFUNCTION("""COMPUTED_VALUE"""),"Aquatic Warbler")</f>
        <v>Aquatic Warbler</v>
      </c>
      <c r="E149" s="52">
        <f ca="1">IFERROR(__xludf.DUMMYFUNCTION("""COMPUTED_VALUE"""),1)</f>
        <v>1</v>
      </c>
      <c r="F149" s="25" t="str">
        <f ca="1">IFERROR(__xludf.DUMMYFUNCTION("""COMPUTED_VALUE"""),"juv")</f>
        <v>juv</v>
      </c>
      <c r="G149" s="48" t="str">
        <f ca="1">IFERROR(__xludf.DUMMYFUNCTION("""COMPUTED_VALUE"""),"Frodsham")</f>
        <v>Frodsham</v>
      </c>
      <c r="H149" s="22">
        <f ca="1">IFERROR(__xludf.DUMMYFUNCTION("""COMPUTED_VALUE"""),37475)</f>
        <v>37475</v>
      </c>
      <c r="I149" s="23"/>
      <c r="J149" s="24"/>
      <c r="K149" s="25"/>
      <c r="L149" s="27" t="str">
        <f ca="1">IFERROR(__xludf.DUMMYFUNCTION("""COMPUTED_VALUE"""),"limbo")</f>
        <v>limbo</v>
      </c>
      <c r="M149" s="27"/>
      <c r="N149" s="25" t="str">
        <f ca="1">IFERROR(__xludf.DUMMYFUNCTION("""COMPUTED_VALUE"""),"BBRC-Not submitted")</f>
        <v>BBRC-Not submitted</v>
      </c>
      <c r="O149" s="28" t="str">
        <f ca="1">IFERROR(__xludf.DUMMYFUNCTION("""COMPUTED_VALUE"""),"trapped and ringed")</f>
        <v>trapped and ringed</v>
      </c>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row>
    <row r="150" spans="1:80" ht="12.75" hidden="1" customHeight="1">
      <c r="A150" s="10">
        <f ca="1">IFERROR(__xludf.DUMMYFUNCTION("""COMPUTED_VALUE"""),2003)</f>
        <v>2003</v>
      </c>
      <c r="B150" s="50">
        <f ca="1">IFERROR(__xludf.DUMMYFUNCTION("""COMPUTED_VALUE"""),44568)</f>
        <v>44568</v>
      </c>
      <c r="C150" s="41"/>
      <c r="D150" s="42" t="str">
        <f ca="1">IFERROR(__xludf.DUMMYFUNCTION("""COMPUTED_VALUE"""),"Long-billed Dowitcher")</f>
        <v>Long-billed Dowitcher</v>
      </c>
      <c r="E150" s="53"/>
      <c r="F150" s="15"/>
      <c r="G150" s="44" t="str">
        <f ca="1">IFERROR(__xludf.DUMMYFUNCTION("""COMPUTED_VALUE"""),"Inner Marsh Farm RSPB")</f>
        <v>Inner Marsh Farm RSPB</v>
      </c>
      <c r="H150" s="12">
        <f ca="1">IFERROR(__xludf.DUMMYFUNCTION("""COMPUTED_VALUE"""),37649)</f>
        <v>37649</v>
      </c>
      <c r="I150" s="13"/>
      <c r="J150" s="14"/>
      <c r="K150" s="15"/>
      <c r="L150" s="17" t="str">
        <f ca="1">IFERROR(__xludf.DUMMYFUNCTION("""COMPUTED_VALUE"""),"closed")</f>
        <v>closed</v>
      </c>
      <c r="M150" s="17"/>
      <c r="N150" s="15" t="str">
        <f ca="1">IFERROR(__xludf.DUMMYFUNCTION("""COMPUTED_VALUE"""),"BBRC-OK")</f>
        <v>BBRC-OK</v>
      </c>
      <c r="O150" s="18" t="str">
        <f ca="1">IFERROR(__xludf.DUMMYFUNCTION("""COMPUTED_VALUE"""),"Inner Marsh Farm RSPB, first-winter, 28th January, photo.")</f>
        <v>Inner Marsh Farm RSPB, first-winter, 28th January, photo.</v>
      </c>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row>
    <row r="151" spans="1:80" ht="12.75" hidden="1" customHeight="1">
      <c r="A151" s="20">
        <f ca="1">IFERROR(__xludf.DUMMYFUNCTION("""COMPUTED_VALUE"""),2003)</f>
        <v>2003</v>
      </c>
      <c r="B151" s="45">
        <f ca="1">IFERROR(__xludf.DUMMYFUNCTION("""COMPUTED_VALUE"""),44568)</f>
        <v>44568</v>
      </c>
      <c r="C151" s="46"/>
      <c r="D151" s="47" t="str">
        <f ca="1">IFERROR(__xludf.DUMMYFUNCTION("""COMPUTED_VALUE"""),"White-throated Sparrow")</f>
        <v>White-throated Sparrow</v>
      </c>
      <c r="E151" s="52">
        <f ca="1">IFERROR(__xludf.DUMMYFUNCTION("""COMPUTED_VALUE"""),1)</f>
        <v>1</v>
      </c>
      <c r="F151" s="25"/>
      <c r="G151" s="48" t="str">
        <f ca="1">IFERROR(__xludf.DUMMYFUNCTION("""COMPUTED_VALUE"""),"Caldy")</f>
        <v>Caldy</v>
      </c>
      <c r="H151" s="22">
        <f ca="1">IFERROR(__xludf.DUMMYFUNCTION("""COMPUTED_VALUE"""),37762)</f>
        <v>37762</v>
      </c>
      <c r="I151" s="22"/>
      <c r="J151" s="24"/>
      <c r="K151" s="25"/>
      <c r="L151" s="27" t="str">
        <f ca="1">IFERROR(__xludf.DUMMYFUNCTION("""COMPUTED_VALUE"""),"closed")</f>
        <v>closed</v>
      </c>
      <c r="M151" s="27"/>
      <c r="N151" s="25" t="str">
        <f ca="1">IFERROR(__xludf.DUMMYFUNCTION("""COMPUTED_VALUE"""),"BBRC-OK")</f>
        <v>BBRC-OK</v>
      </c>
      <c r="O151" s="28" t="str">
        <f ca="1">IFERROR(__xludf.DUMMYFUNCTION("""COMPUTED_VALUE"""),"Caldy, Wirral, 21st to 23rd May, photo.")</f>
        <v>Caldy, Wirral, 21st to 23rd May, photo.</v>
      </c>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row>
    <row r="152" spans="1:80" ht="12.75" hidden="1" customHeight="1">
      <c r="A152" s="10">
        <f ca="1">IFERROR(__xludf.DUMMYFUNCTION("""COMPUTED_VALUE"""),2004)</f>
        <v>2004</v>
      </c>
      <c r="B152" s="50">
        <f ca="1">IFERROR(__xludf.DUMMYFUNCTION("""COMPUTED_VALUE"""),44568)</f>
        <v>44568</v>
      </c>
      <c r="C152" s="41"/>
      <c r="D152" s="42" t="str">
        <f ca="1">IFERROR(__xludf.DUMMYFUNCTION("""COMPUTED_VALUE"""),"Lesser Scaup")</f>
        <v>Lesser Scaup</v>
      </c>
      <c r="E152" s="53"/>
      <c r="F152" s="15"/>
      <c r="G152" s="44" t="str">
        <f ca="1">IFERROR(__xludf.DUMMYFUNCTION("""COMPUTED_VALUE"""),"Sandbach")</f>
        <v>Sandbach</v>
      </c>
      <c r="H152" s="12">
        <f ca="1">IFERROR(__xludf.DUMMYFUNCTION("""COMPUTED_VALUE"""),38263)</f>
        <v>38263</v>
      </c>
      <c r="I152" s="12"/>
      <c r="J152" s="14"/>
      <c r="K152" s="15"/>
      <c r="L152" s="17" t="str">
        <f ca="1">IFERROR(__xludf.DUMMYFUNCTION("""COMPUTED_VALUE"""),"closed")</f>
        <v>closed</v>
      </c>
      <c r="M152" s="17"/>
      <c r="N152" s="15" t="str">
        <f ca="1">IFERROR(__xludf.DUMMYFUNCTION("""COMPUTED_VALUE"""),"BBRC-OK")</f>
        <v>BBRC-OK</v>
      </c>
      <c r="O152" s="18" t="str">
        <f ca="1">IFERROR(__xludf.DUMMYFUNCTION("""COMPUTED_VALUE"""),"Sandbach Flashes, male, 3rd October to 12th November, photo.")</f>
        <v>Sandbach Flashes, male, 3rd October to 12th November, photo.</v>
      </c>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row>
    <row r="153" spans="1:80" ht="12.75" hidden="1" customHeight="1">
      <c r="A153" s="20">
        <f ca="1">IFERROR(__xludf.DUMMYFUNCTION("""COMPUTED_VALUE"""),2004)</f>
        <v>2004</v>
      </c>
      <c r="B153" s="45">
        <f ca="1">IFERROR(__xludf.DUMMYFUNCTION("""COMPUTED_VALUE"""),39083)</f>
        <v>39083</v>
      </c>
      <c r="C153" s="46" t="str">
        <f ca="1">IFERROR(__xludf.DUMMYFUNCTION("""COMPUTED_VALUE"""),"2006")</f>
        <v>2006</v>
      </c>
      <c r="D153" s="47" t="str">
        <f ca="1">IFERROR(__xludf.DUMMYFUNCTION("""COMPUTED_VALUE"""),"Common Redpoll")</f>
        <v>Common Redpoll</v>
      </c>
      <c r="E153" s="52">
        <f ca="1">IFERROR(__xludf.DUMMYFUNCTION("""COMPUTED_VALUE"""),3)</f>
        <v>3</v>
      </c>
      <c r="F153" s="25"/>
      <c r="G153" s="48" t="str">
        <f ca="1">IFERROR(__xludf.DUMMYFUNCTION("""COMPUTED_VALUE"""),"Farndon")</f>
        <v>Farndon</v>
      </c>
      <c r="H153" s="22">
        <f ca="1">IFERROR(__xludf.DUMMYFUNCTION("""COMPUTED_VALUE"""),38012)</f>
        <v>38012</v>
      </c>
      <c r="I153" s="23"/>
      <c r="J153" s="24" t="str">
        <f ca="1">IFERROR(__xludf.DUMMYFUNCTION("""COMPUTED_VALUE"""),"Friswell, N")</f>
        <v>Friswell, N</v>
      </c>
      <c r="K153" s="25" t="str">
        <f ca="1">IFERROR(__xludf.DUMMYFUNCTION("""COMPUTED_VALUE"""),"Friswell, N")</f>
        <v>Friswell, N</v>
      </c>
      <c r="L153" s="27" t="str">
        <f ca="1">IFERROR(__xludf.DUMMYFUNCTION("""COMPUTED_VALUE"""),"closed")</f>
        <v>closed</v>
      </c>
      <c r="M153" s="27" t="str">
        <f ca="1">IFERROR(__xludf.DUMMYFUNCTION("""COMPUTED_VALUE"""),"1st U")</f>
        <v>1st U</v>
      </c>
      <c r="N153" s="25" t="str">
        <f ca="1">IFERROR(__xludf.DUMMYFUNCTION("""COMPUTED_VALUE"""),"Accepted")</f>
        <v>Accepted</v>
      </c>
      <c r="O153" s="28"/>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row>
    <row r="154" spans="1:80" ht="12.75" hidden="1" customHeight="1">
      <c r="A154" s="10">
        <f ca="1">IFERROR(__xludf.DUMMYFUNCTION("""COMPUTED_VALUE"""),2004)</f>
        <v>2004</v>
      </c>
      <c r="B154" s="50">
        <f ca="1">IFERROR(__xludf.DUMMYFUNCTION("""COMPUTED_VALUE"""),44568)</f>
        <v>44568</v>
      </c>
      <c r="C154" s="41"/>
      <c r="D154" s="42" t="str">
        <f ca="1">IFERROR(__xludf.DUMMYFUNCTION("""COMPUTED_VALUE"""),"Spotted Sandpiper")</f>
        <v>Spotted Sandpiper</v>
      </c>
      <c r="E154" s="53"/>
      <c r="F154" s="15"/>
      <c r="G154" s="44" t="str">
        <f ca="1">IFERROR(__xludf.DUMMYFUNCTION("""COMPUTED_VALUE"""),"Sandbach")</f>
        <v>Sandbach</v>
      </c>
      <c r="H154" s="12">
        <f ca="1">IFERROR(__xludf.DUMMYFUNCTION("""COMPUTED_VALUE"""),38150)</f>
        <v>38150</v>
      </c>
      <c r="I154" s="13"/>
      <c r="J154" s="14"/>
      <c r="K154" s="15"/>
      <c r="L154" s="17" t="str">
        <f ca="1">IFERROR(__xludf.DUMMYFUNCTION("""COMPUTED_VALUE"""),"closed")</f>
        <v>closed</v>
      </c>
      <c r="M154" s="17"/>
      <c r="N154" s="15" t="str">
        <f ca="1">IFERROR(__xludf.DUMMYFUNCTION("""COMPUTED_VALUE"""),"BBRC-OK")</f>
        <v>BBRC-OK</v>
      </c>
      <c r="O154" s="18" t="str">
        <f ca="1">IFERROR(__xludf.DUMMYFUNCTION("""COMPUTED_VALUE"""),"Elton Hall Flash, Sandbach, 12th June, photo.")</f>
        <v>Elton Hall Flash, Sandbach, 12th June, photo.</v>
      </c>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row>
    <row r="155" spans="1:80" ht="12.75" hidden="1" customHeight="1">
      <c r="A155" s="20">
        <f ca="1">IFERROR(__xludf.DUMMYFUNCTION("""COMPUTED_VALUE"""),2004)</f>
        <v>2004</v>
      </c>
      <c r="B155" s="45">
        <f ca="1">IFERROR(__xludf.DUMMYFUNCTION("""COMPUTED_VALUE"""),44568)</f>
        <v>44568</v>
      </c>
      <c r="C155" s="46"/>
      <c r="D155" s="47" t="str">
        <f ca="1">IFERROR(__xludf.DUMMYFUNCTION("""COMPUTED_VALUE"""),"Bonaparte's Gull")</f>
        <v>Bonaparte's Gull</v>
      </c>
      <c r="E155" s="52">
        <f ca="1">IFERROR(__xludf.DUMMYFUNCTION("""COMPUTED_VALUE"""),1)</f>
        <v>1</v>
      </c>
      <c r="F155" s="25" t="str">
        <f ca="1">IFERROR(__xludf.DUMMYFUNCTION("""COMPUTED_VALUE"""),"ad")</f>
        <v>ad</v>
      </c>
      <c r="G155" s="48" t="str">
        <f ca="1">IFERROR(__xludf.DUMMYFUNCTION("""COMPUTED_VALUE"""),"Inner Marsh Farm RSPB")</f>
        <v>Inner Marsh Farm RSPB</v>
      </c>
      <c r="H155" s="22">
        <f ca="1">IFERROR(__xludf.DUMMYFUNCTION("""COMPUTED_VALUE"""),38127)</f>
        <v>38127</v>
      </c>
      <c r="I155" s="23"/>
      <c r="J155" s="24"/>
      <c r="K155" s="25"/>
      <c r="L155" s="27" t="str">
        <f ca="1">IFERROR(__xludf.DUMMYFUNCTION("""COMPUTED_VALUE"""),"closed")</f>
        <v>closed</v>
      </c>
      <c r="M155" s="27"/>
      <c r="N155" s="25" t="str">
        <f ca="1">IFERROR(__xludf.DUMMYFUNCTION("""COMPUTED_VALUE"""),"BBRC-OK")</f>
        <v>BBRC-OK</v>
      </c>
      <c r="O155" s="28" t="str">
        <f ca="1">IFERROR(__xludf.DUMMYFUNCTION("""COMPUTED_VALUE"""),"Inner Marsh Farm RSPB, adult, 20th May.")</f>
        <v>Inner Marsh Farm RSPB, adult, 20th May.</v>
      </c>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row>
    <row r="156" spans="1:80" ht="12.75" hidden="1" customHeight="1">
      <c r="A156" s="10">
        <f ca="1">IFERROR(__xludf.DUMMYFUNCTION("""COMPUTED_VALUE"""),2004)</f>
        <v>2004</v>
      </c>
      <c r="B156" s="50">
        <f ca="1">IFERROR(__xludf.DUMMYFUNCTION("""COMPUTED_VALUE"""),44568)</f>
        <v>44568</v>
      </c>
      <c r="C156" s="41"/>
      <c r="D156" s="42" t="str">
        <f ca="1">IFERROR(__xludf.DUMMYFUNCTION("""COMPUTED_VALUE"""),"Franklin's Gull")</f>
        <v>Franklin's Gull</v>
      </c>
      <c r="E156" s="53"/>
      <c r="F156" s="15"/>
      <c r="G156" s="44" t="str">
        <f ca="1">IFERROR(__xludf.DUMMYFUNCTION("""COMPUTED_VALUE"""),"Sandbach")</f>
        <v>Sandbach</v>
      </c>
      <c r="H156" s="12">
        <f ca="1">IFERROR(__xludf.DUMMYFUNCTION("""COMPUTED_VALUE"""),38232)</f>
        <v>38232</v>
      </c>
      <c r="I156" s="12"/>
      <c r="J156" s="14"/>
      <c r="K156" s="15"/>
      <c r="L156" s="17" t="str">
        <f ca="1">IFERROR(__xludf.DUMMYFUNCTION("""COMPUTED_VALUE"""),"closed")</f>
        <v>closed</v>
      </c>
      <c r="M156" s="17"/>
      <c r="N156" s="15" t="str">
        <f ca="1">IFERROR(__xludf.DUMMYFUNCTION("""COMPUTED_VALUE"""),"BBRC-OK")</f>
        <v>BBRC-OK</v>
      </c>
      <c r="O156" s="18" t="str">
        <f ca="1">IFERROR(__xludf.DUMMYFUNCTION("""COMPUTED_VALUE"""),"Elton Hall Flash, Sandbach, adult, 2nd to 3rd September, photo.")</f>
        <v>Elton Hall Flash, Sandbach, adult, 2nd to 3rd September, photo.</v>
      </c>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row>
    <row r="157" spans="1:80" ht="12.75" hidden="1" customHeight="1">
      <c r="A157" s="20">
        <f ca="1">IFERROR(__xludf.DUMMYFUNCTION("""COMPUTED_VALUE"""),2004)</f>
        <v>2004</v>
      </c>
      <c r="B157" s="45">
        <f ca="1">IFERROR(__xludf.DUMMYFUNCTION("""COMPUTED_VALUE"""),39468)</f>
        <v>39468</v>
      </c>
      <c r="C157" s="46" t="str">
        <f ca="1">IFERROR(__xludf.DUMMYFUNCTION("""COMPUTED_VALUE"""),"01/01/08")</f>
        <v>01/01/08</v>
      </c>
      <c r="D157" s="47" t="str">
        <f ca="1">IFERROR(__xludf.DUMMYFUNCTION("""COMPUTED_VALUE"""),"Honey-Buzzard")</f>
        <v>Honey-Buzzard</v>
      </c>
      <c r="E157" s="52">
        <f ca="1">IFERROR(__xludf.DUMMYFUNCTION("""COMPUTED_VALUE"""),1)</f>
        <v>1</v>
      </c>
      <c r="F157" s="25"/>
      <c r="G157" s="48" t="str">
        <f ca="1">IFERROR(__xludf.DUMMYFUNCTION("""COMPUTED_VALUE"""),"Corda Well Wood")</f>
        <v>Corda Well Wood</v>
      </c>
      <c r="H157" s="22">
        <f ca="1">IFERROR(__xludf.DUMMYFUNCTION("""COMPUTED_VALUE"""),38125)</f>
        <v>38125</v>
      </c>
      <c r="I157" s="22"/>
      <c r="J157" s="24"/>
      <c r="K157" s="25"/>
      <c r="L157" s="27" t="str">
        <f ca="1">IFERROR(__xludf.DUMMYFUNCTION("""COMPUTED_VALUE"""),"closed")</f>
        <v>closed</v>
      </c>
      <c r="M157" s="27" t="str">
        <f ca="1">IFERROR(__xludf.DUMMYFUNCTION("""COMPUTED_VALUE"""),"1st U")</f>
        <v>1st U</v>
      </c>
      <c r="N157" s="25" t="str">
        <f ca="1">IFERROR(__xludf.DUMMYFUNCTION("""COMPUTED_VALUE"""),"unproven")</f>
        <v>unproven</v>
      </c>
      <c r="O157" s="28"/>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row>
    <row r="158" spans="1:80" ht="12.75" hidden="1" customHeight="1">
      <c r="A158" s="10">
        <f ca="1">IFERROR(__xludf.DUMMYFUNCTION("""COMPUTED_VALUE"""),2004)</f>
        <v>2004</v>
      </c>
      <c r="B158" s="50">
        <f ca="1">IFERROR(__xludf.DUMMYFUNCTION("""COMPUTED_VALUE"""),39083)</f>
        <v>39083</v>
      </c>
      <c r="C158" s="41" t="str">
        <f ca="1">IFERROR(__xludf.DUMMYFUNCTION("""COMPUTED_VALUE"""),"2006")</f>
        <v>2006</v>
      </c>
      <c r="D158" s="42" t="str">
        <f ca="1">IFERROR(__xludf.DUMMYFUNCTION("""COMPUTED_VALUE"""),"Chough")</f>
        <v>Chough</v>
      </c>
      <c r="E158" s="53">
        <f ca="1">IFERROR(__xludf.DUMMYFUNCTION("""COMPUTED_VALUE"""),1)</f>
        <v>1</v>
      </c>
      <c r="F158" s="15"/>
      <c r="G158" s="44" t="str">
        <f ca="1">IFERROR(__xludf.DUMMYFUNCTION("""COMPUTED_VALUE"""),"Greasby")</f>
        <v>Greasby</v>
      </c>
      <c r="H158" s="12">
        <f ca="1">IFERROR(__xludf.DUMMYFUNCTION("""COMPUTED_VALUE"""),38090)</f>
        <v>38090</v>
      </c>
      <c r="I158" s="12"/>
      <c r="J158" s="14" t="str">
        <f ca="1">IFERROR(__xludf.DUMMYFUNCTION("""COMPUTED_VALUE"""),"Fraser, P")</f>
        <v>Fraser, P</v>
      </c>
      <c r="K158" s="15" t="str">
        <f ca="1">IFERROR(__xludf.DUMMYFUNCTION("""COMPUTED_VALUE"""),"Fraser, P")</f>
        <v>Fraser, P</v>
      </c>
      <c r="L158" s="17" t="str">
        <f ca="1">IFERROR(__xludf.DUMMYFUNCTION("""COMPUTED_VALUE"""),"closed")</f>
        <v>closed</v>
      </c>
      <c r="M158" s="17" t="str">
        <f ca="1">IFERROR(__xludf.DUMMYFUNCTION("""COMPUTED_VALUE"""),"1st U")</f>
        <v>1st U</v>
      </c>
      <c r="N158" s="15" t="str">
        <f ca="1">IFERROR(__xludf.DUMMYFUNCTION("""COMPUTED_VALUE"""),"Accepted")</f>
        <v>Accepted</v>
      </c>
      <c r="O158" s="18"/>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row>
    <row r="159" spans="1:80" ht="12.75" hidden="1" customHeight="1">
      <c r="A159" s="20">
        <f ca="1">IFERROR(__xludf.DUMMYFUNCTION("""COMPUTED_VALUE"""),2004)</f>
        <v>2004</v>
      </c>
      <c r="B159" s="45">
        <f ca="1">IFERROR(__xludf.DUMMYFUNCTION("""COMPUTED_VALUE"""),44568)</f>
        <v>44568</v>
      </c>
      <c r="C159" s="46"/>
      <c r="D159" s="47" t="str">
        <f ca="1">IFERROR(__xludf.DUMMYFUNCTION("""COMPUTED_VALUE"""),"Iberian Chiffchaff")</f>
        <v>Iberian Chiffchaff</v>
      </c>
      <c r="E159" s="52">
        <f ca="1">IFERROR(__xludf.DUMMYFUNCTION("""COMPUTED_VALUE"""),1)</f>
        <v>1</v>
      </c>
      <c r="F159" s="25"/>
      <c r="G159" s="48" t="str">
        <f ca="1">IFERROR(__xludf.DUMMYFUNCTION("""COMPUTED_VALUE"""),"Dibbinsdale")</f>
        <v>Dibbinsdale</v>
      </c>
      <c r="H159" s="22">
        <f ca="1">IFERROR(__xludf.DUMMYFUNCTION("""COMPUTED_VALUE"""),38106)</f>
        <v>38106</v>
      </c>
      <c r="I159" s="22">
        <f ca="1">IFERROR(__xludf.DUMMYFUNCTION("""COMPUTED_VALUE"""),38127)</f>
        <v>38127</v>
      </c>
      <c r="J159" s="24"/>
      <c r="K159" s="25"/>
      <c r="L159" s="27" t="str">
        <f ca="1">IFERROR(__xludf.DUMMYFUNCTION("""COMPUTED_VALUE"""),"closed")</f>
        <v>closed</v>
      </c>
      <c r="M159" s="27"/>
      <c r="N159" s="25" t="str">
        <f ca="1">IFERROR(__xludf.DUMMYFUNCTION("""COMPUTED_VALUE"""),"BBRC-OK")</f>
        <v>BBRC-OK</v>
      </c>
      <c r="O159" s="28" t="str">
        <f ca="1">IFERROR(__xludf.DUMMYFUNCTION("""COMPUTED_VALUE"""),"Dibbinsdale, male, in song, 29th April to 20th May, sound recording, photo.")</f>
        <v>Dibbinsdale, male, in song, 29th April to 20th May, sound recording, photo.</v>
      </c>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row>
    <row r="160" spans="1:80" ht="12.75" hidden="1" customHeight="1">
      <c r="A160" s="10">
        <f ca="1">IFERROR(__xludf.DUMMYFUNCTION("""COMPUTED_VALUE"""),2004)</f>
        <v>2004</v>
      </c>
      <c r="B160" s="50">
        <f ca="1">IFERROR(__xludf.DUMMYFUNCTION("""COMPUTED_VALUE"""),39468)</f>
        <v>39468</v>
      </c>
      <c r="C160" s="41" t="str">
        <f ca="1">IFERROR(__xludf.DUMMYFUNCTION("""COMPUTED_VALUE"""),"01/01/08")</f>
        <v>01/01/08</v>
      </c>
      <c r="D160" s="42" t="str">
        <f ca="1">IFERROR(__xludf.DUMMYFUNCTION("""COMPUTED_VALUE"""),"Barred Warbler")</f>
        <v>Barred Warbler</v>
      </c>
      <c r="E160" s="53">
        <f ca="1">IFERROR(__xludf.DUMMYFUNCTION("""COMPUTED_VALUE"""),1)</f>
        <v>1</v>
      </c>
      <c r="F160" s="15"/>
      <c r="G160" s="44" t="str">
        <f ca="1">IFERROR(__xludf.DUMMYFUNCTION("""COMPUTED_VALUE"""),"Elton")</f>
        <v>Elton</v>
      </c>
      <c r="H160" s="12">
        <f ca="1">IFERROR(__xludf.DUMMYFUNCTION("""COMPUTED_VALUE"""),38298)</f>
        <v>38298</v>
      </c>
      <c r="I160" s="13"/>
      <c r="J160" s="14"/>
      <c r="K160" s="15"/>
      <c r="L160" s="17" t="str">
        <f ca="1">IFERROR(__xludf.DUMMYFUNCTION("""COMPUTED_VALUE"""),"closed")</f>
        <v>closed</v>
      </c>
      <c r="M160" s="17" t="str">
        <f ca="1">IFERROR(__xludf.DUMMYFUNCTION("""COMPUTED_VALUE"""),"3rd U")</f>
        <v>3rd U</v>
      </c>
      <c r="N160" s="15" t="str">
        <f ca="1">IFERROR(__xludf.DUMMYFUNCTION("""COMPUTED_VALUE"""),"unproven")</f>
        <v>unproven</v>
      </c>
      <c r="O160" s="18"/>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row>
    <row r="161" spans="1:80" ht="12.75" hidden="1" customHeight="1">
      <c r="A161" s="20">
        <f ca="1">IFERROR(__xludf.DUMMYFUNCTION("""COMPUTED_VALUE"""),2004)</f>
        <v>2004</v>
      </c>
      <c r="B161" s="45">
        <f ca="1">IFERROR(__xludf.DUMMYFUNCTION("""COMPUTED_VALUE"""),39083)</f>
        <v>39083</v>
      </c>
      <c r="C161" s="46" t="str">
        <f ca="1">IFERROR(__xludf.DUMMYFUNCTION("""COMPUTED_VALUE"""),"2006")</f>
        <v>2006</v>
      </c>
      <c r="D161" s="47" t="str">
        <f ca="1">IFERROR(__xludf.DUMMYFUNCTION("""COMPUTED_VALUE"""),"Mealy Redpoll")</f>
        <v>Mealy Redpoll</v>
      </c>
      <c r="E161" s="52">
        <f ca="1">IFERROR(__xludf.DUMMYFUNCTION("""COMPUTED_VALUE"""),1)</f>
        <v>1</v>
      </c>
      <c r="F161" s="25"/>
      <c r="G161" s="48" t="str">
        <f ca="1">IFERROR(__xludf.DUMMYFUNCTION("""COMPUTED_VALUE"""),"Inner Marsh Farm RSPB")</f>
        <v>Inner Marsh Farm RSPB</v>
      </c>
      <c r="H161" s="22">
        <f ca="1">IFERROR(__xludf.DUMMYFUNCTION("""COMPUTED_VALUE"""),38077)</f>
        <v>38077</v>
      </c>
      <c r="I161" s="23"/>
      <c r="J161" s="24" t="str">
        <f ca="1">IFERROR(__xludf.DUMMYFUNCTION("""COMPUTED_VALUE"""),"Melling, T")</f>
        <v>Melling, T</v>
      </c>
      <c r="K161" s="25" t="str">
        <f ca="1">IFERROR(__xludf.DUMMYFUNCTION("""COMPUTED_VALUE"""),"Melling, T")</f>
        <v>Melling, T</v>
      </c>
      <c r="L161" s="27" t="str">
        <f ca="1">IFERROR(__xludf.DUMMYFUNCTION("""COMPUTED_VALUE"""),"closed")</f>
        <v>closed</v>
      </c>
      <c r="M161" s="27" t="str">
        <f ca="1">IFERROR(__xludf.DUMMYFUNCTION("""COMPUTED_VALUE"""),"1st U")</f>
        <v>1st U</v>
      </c>
      <c r="N161" s="25" t="str">
        <f ca="1">IFERROR(__xludf.DUMMYFUNCTION("""COMPUTED_VALUE"""),"Accepted")</f>
        <v>Accepted</v>
      </c>
      <c r="O161" s="28"/>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row>
    <row r="162" spans="1:80" ht="12.75" hidden="1" customHeight="1">
      <c r="A162" s="10">
        <f ca="1">IFERROR(__xludf.DUMMYFUNCTION("""COMPUTED_VALUE"""),2005)</f>
        <v>2005</v>
      </c>
      <c r="B162" s="50">
        <f ca="1">IFERROR(__xludf.DUMMYFUNCTION("""COMPUTED_VALUE"""),39083)</f>
        <v>39083</v>
      </c>
      <c r="C162" s="41" t="str">
        <f ca="1">IFERROR(__xludf.DUMMYFUNCTION("""COMPUTED_VALUE"""),"2006")</f>
        <v>2006</v>
      </c>
      <c r="D162" s="42" t="str">
        <f ca="1">IFERROR(__xludf.DUMMYFUNCTION("""COMPUTED_VALUE"""),"Green-winged Teal")</f>
        <v>Green-winged Teal</v>
      </c>
      <c r="E162" s="53">
        <f ca="1">IFERROR(__xludf.DUMMYFUNCTION("""COMPUTED_VALUE"""),1)</f>
        <v>1</v>
      </c>
      <c r="F162" s="15"/>
      <c r="G162" s="44" t="str">
        <f ca="1">IFERROR(__xludf.DUMMYFUNCTION("""COMPUTED_VALUE"""),"Inner Marsh Farm RSPB")</f>
        <v>Inner Marsh Farm RSPB</v>
      </c>
      <c r="H162" s="12">
        <f ca="1">IFERROR(__xludf.DUMMYFUNCTION("""COMPUTED_VALUE"""),38531)</f>
        <v>38531</v>
      </c>
      <c r="I162" s="13"/>
      <c r="J162" s="14" t="str">
        <f ca="1">IFERROR(__xludf.DUMMYFUNCTION("""COMPUTED_VALUE"""),"Taylor, S")</f>
        <v>Taylor, S</v>
      </c>
      <c r="K162" s="15" t="str">
        <f ca="1">IFERROR(__xludf.DUMMYFUNCTION("""COMPUTED_VALUE"""),"?")</f>
        <v>?</v>
      </c>
      <c r="L162" s="17" t="str">
        <f ca="1">IFERROR(__xludf.DUMMYFUNCTION("""COMPUTED_VALUE"""),"closed")</f>
        <v>closed</v>
      </c>
      <c r="M162" s="17" t="str">
        <f ca="1">IFERROR(__xludf.DUMMYFUNCTION("""COMPUTED_VALUE"""),"1st U")</f>
        <v>1st U</v>
      </c>
      <c r="N162" s="15" t="str">
        <f ca="1">IFERROR(__xludf.DUMMYFUNCTION("""COMPUTED_VALUE"""),"Accepted")</f>
        <v>Accepted</v>
      </c>
      <c r="O162" s="18"/>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row>
    <row r="163" spans="1:80" ht="12.75" hidden="1" customHeight="1">
      <c r="A163" s="20">
        <f ca="1">IFERROR(__xludf.DUMMYFUNCTION("""COMPUTED_VALUE"""),2005)</f>
        <v>2005</v>
      </c>
      <c r="B163" s="45">
        <f ca="1">IFERROR(__xludf.DUMMYFUNCTION("""COMPUTED_VALUE"""),44568)</f>
        <v>44568</v>
      </c>
      <c r="C163" s="46"/>
      <c r="D163" s="47" t="str">
        <f ca="1">IFERROR(__xludf.DUMMYFUNCTION("""COMPUTED_VALUE"""),"Chimney Swift")</f>
        <v>Chimney Swift</v>
      </c>
      <c r="E163" s="52"/>
      <c r="F163" s="25"/>
      <c r="G163" s="48" t="str">
        <f ca="1">IFERROR(__xludf.DUMMYFUNCTION("""COMPUTED_VALUE"""),"Woolston")</f>
        <v>Woolston</v>
      </c>
      <c r="H163" s="22">
        <f ca="1">IFERROR(__xludf.DUMMYFUNCTION("""COMPUTED_VALUE"""),38661)</f>
        <v>38661</v>
      </c>
      <c r="I163" s="57"/>
      <c r="J163" s="24"/>
      <c r="K163" s="25"/>
      <c r="L163" s="27" t="str">
        <f ca="1">IFERROR(__xludf.DUMMYFUNCTION("""COMPUTED_VALUE"""),"closed")</f>
        <v>closed</v>
      </c>
      <c r="M163" s="27"/>
      <c r="N163" s="25" t="str">
        <f ca="1">IFERROR(__xludf.DUMMYFUNCTION("""COMPUTED_VALUE"""),"BBRC-OK")</f>
        <v>BBRC-OK</v>
      </c>
      <c r="O163" s="28" t="str">
        <f ca="1">IFERROR(__xludf.DUMMYFUNCTION("""COMPUTED_VALUE"""),"Woolston Eyes, 5th November.")</f>
        <v>Woolston Eyes, 5th November.</v>
      </c>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row>
    <row r="164" spans="1:80" ht="12.75" hidden="1" customHeight="1">
      <c r="A164" s="10">
        <f ca="1">IFERROR(__xludf.DUMMYFUNCTION("""COMPUTED_VALUE"""),2005)</f>
        <v>2005</v>
      </c>
      <c r="B164" s="50">
        <f ca="1">IFERROR(__xludf.DUMMYFUNCTION("""COMPUTED_VALUE"""),44568)</f>
        <v>44568</v>
      </c>
      <c r="C164" s="41"/>
      <c r="D164" s="42" t="str">
        <f ca="1">IFERROR(__xludf.DUMMYFUNCTION("""COMPUTED_VALUE"""),"Long-billed Dowitcher")</f>
        <v>Long-billed Dowitcher</v>
      </c>
      <c r="E164" s="53"/>
      <c r="F164" s="15"/>
      <c r="G164" s="44" t="str">
        <f ca="1">IFERROR(__xludf.DUMMYFUNCTION("""COMPUTED_VALUE"""),"Inner Marsh Farm RSPB")</f>
        <v>Inner Marsh Farm RSPB</v>
      </c>
      <c r="H164" s="12">
        <f ca="1">IFERROR(__xludf.DUMMYFUNCTION("""COMPUTED_VALUE"""),38637)</f>
        <v>38637</v>
      </c>
      <c r="I164" s="13"/>
      <c r="J164" s="14"/>
      <c r="K164" s="15"/>
      <c r="L164" s="17" t="str">
        <f ca="1">IFERROR(__xludf.DUMMYFUNCTION("""COMPUTED_VALUE"""),"closed")</f>
        <v>closed</v>
      </c>
      <c r="M164" s="17"/>
      <c r="N164" s="15" t="str">
        <f ca="1">IFERROR(__xludf.DUMMYFUNCTION("""COMPUTED_VALUE"""),"BBRC-OK")</f>
        <v>BBRC-OK</v>
      </c>
      <c r="O164" s="18" t="str">
        <f ca="1">IFERROR(__xludf.DUMMYFUNCTION("""COMPUTED_VALUE"""),"Inner Marsh Farm RSPB, first-winter, 12th October to 7th November, photo.")</f>
        <v>Inner Marsh Farm RSPB, first-winter, 12th October to 7th November, photo.</v>
      </c>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row>
    <row r="165" spans="1:80" ht="12.75" hidden="1" customHeight="1">
      <c r="A165" s="20">
        <f ca="1">IFERROR(__xludf.DUMMYFUNCTION("""COMPUTED_VALUE"""),2005)</f>
        <v>2005</v>
      </c>
      <c r="B165" s="45">
        <f ca="1">IFERROR(__xludf.DUMMYFUNCTION("""COMPUTED_VALUE"""),39468)</f>
        <v>39468</v>
      </c>
      <c r="C165" s="46" t="str">
        <f ca="1">IFERROR(__xludf.DUMMYFUNCTION("""COMPUTED_VALUE"""),"01/01/08")</f>
        <v>01/01/08</v>
      </c>
      <c r="D165" s="47" t="str">
        <f ca="1">IFERROR(__xludf.DUMMYFUNCTION("""COMPUTED_VALUE"""),"Great northern Diver")</f>
        <v>Great northern Diver</v>
      </c>
      <c r="E165" s="52">
        <f ca="1">IFERROR(__xludf.DUMMYFUNCTION("""COMPUTED_VALUE"""),1)</f>
        <v>1</v>
      </c>
      <c r="F165" s="25"/>
      <c r="G165" s="48" t="str">
        <f ca="1">IFERROR(__xludf.DUMMYFUNCTION("""COMPUTED_VALUE"""),"Hoylake")</f>
        <v>Hoylake</v>
      </c>
      <c r="H165" s="22">
        <f ca="1">IFERROR(__xludf.DUMMYFUNCTION("""COMPUTED_VALUE"""),38416)</f>
        <v>38416</v>
      </c>
      <c r="I165" s="23"/>
      <c r="J165" s="24" t="str">
        <f ca="1">IFERROR(__xludf.DUMMYFUNCTION("""COMPUTED_VALUE"""),"Turner, JE")</f>
        <v>Turner, JE</v>
      </c>
      <c r="K165" s="25" t="str">
        <f ca="1">IFERROR(__xludf.DUMMYFUNCTION("""COMPUTED_VALUE"""),"Turner, JE")</f>
        <v>Turner, JE</v>
      </c>
      <c r="L165" s="27" t="str">
        <f ca="1">IFERROR(__xludf.DUMMYFUNCTION("""COMPUTED_VALUE"""),"closed")</f>
        <v>closed</v>
      </c>
      <c r="M165" s="27" t="str">
        <f ca="1">IFERROR(__xludf.DUMMYFUNCTION("""COMPUTED_VALUE"""),"1st U")</f>
        <v>1st U</v>
      </c>
      <c r="N165" s="25" t="str">
        <f ca="1">IFERROR(__xludf.DUMMYFUNCTION("""COMPUTED_VALUE"""),"Accepted")</f>
        <v>Accepted</v>
      </c>
      <c r="O165" s="28"/>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row>
    <row r="166" spans="1:80" ht="12.75" hidden="1" customHeight="1">
      <c r="A166" s="10">
        <f ca="1">IFERROR(__xludf.DUMMYFUNCTION("""COMPUTED_VALUE"""),2005)</f>
        <v>2005</v>
      </c>
      <c r="B166" s="50">
        <f ca="1">IFERROR(__xludf.DUMMYFUNCTION("""COMPUTED_VALUE"""),44568)</f>
        <v>44568</v>
      </c>
      <c r="C166" s="41"/>
      <c r="D166" s="42" t="str">
        <f ca="1">IFERROR(__xludf.DUMMYFUNCTION("""COMPUTED_VALUE"""),"Whiskered Tern")</f>
        <v>Whiskered Tern</v>
      </c>
      <c r="E166" s="53"/>
      <c r="F166" s="15"/>
      <c r="G166" s="44" t="str">
        <f ca="1">IFERROR(__xludf.DUMMYFUNCTION("""COMPUTED_VALUE"""),"Woolston")</f>
        <v>Woolston</v>
      </c>
      <c r="H166" s="12">
        <f ca="1">IFERROR(__xludf.DUMMYFUNCTION("""COMPUTED_VALUE"""),38491)</f>
        <v>38491</v>
      </c>
      <c r="I166" s="13"/>
      <c r="J166" s="14"/>
      <c r="K166" s="15"/>
      <c r="L166" s="17" t="str">
        <f ca="1">IFERROR(__xludf.DUMMYFUNCTION("""COMPUTED_VALUE"""),"closed")</f>
        <v>closed</v>
      </c>
      <c r="M166" s="17"/>
      <c r="N166" s="15" t="str">
        <f ca="1">IFERROR(__xludf.DUMMYFUNCTION("""COMPUTED_VALUE"""),"BBRC-OK")</f>
        <v>BBRC-OK</v>
      </c>
      <c r="O166" s="18" t="str">
        <f ca="1">IFERROR(__xludf.DUMMYFUNCTION("""COMPUTED_VALUE"""),"Woolston Eyes, four, 19th May; same, Ashton's Flash, four, 19th to 20th May, photo; also in Staffordshire.")</f>
        <v>Woolston Eyes, four, 19th May; same, Ashton's Flash, four, 19th to 20th May, photo; also in Staffordshire.</v>
      </c>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row>
    <row r="167" spans="1:80" ht="12.75" hidden="1" customHeight="1">
      <c r="A167" s="20">
        <f ca="1">IFERROR(__xludf.DUMMYFUNCTION("""COMPUTED_VALUE"""),2006)</f>
        <v>2006</v>
      </c>
      <c r="B167" s="45">
        <f ca="1">IFERROR(__xludf.DUMMYFUNCTION("""COMPUTED_VALUE"""),39468)</f>
        <v>39468</v>
      </c>
      <c r="C167" s="46" t="str">
        <f ca="1">IFERROR(__xludf.DUMMYFUNCTION("""COMPUTED_VALUE"""),"01/01/08")</f>
        <v>01/01/08</v>
      </c>
      <c r="D167" s="47" t="str">
        <f ca="1">IFERROR(__xludf.DUMMYFUNCTION("""COMPUTED_VALUE"""),"Whooper Swan")</f>
        <v>Whooper Swan</v>
      </c>
      <c r="E167" s="52">
        <f ca="1">IFERROR(__xludf.DUMMYFUNCTION("""COMPUTED_VALUE"""),11)</f>
        <v>11</v>
      </c>
      <c r="F167" s="25"/>
      <c r="G167" s="48" t="str">
        <f ca="1">IFERROR(__xludf.DUMMYFUNCTION("""COMPUTED_VALUE"""),"Fiddler's Ferry")</f>
        <v>Fiddler's Ferry</v>
      </c>
      <c r="H167" s="22">
        <f ca="1">IFERROR(__xludf.DUMMYFUNCTION("""COMPUTED_VALUE"""),39075)</f>
        <v>39075</v>
      </c>
      <c r="I167" s="23"/>
      <c r="J167" s="24" t="str">
        <f ca="1">IFERROR(__xludf.DUMMYFUNCTION("""COMPUTED_VALUE"""),"Eyres, R")</f>
        <v>Eyres, R</v>
      </c>
      <c r="K167" s="25" t="str">
        <f ca="1">IFERROR(__xludf.DUMMYFUNCTION("""COMPUTED_VALUE"""),"Eyres, R")</f>
        <v>Eyres, R</v>
      </c>
      <c r="L167" s="27" t="str">
        <f ca="1">IFERROR(__xludf.DUMMYFUNCTION("""COMPUTED_VALUE"""),"closed")</f>
        <v>closed</v>
      </c>
      <c r="M167" s="27" t="str">
        <f ca="1">IFERROR(__xludf.DUMMYFUNCTION("""COMPUTED_VALUE"""),"1st U")</f>
        <v>1st U</v>
      </c>
      <c r="N167" s="25" t="str">
        <f ca="1">IFERROR(__xludf.DUMMYFUNCTION("""COMPUTED_VALUE"""),"Accepted")</f>
        <v>Accepted</v>
      </c>
      <c r="O167" s="28"/>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row>
    <row r="168" spans="1:80" ht="12.75" hidden="1" customHeight="1">
      <c r="A168" s="10">
        <f ca="1">IFERROR(__xludf.DUMMYFUNCTION("""COMPUTED_VALUE"""),2006)</f>
        <v>2006</v>
      </c>
      <c r="B168" s="50">
        <f ca="1">IFERROR(__xludf.DUMMYFUNCTION("""COMPUTED_VALUE"""),39448)</f>
        <v>39448</v>
      </c>
      <c r="C168" s="41" t="str">
        <f ca="1">IFERROR(__xludf.DUMMYFUNCTION("""COMPUTED_VALUE"""),"2007")</f>
        <v>2007</v>
      </c>
      <c r="D168" s="42" t="str">
        <f ca="1">IFERROR(__xludf.DUMMYFUNCTION("""COMPUTED_VALUE"""),"American Wigeon")</f>
        <v>American Wigeon</v>
      </c>
      <c r="E168" s="53">
        <f ca="1">IFERROR(__xludf.DUMMYFUNCTION("""COMPUTED_VALUE"""),1)</f>
        <v>1</v>
      </c>
      <c r="F168" s="15"/>
      <c r="G168" s="44" t="str">
        <f ca="1">IFERROR(__xludf.DUMMYFUNCTION("""COMPUTED_VALUE"""),"Sandbach")</f>
        <v>Sandbach</v>
      </c>
      <c r="H168" s="12">
        <f ca="1">IFERROR(__xludf.DUMMYFUNCTION("""COMPUTED_VALUE"""),39005)</f>
        <v>39005</v>
      </c>
      <c r="I168" s="13"/>
      <c r="J168" s="14" t="str">
        <f ca="1">IFERROR(__xludf.DUMMYFUNCTION("""COMPUTED_VALUE"""),"Payne, M")</f>
        <v>Payne, M</v>
      </c>
      <c r="K168" s="15" t="str">
        <f ca="1">IFERROR(__xludf.DUMMYFUNCTION("""COMPUTED_VALUE"""),"?")</f>
        <v>?</v>
      </c>
      <c r="L168" s="17" t="str">
        <f ca="1">IFERROR(__xludf.DUMMYFUNCTION("""COMPUTED_VALUE"""),"closed")</f>
        <v>closed</v>
      </c>
      <c r="M168" s="17" t="str">
        <f ca="1">IFERROR(__xludf.DUMMYFUNCTION("""COMPUTED_VALUE"""),"1st U")</f>
        <v>1st U</v>
      </c>
      <c r="N168" s="15" t="str">
        <f ca="1">IFERROR(__xludf.DUMMYFUNCTION("""COMPUTED_VALUE"""),"Accepted")</f>
        <v>Accepted</v>
      </c>
      <c r="O168" s="18"/>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row>
    <row r="169" spans="1:80" ht="12.75" hidden="1" customHeight="1">
      <c r="A169" s="20">
        <f ca="1">IFERROR(__xludf.DUMMYFUNCTION("""COMPUTED_VALUE"""),2006)</f>
        <v>2006</v>
      </c>
      <c r="B169" s="45">
        <f ca="1">IFERROR(__xludf.DUMMYFUNCTION("""COMPUTED_VALUE"""),39448)</f>
        <v>39448</v>
      </c>
      <c r="C169" s="46" t="str">
        <f ca="1">IFERROR(__xludf.DUMMYFUNCTION("""COMPUTED_VALUE"""),"2007")</f>
        <v>2007</v>
      </c>
      <c r="D169" s="47" t="str">
        <f ca="1">IFERROR(__xludf.DUMMYFUNCTION("""COMPUTED_VALUE"""),"American Wigeon")</f>
        <v>American Wigeon</v>
      </c>
      <c r="E169" s="52">
        <f ca="1">IFERROR(__xludf.DUMMYFUNCTION("""COMPUTED_VALUE"""),1)</f>
        <v>1</v>
      </c>
      <c r="F169" s="25"/>
      <c r="G169" s="48" t="str">
        <f ca="1">IFERROR(__xludf.DUMMYFUNCTION("""COMPUTED_VALUE"""),"Sandbach")</f>
        <v>Sandbach</v>
      </c>
      <c r="H169" s="22">
        <f ca="1">IFERROR(__xludf.DUMMYFUNCTION("""COMPUTED_VALUE"""),39006)</f>
        <v>39006</v>
      </c>
      <c r="I169" s="23"/>
      <c r="J169" s="24" t="str">
        <f ca="1">IFERROR(__xludf.DUMMYFUNCTION("""COMPUTED_VALUE"""),"Woollen, P")</f>
        <v>Woollen, P</v>
      </c>
      <c r="K169" s="25" t="str">
        <f ca="1">IFERROR(__xludf.DUMMYFUNCTION("""COMPUTED_VALUE"""),"?")</f>
        <v>?</v>
      </c>
      <c r="L169" s="27" t="str">
        <f ca="1">IFERROR(__xludf.DUMMYFUNCTION("""COMPUTED_VALUE"""),"closed")</f>
        <v>closed</v>
      </c>
      <c r="M169" s="27" t="str">
        <f ca="1">IFERROR(__xludf.DUMMYFUNCTION("""COMPUTED_VALUE"""),"1st U")</f>
        <v>1st U</v>
      </c>
      <c r="N169" s="25" t="str">
        <f ca="1">IFERROR(__xludf.DUMMYFUNCTION("""COMPUTED_VALUE"""),"Accepted")</f>
        <v>Accepted</v>
      </c>
      <c r="O169" s="28"/>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row>
    <row r="170" spans="1:80" ht="12.75" hidden="1" customHeight="1">
      <c r="A170" s="10">
        <f ca="1">IFERROR(__xludf.DUMMYFUNCTION("""COMPUTED_VALUE"""),2006)</f>
        <v>2006</v>
      </c>
      <c r="B170" s="50">
        <f ca="1">IFERROR(__xludf.DUMMYFUNCTION("""COMPUTED_VALUE"""),39448)</f>
        <v>39448</v>
      </c>
      <c r="C170" s="41" t="str">
        <f ca="1">IFERROR(__xludf.DUMMYFUNCTION("""COMPUTED_VALUE"""),"2007")</f>
        <v>2007</v>
      </c>
      <c r="D170" s="42" t="str">
        <f ca="1">IFERROR(__xludf.DUMMYFUNCTION("""COMPUTED_VALUE"""),"American Wigeon")</f>
        <v>American Wigeon</v>
      </c>
      <c r="E170" s="53">
        <f ca="1">IFERROR(__xludf.DUMMYFUNCTION("""COMPUTED_VALUE"""),1)</f>
        <v>1</v>
      </c>
      <c r="F170" s="15"/>
      <c r="G170" s="44" t="str">
        <f ca="1">IFERROR(__xludf.DUMMYFUNCTION("""COMPUTED_VALUE"""),"Sandbach")</f>
        <v>Sandbach</v>
      </c>
      <c r="H170" s="12">
        <f ca="1">IFERROR(__xludf.DUMMYFUNCTION("""COMPUTED_VALUE"""),39006)</f>
        <v>39006</v>
      </c>
      <c r="I170" s="13"/>
      <c r="J170" s="14" t="str">
        <f ca="1">IFERROR(__xludf.DUMMYFUNCTION("""COMPUTED_VALUE"""),"Miles, MR")</f>
        <v>Miles, MR</v>
      </c>
      <c r="K170" s="15" t="str">
        <f ca="1">IFERROR(__xludf.DUMMYFUNCTION("""COMPUTED_VALUE"""),"?")</f>
        <v>?</v>
      </c>
      <c r="L170" s="17" t="str">
        <f ca="1">IFERROR(__xludf.DUMMYFUNCTION("""COMPUTED_VALUE"""),"closed")</f>
        <v>closed</v>
      </c>
      <c r="M170" s="17" t="str">
        <f ca="1">IFERROR(__xludf.DUMMYFUNCTION("""COMPUTED_VALUE"""),"1st U")</f>
        <v>1st U</v>
      </c>
      <c r="N170" s="15" t="str">
        <f ca="1">IFERROR(__xludf.DUMMYFUNCTION("""COMPUTED_VALUE"""),"Accepted")</f>
        <v>Accepted</v>
      </c>
      <c r="O170" s="18"/>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row>
    <row r="171" spans="1:80" ht="12.75" hidden="1" customHeight="1">
      <c r="A171" s="20">
        <f ca="1">IFERROR(__xludf.DUMMYFUNCTION("""COMPUTED_VALUE"""),2006)</f>
        <v>2006</v>
      </c>
      <c r="B171" s="45">
        <f ca="1">IFERROR(__xludf.DUMMYFUNCTION("""COMPUTED_VALUE"""),39448)</f>
        <v>39448</v>
      </c>
      <c r="C171" s="46" t="str">
        <f ca="1">IFERROR(__xludf.DUMMYFUNCTION("""COMPUTED_VALUE"""),"2007")</f>
        <v>2007</v>
      </c>
      <c r="D171" s="47" t="str">
        <f ca="1">IFERROR(__xludf.DUMMYFUNCTION("""COMPUTED_VALUE"""),"Green-winged Teal")</f>
        <v>Green-winged Teal</v>
      </c>
      <c r="E171" s="52">
        <f ca="1">IFERROR(__xludf.DUMMYFUNCTION("""COMPUTED_VALUE"""),1)</f>
        <v>1</v>
      </c>
      <c r="F171" s="25"/>
      <c r="G171" s="48" t="str">
        <f ca="1">IFERROR(__xludf.DUMMYFUNCTION("""COMPUTED_VALUE"""),"Inner Marsh Farm RSPB")</f>
        <v>Inner Marsh Farm RSPB</v>
      </c>
      <c r="H171" s="22">
        <f ca="1">IFERROR(__xludf.DUMMYFUNCTION("""COMPUTED_VALUE"""),39013)</f>
        <v>39013</v>
      </c>
      <c r="I171" s="23"/>
      <c r="J171" s="24" t="str">
        <f ca="1">IFERROR(__xludf.DUMMYFUNCTION("""COMPUTED_VALUE"""),"Miles, MR")</f>
        <v>Miles, MR</v>
      </c>
      <c r="K171" s="25" t="str">
        <f ca="1">IFERROR(__xludf.DUMMYFUNCTION("""COMPUTED_VALUE"""),"?")</f>
        <v>?</v>
      </c>
      <c r="L171" s="27" t="str">
        <f ca="1">IFERROR(__xludf.DUMMYFUNCTION("""COMPUTED_VALUE"""),"closed")</f>
        <v>closed</v>
      </c>
      <c r="M171" s="27" t="str">
        <f ca="1">IFERROR(__xludf.DUMMYFUNCTION("""COMPUTED_VALUE"""),"1st U")</f>
        <v>1st U</v>
      </c>
      <c r="N171" s="25" t="str">
        <f ca="1">IFERROR(__xludf.DUMMYFUNCTION("""COMPUTED_VALUE"""),"Accepted")</f>
        <v>Accepted</v>
      </c>
      <c r="O171" s="28"/>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row>
    <row r="172" spans="1:80" ht="12.75" hidden="1" customHeight="1">
      <c r="A172" s="10">
        <f ca="1">IFERROR(__xludf.DUMMYFUNCTION("""COMPUTED_VALUE"""),2006)</f>
        <v>2006</v>
      </c>
      <c r="B172" s="50">
        <f ca="1">IFERROR(__xludf.DUMMYFUNCTION("""COMPUTED_VALUE"""),39448)</f>
        <v>39448</v>
      </c>
      <c r="C172" s="41" t="str">
        <f ca="1">IFERROR(__xludf.DUMMYFUNCTION("""COMPUTED_VALUE"""),"2007")</f>
        <v>2007</v>
      </c>
      <c r="D172" s="42" t="str">
        <f ca="1">IFERROR(__xludf.DUMMYFUNCTION("""COMPUTED_VALUE"""),"Green-winged Teal")</f>
        <v>Green-winged Teal</v>
      </c>
      <c r="E172" s="53">
        <f ca="1">IFERROR(__xludf.DUMMYFUNCTION("""COMPUTED_VALUE"""),1)</f>
        <v>1</v>
      </c>
      <c r="F172" s="15"/>
      <c r="G172" s="44" t="str">
        <f ca="1">IFERROR(__xludf.DUMMYFUNCTION("""COMPUTED_VALUE"""),"Inner Marsh Farm RSPB")</f>
        <v>Inner Marsh Farm RSPB</v>
      </c>
      <c r="H172" s="12">
        <f ca="1">IFERROR(__xludf.DUMMYFUNCTION("""COMPUTED_VALUE"""),39023)</f>
        <v>39023</v>
      </c>
      <c r="I172" s="13"/>
      <c r="J172" s="14" t="str">
        <f ca="1">IFERROR(__xludf.DUMMYFUNCTION("""COMPUTED_VALUE"""),"Woollen, P")</f>
        <v>Woollen, P</v>
      </c>
      <c r="K172" s="15" t="str">
        <f ca="1">IFERROR(__xludf.DUMMYFUNCTION("""COMPUTED_VALUE"""),"?")</f>
        <v>?</v>
      </c>
      <c r="L172" s="17" t="str">
        <f ca="1">IFERROR(__xludf.DUMMYFUNCTION("""COMPUTED_VALUE"""),"closed")</f>
        <v>closed</v>
      </c>
      <c r="M172" s="17" t="str">
        <f ca="1">IFERROR(__xludf.DUMMYFUNCTION("""COMPUTED_VALUE"""),"1st U")</f>
        <v>1st U</v>
      </c>
      <c r="N172" s="15" t="str">
        <f ca="1">IFERROR(__xludf.DUMMYFUNCTION("""COMPUTED_VALUE"""),"Accepted")</f>
        <v>Accepted</v>
      </c>
      <c r="O172" s="18"/>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row>
    <row r="173" spans="1:80" ht="12.75" hidden="1" customHeight="1">
      <c r="A173" s="20">
        <f ca="1">IFERROR(__xludf.DUMMYFUNCTION("""COMPUTED_VALUE"""),2006)</f>
        <v>2006</v>
      </c>
      <c r="B173" s="45">
        <f ca="1">IFERROR(__xludf.DUMMYFUNCTION("""COMPUTED_VALUE"""),39448)</f>
        <v>39448</v>
      </c>
      <c r="C173" s="46" t="str">
        <f ca="1">IFERROR(__xludf.DUMMYFUNCTION("""COMPUTED_VALUE"""),"2007")</f>
        <v>2007</v>
      </c>
      <c r="D173" s="47" t="str">
        <f ca="1">IFERROR(__xludf.DUMMYFUNCTION("""COMPUTED_VALUE"""),"Green-winged Teal")</f>
        <v>Green-winged Teal</v>
      </c>
      <c r="E173" s="52">
        <f ca="1">IFERROR(__xludf.DUMMYFUNCTION("""COMPUTED_VALUE"""),1)</f>
        <v>1</v>
      </c>
      <c r="F173" s="25"/>
      <c r="G173" s="48" t="str">
        <f ca="1">IFERROR(__xludf.DUMMYFUNCTION("""COMPUTED_VALUE"""),"Inner Marsh Farm RSPB")</f>
        <v>Inner Marsh Farm RSPB</v>
      </c>
      <c r="H173" s="22">
        <f ca="1">IFERROR(__xludf.DUMMYFUNCTION("""COMPUTED_VALUE"""),39034)</f>
        <v>39034</v>
      </c>
      <c r="I173" s="22"/>
      <c r="J173" s="24" t="str">
        <f ca="1">IFERROR(__xludf.DUMMYFUNCTION("""COMPUTED_VALUE"""),"Schofield, C")</f>
        <v>Schofield, C</v>
      </c>
      <c r="K173" s="25"/>
      <c r="L173" s="27" t="str">
        <f ca="1">IFERROR(__xludf.DUMMYFUNCTION("""COMPUTED_VALUE"""),"closed")</f>
        <v>closed</v>
      </c>
      <c r="M173" s="27" t="str">
        <f ca="1">IFERROR(__xludf.DUMMYFUNCTION("""COMPUTED_VALUE"""),"1st U")</f>
        <v>1st U</v>
      </c>
      <c r="N173" s="25" t="str">
        <f ca="1">IFERROR(__xludf.DUMMYFUNCTION("""COMPUTED_VALUE"""),"Accepted")</f>
        <v>Accepted</v>
      </c>
      <c r="O173" s="28"/>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row>
    <row r="174" spans="1:80" ht="12.75" hidden="1" customHeight="1">
      <c r="A174" s="10">
        <f ca="1">IFERROR(__xludf.DUMMYFUNCTION("""COMPUTED_VALUE"""),2006)</f>
        <v>2006</v>
      </c>
      <c r="B174" s="50">
        <f ca="1">IFERROR(__xludf.DUMMYFUNCTION("""COMPUTED_VALUE"""),39448)</f>
        <v>39448</v>
      </c>
      <c r="C174" s="41" t="str">
        <f ca="1">IFERROR(__xludf.DUMMYFUNCTION("""COMPUTED_VALUE"""),"2007")</f>
        <v>2007</v>
      </c>
      <c r="D174" s="42" t="str">
        <f ca="1">IFERROR(__xludf.DUMMYFUNCTION("""COMPUTED_VALUE"""),"Black Kite")</f>
        <v>Black Kite</v>
      </c>
      <c r="E174" s="53">
        <f ca="1">IFERROR(__xludf.DUMMYFUNCTION("""COMPUTED_VALUE"""),1)</f>
        <v>1</v>
      </c>
      <c r="F174" s="15"/>
      <c r="G174" s="44" t="str">
        <f ca="1">IFERROR(__xludf.DUMMYFUNCTION("""COMPUTED_VALUE"""),"Haslington")</f>
        <v>Haslington</v>
      </c>
      <c r="H174" s="12">
        <f ca="1">IFERROR(__xludf.DUMMYFUNCTION("""COMPUTED_VALUE"""),38815)</f>
        <v>38815</v>
      </c>
      <c r="I174" s="13"/>
      <c r="J174" s="14"/>
      <c r="K174" s="15"/>
      <c r="L174" s="17" t="str">
        <f ca="1">IFERROR(__xludf.DUMMYFUNCTION("""COMPUTED_VALUE"""),"closed")</f>
        <v>closed</v>
      </c>
      <c r="M174" s="17" t="str">
        <f ca="1">IFERROR(__xludf.DUMMYFUNCTION("""COMPUTED_VALUE"""),"1st U")</f>
        <v>1st U</v>
      </c>
      <c r="N174" s="15" t="str">
        <f ca="1">IFERROR(__xludf.DUMMYFUNCTION("""COMPUTED_VALUE"""),"unproven")</f>
        <v>unproven</v>
      </c>
      <c r="O174" s="18"/>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row>
    <row r="175" spans="1:80" ht="12.75" hidden="1" customHeight="1">
      <c r="A175" s="20">
        <f ca="1">IFERROR(__xludf.DUMMYFUNCTION("""COMPUTED_VALUE"""),2006)</f>
        <v>2006</v>
      </c>
      <c r="B175" s="45">
        <f ca="1">IFERROR(__xludf.DUMMYFUNCTION("""COMPUTED_VALUE"""),39468)</f>
        <v>39468</v>
      </c>
      <c r="C175" s="46" t="str">
        <f ca="1">IFERROR(__xludf.DUMMYFUNCTION("""COMPUTED_VALUE"""),"01/01/08")</f>
        <v>01/01/08</v>
      </c>
      <c r="D175" s="47" t="str">
        <f ca="1">IFERROR(__xludf.DUMMYFUNCTION("""COMPUTED_VALUE"""),"Black Kite")</f>
        <v>Black Kite</v>
      </c>
      <c r="E175" s="52">
        <f ca="1">IFERROR(__xludf.DUMMYFUNCTION("""COMPUTED_VALUE"""),1)</f>
        <v>1</v>
      </c>
      <c r="F175" s="25"/>
      <c r="G175" s="48" t="str">
        <f ca="1">IFERROR(__xludf.DUMMYFUNCTION("""COMPUTED_VALUE"""),"Haslington")</f>
        <v>Haslington</v>
      </c>
      <c r="H175" s="22">
        <f ca="1">IFERROR(__xludf.DUMMYFUNCTION("""COMPUTED_VALUE"""),38815)</f>
        <v>38815</v>
      </c>
      <c r="I175" s="23"/>
      <c r="J175" s="24"/>
      <c r="K175" s="25"/>
      <c r="L175" s="27" t="str">
        <f ca="1">IFERROR(__xludf.DUMMYFUNCTION("""COMPUTED_VALUE"""),"closed")</f>
        <v>closed</v>
      </c>
      <c r="M175" s="27" t="str">
        <f ca="1">IFERROR(__xludf.DUMMYFUNCTION("""COMPUTED_VALUE"""),"1st U")</f>
        <v>1st U</v>
      </c>
      <c r="N175" s="25" t="str">
        <f ca="1">IFERROR(__xludf.DUMMYFUNCTION("""COMPUTED_VALUE"""),"unproven")</f>
        <v>unproven</v>
      </c>
      <c r="O175" s="28"/>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row>
    <row r="176" spans="1:80" ht="12.75" hidden="1" customHeight="1">
      <c r="A176" s="10">
        <f ca="1">IFERROR(__xludf.DUMMYFUNCTION("""COMPUTED_VALUE"""),2006)</f>
        <v>2006</v>
      </c>
      <c r="B176" s="50">
        <f ca="1">IFERROR(__xludf.DUMMYFUNCTION("""COMPUTED_VALUE"""),39448)</f>
        <v>39448</v>
      </c>
      <c r="C176" s="41" t="str">
        <f ca="1">IFERROR(__xludf.DUMMYFUNCTION("""COMPUTED_VALUE"""),"2007")</f>
        <v>2007</v>
      </c>
      <c r="D176" s="42" t="str">
        <f ca="1">IFERROR(__xludf.DUMMYFUNCTION("""COMPUTED_VALUE"""),"Red Kite")</f>
        <v>Red Kite</v>
      </c>
      <c r="E176" s="53">
        <f ca="1">IFERROR(__xludf.DUMMYFUNCTION("""COMPUTED_VALUE"""),1)</f>
        <v>1</v>
      </c>
      <c r="F176" s="15"/>
      <c r="G176" s="44" t="str">
        <f ca="1">IFERROR(__xludf.DUMMYFUNCTION("""COMPUTED_VALUE"""),"Woolston Eyes NR")</f>
        <v>Woolston Eyes NR</v>
      </c>
      <c r="H176" s="12">
        <f ca="1">IFERROR(__xludf.DUMMYFUNCTION("""COMPUTED_VALUE"""),38878)</f>
        <v>38878</v>
      </c>
      <c r="I176" s="13"/>
      <c r="J176" s="14" t="str">
        <f ca="1">IFERROR(__xludf.DUMMYFUNCTION("""COMPUTED_VALUE"""),"Miles, MR")</f>
        <v>Miles, MR</v>
      </c>
      <c r="K176" s="15" t="str">
        <f ca="1">IFERROR(__xludf.DUMMYFUNCTION("""COMPUTED_VALUE"""),"Miles, MR")</f>
        <v>Miles, MR</v>
      </c>
      <c r="L176" s="17" t="str">
        <f ca="1">IFERROR(__xludf.DUMMYFUNCTION("""COMPUTED_VALUE"""),"closed")</f>
        <v>closed</v>
      </c>
      <c r="M176" s="17" t="str">
        <f ca="1">IFERROR(__xludf.DUMMYFUNCTION("""COMPUTED_VALUE"""),"1st U")</f>
        <v>1st U</v>
      </c>
      <c r="N176" s="15" t="str">
        <f ca="1">IFERROR(__xludf.DUMMYFUNCTION("""COMPUTED_VALUE"""),"Accepted")</f>
        <v>Accepted</v>
      </c>
      <c r="O176" s="18"/>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row>
    <row r="177" spans="1:80" ht="12.75" hidden="1" customHeight="1">
      <c r="A177" s="20">
        <f ca="1">IFERROR(__xludf.DUMMYFUNCTION("""COMPUTED_VALUE"""),2006)</f>
        <v>2006</v>
      </c>
      <c r="B177" s="45">
        <f ca="1">IFERROR(__xludf.DUMMYFUNCTION("""COMPUTED_VALUE"""),39448)</f>
        <v>39448</v>
      </c>
      <c r="C177" s="46" t="str">
        <f ca="1">IFERROR(__xludf.DUMMYFUNCTION("""COMPUTED_VALUE"""),"2007")</f>
        <v>2007</v>
      </c>
      <c r="D177" s="47" t="str">
        <f ca="1">IFERROR(__xludf.DUMMYFUNCTION("""COMPUTED_VALUE"""),"Red Kite")</f>
        <v>Red Kite</v>
      </c>
      <c r="E177" s="52">
        <f ca="1">IFERROR(__xludf.DUMMYFUNCTION("""COMPUTED_VALUE"""),1)</f>
        <v>1</v>
      </c>
      <c r="F177" s="25"/>
      <c r="G177" s="48" t="str">
        <f ca="1">IFERROR(__xludf.DUMMYFUNCTION("""COMPUTED_VALUE"""),"Great Sutton")</f>
        <v>Great Sutton</v>
      </c>
      <c r="H177" s="22">
        <f ca="1">IFERROR(__xludf.DUMMYFUNCTION("""COMPUTED_VALUE"""),38926)</f>
        <v>38926</v>
      </c>
      <c r="I177" s="23"/>
      <c r="J177" s="24" t="str">
        <f ca="1">IFERROR(__xludf.DUMMYFUNCTION("""COMPUTED_VALUE"""),"Woollen, P")</f>
        <v>Woollen, P</v>
      </c>
      <c r="K177" s="25" t="str">
        <f ca="1">IFERROR(__xludf.DUMMYFUNCTION("""COMPUTED_VALUE"""),"Woollen, P")</f>
        <v>Woollen, P</v>
      </c>
      <c r="L177" s="27" t="str">
        <f ca="1">IFERROR(__xludf.DUMMYFUNCTION("""COMPUTED_VALUE"""),"closed")</f>
        <v>closed</v>
      </c>
      <c r="M177" s="27" t="str">
        <f ca="1">IFERROR(__xludf.DUMMYFUNCTION("""COMPUTED_VALUE"""),"1st U")</f>
        <v>1st U</v>
      </c>
      <c r="N177" s="25" t="str">
        <f ca="1">IFERROR(__xludf.DUMMYFUNCTION("""COMPUTED_VALUE"""),"Accepted")</f>
        <v>Accepted</v>
      </c>
      <c r="O177" s="28"/>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row>
    <row r="178" spans="1:80" ht="12.75" hidden="1" customHeight="1">
      <c r="A178" s="10">
        <f ca="1">IFERROR(__xludf.DUMMYFUNCTION("""COMPUTED_VALUE"""),2006)</f>
        <v>2006</v>
      </c>
      <c r="B178" s="50">
        <f ca="1">IFERROR(__xludf.DUMMYFUNCTION("""COMPUTED_VALUE"""),39083)</f>
        <v>39083</v>
      </c>
      <c r="C178" s="41" t="str">
        <f ca="1">IFERROR(__xludf.DUMMYFUNCTION("""COMPUTED_VALUE"""),"2006")</f>
        <v>2006</v>
      </c>
      <c r="D178" s="42" t="str">
        <f ca="1">IFERROR(__xludf.DUMMYFUNCTION("""COMPUTED_VALUE"""),"Goshawk")</f>
        <v>Goshawk</v>
      </c>
      <c r="E178" s="53">
        <f ca="1">IFERROR(__xludf.DUMMYFUNCTION("""COMPUTED_VALUE"""),1)</f>
        <v>1</v>
      </c>
      <c r="F178" s="15"/>
      <c r="G178" s="44" t="str">
        <f ca="1">IFERROR(__xludf.DUMMYFUNCTION("""COMPUTED_VALUE"""),"Peckfoton Woods")</f>
        <v>Peckfoton Woods</v>
      </c>
      <c r="H178" s="12">
        <f ca="1">IFERROR(__xludf.DUMMYFUNCTION("""COMPUTED_VALUE"""),38830)</f>
        <v>38830</v>
      </c>
      <c r="I178" s="13"/>
      <c r="J178" s="14" t="str">
        <f ca="1">IFERROR(__xludf.DUMMYFUNCTION("""COMPUTED_VALUE"""),"Jones, M")</f>
        <v>Jones, M</v>
      </c>
      <c r="K178" s="15" t="str">
        <f ca="1">IFERROR(__xludf.DUMMYFUNCTION("""COMPUTED_VALUE"""),"Jones, M")</f>
        <v>Jones, M</v>
      </c>
      <c r="L178" s="17" t="str">
        <f ca="1">IFERROR(__xludf.DUMMYFUNCTION("""COMPUTED_VALUE"""),"closed")</f>
        <v>closed</v>
      </c>
      <c r="M178" s="17" t="str">
        <f ca="1">IFERROR(__xludf.DUMMYFUNCTION("""COMPUTED_VALUE"""),"1st U")</f>
        <v>1st U</v>
      </c>
      <c r="N178" s="15" t="str">
        <f ca="1">IFERROR(__xludf.DUMMYFUNCTION("""COMPUTED_VALUE"""),"Accepted")</f>
        <v>Accepted</v>
      </c>
      <c r="O178" s="18"/>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row>
    <row r="179" spans="1:80" ht="12.75" hidden="1" customHeight="1">
      <c r="A179" s="20">
        <f ca="1">IFERROR(__xludf.DUMMYFUNCTION("""COMPUTED_VALUE"""),2006)</f>
        <v>2006</v>
      </c>
      <c r="B179" s="45">
        <f ca="1">IFERROR(__xludf.DUMMYFUNCTION("""COMPUTED_VALUE"""),39083)</f>
        <v>39083</v>
      </c>
      <c r="C179" s="46" t="str">
        <f ca="1">IFERROR(__xludf.DUMMYFUNCTION("""COMPUTED_VALUE"""),"2006")</f>
        <v>2006</v>
      </c>
      <c r="D179" s="47" t="str">
        <f ca="1">IFERROR(__xludf.DUMMYFUNCTION("""COMPUTED_VALUE"""),"Goshawk")</f>
        <v>Goshawk</v>
      </c>
      <c r="E179" s="52">
        <f ca="1">IFERROR(__xludf.DUMMYFUNCTION("""COMPUTED_VALUE"""),1)</f>
        <v>1</v>
      </c>
      <c r="F179" s="25"/>
      <c r="G179" s="48" t="str">
        <f ca="1">IFERROR(__xludf.DUMMYFUNCTION("""COMPUTED_VALUE"""),"Overton Scar")</f>
        <v>Overton Scar</v>
      </c>
      <c r="H179" s="22">
        <f ca="1">IFERROR(__xludf.DUMMYFUNCTION("""COMPUTED_VALUE"""),38745)</f>
        <v>38745</v>
      </c>
      <c r="I179" s="23"/>
      <c r="J179" s="24" t="str">
        <f ca="1">IFERROR(__xludf.DUMMYFUNCTION("""COMPUTED_VALUE"""),"Friswell, N")</f>
        <v>Friswell, N</v>
      </c>
      <c r="K179" s="25" t="str">
        <f ca="1">IFERROR(__xludf.DUMMYFUNCTION("""COMPUTED_VALUE"""),"Friswell, N")</f>
        <v>Friswell, N</v>
      </c>
      <c r="L179" s="27" t="str">
        <f ca="1">IFERROR(__xludf.DUMMYFUNCTION("""COMPUTED_VALUE"""),"closed")</f>
        <v>closed</v>
      </c>
      <c r="M179" s="27" t="str">
        <f ca="1">IFERROR(__xludf.DUMMYFUNCTION("""COMPUTED_VALUE"""),"1st U")</f>
        <v>1st U</v>
      </c>
      <c r="N179" s="25" t="str">
        <f ca="1">IFERROR(__xludf.DUMMYFUNCTION("""COMPUTED_VALUE"""),"Accepted")</f>
        <v>Accepted</v>
      </c>
      <c r="O179" s="28"/>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row>
    <row r="180" spans="1:80" ht="12.75" hidden="1" customHeight="1">
      <c r="A180" s="10">
        <f ca="1">IFERROR(__xludf.DUMMYFUNCTION("""COMPUTED_VALUE"""),2006)</f>
        <v>2006</v>
      </c>
      <c r="B180" s="50">
        <f ca="1">IFERROR(__xludf.DUMMYFUNCTION("""COMPUTED_VALUE"""),39448)</f>
        <v>39448</v>
      </c>
      <c r="C180" s="41" t="str">
        <f ca="1">IFERROR(__xludf.DUMMYFUNCTION("""COMPUTED_VALUE"""),"2007")</f>
        <v>2007</v>
      </c>
      <c r="D180" s="42" t="str">
        <f ca="1">IFERROR(__xludf.DUMMYFUNCTION("""COMPUTED_VALUE"""),"Goshawk")</f>
        <v>Goshawk</v>
      </c>
      <c r="E180" s="53">
        <f ca="1">IFERROR(__xludf.DUMMYFUNCTION("""COMPUTED_VALUE"""),1)</f>
        <v>1</v>
      </c>
      <c r="F180" s="15"/>
      <c r="G180" s="44" t="str">
        <f ca="1">IFERROR(__xludf.DUMMYFUNCTION("""COMPUTED_VALUE"""),"Handforth")</f>
        <v>Handforth</v>
      </c>
      <c r="H180" s="12">
        <f ca="1">IFERROR(__xludf.DUMMYFUNCTION("""COMPUTED_VALUE"""),38951)</f>
        <v>38951</v>
      </c>
      <c r="I180" s="12"/>
      <c r="J180" s="14" t="str">
        <f ca="1">IFERROR(__xludf.DUMMYFUNCTION("""COMPUTED_VALUE"""),"Burnet, S")</f>
        <v>Burnet, S</v>
      </c>
      <c r="K180" s="15" t="str">
        <f ca="1">IFERROR(__xludf.DUMMYFUNCTION("""COMPUTED_VALUE"""),"Burnet, S")</f>
        <v>Burnet, S</v>
      </c>
      <c r="L180" s="17" t="str">
        <f ca="1">IFERROR(__xludf.DUMMYFUNCTION("""COMPUTED_VALUE"""),"closed")</f>
        <v>closed</v>
      </c>
      <c r="M180" s="17" t="str">
        <f ca="1">IFERROR(__xludf.DUMMYFUNCTION("""COMPUTED_VALUE"""),"1st U")</f>
        <v>1st U</v>
      </c>
      <c r="N180" s="15" t="str">
        <f ca="1">IFERROR(__xludf.DUMMYFUNCTION("""COMPUTED_VALUE"""),"Accepted")</f>
        <v>Accepted</v>
      </c>
      <c r="O180" s="18"/>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row>
    <row r="181" spans="1:80" ht="12.75" hidden="1" customHeight="1">
      <c r="A181" s="20">
        <f ca="1">IFERROR(__xludf.DUMMYFUNCTION("""COMPUTED_VALUE"""),2006)</f>
        <v>2006</v>
      </c>
      <c r="B181" s="45">
        <f ca="1">IFERROR(__xludf.DUMMYFUNCTION("""COMPUTED_VALUE"""),39083)</f>
        <v>39083</v>
      </c>
      <c r="C181" s="46" t="str">
        <f ca="1">IFERROR(__xludf.DUMMYFUNCTION("""COMPUTED_VALUE"""),"2006")</f>
        <v>2006</v>
      </c>
      <c r="D181" s="47" t="str">
        <f ca="1">IFERROR(__xludf.DUMMYFUNCTION("""COMPUTED_VALUE"""),"Alpine Swift")</f>
        <v>Alpine Swift</v>
      </c>
      <c r="E181" s="52">
        <f ca="1">IFERROR(__xludf.DUMMYFUNCTION("""COMPUTED_VALUE"""),1)</f>
        <v>1</v>
      </c>
      <c r="F181" s="25"/>
      <c r="G181" s="48" t="str">
        <f ca="1">IFERROR(__xludf.DUMMYFUNCTION("""COMPUTED_VALUE"""),"Barston")</f>
        <v>Barston</v>
      </c>
      <c r="H181" s="22">
        <f ca="1">IFERROR(__xludf.DUMMYFUNCTION("""COMPUTED_VALUE"""),38820)</f>
        <v>38820</v>
      </c>
      <c r="I181" s="22">
        <f ca="1">IFERROR(__xludf.DUMMYFUNCTION("""COMPUTED_VALUE"""),38827)</f>
        <v>38827</v>
      </c>
      <c r="J181" s="24" t="str">
        <f ca="1">IFERROR(__xludf.DUMMYFUNCTION("""COMPUTED_VALUE"""),"Turner, MG")</f>
        <v>Turner, MG</v>
      </c>
      <c r="K181" s="25" t="str">
        <f ca="1">IFERROR(__xludf.DUMMYFUNCTION("""COMPUTED_VALUE"""),"Turner, MG")</f>
        <v>Turner, MG</v>
      </c>
      <c r="L181" s="27" t="str">
        <f ca="1">IFERROR(__xludf.DUMMYFUNCTION("""COMPUTED_VALUE"""),"closed")</f>
        <v>closed</v>
      </c>
      <c r="M181" s="27" t="str">
        <f ca="1">IFERROR(__xludf.DUMMYFUNCTION("""COMPUTED_VALUE"""),"1st U")</f>
        <v>1st U</v>
      </c>
      <c r="N181" s="25" t="str">
        <f ca="1">IFERROR(__xludf.DUMMYFUNCTION("""COMPUTED_VALUE"""),"Accepted")</f>
        <v>Accepted</v>
      </c>
      <c r="O181" s="28"/>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row>
    <row r="182" spans="1:80" ht="12.75" hidden="1" customHeight="1">
      <c r="A182" s="10">
        <f ca="1">IFERROR(__xludf.DUMMYFUNCTION("""COMPUTED_VALUE"""),2006)</f>
        <v>2006</v>
      </c>
      <c r="B182" s="50">
        <f ca="1">IFERROR(__xludf.DUMMYFUNCTION("""COMPUTED_VALUE"""),39083)</f>
        <v>39083</v>
      </c>
      <c r="C182" s="41" t="str">
        <f ca="1">IFERROR(__xludf.DUMMYFUNCTION("""COMPUTED_VALUE"""),"2006")</f>
        <v>2006</v>
      </c>
      <c r="D182" s="42" t="str">
        <f ca="1">IFERROR(__xludf.DUMMYFUNCTION("""COMPUTED_VALUE"""),"Alpine Swift")</f>
        <v>Alpine Swift</v>
      </c>
      <c r="E182" s="53">
        <f ca="1">IFERROR(__xludf.DUMMYFUNCTION("""COMPUTED_VALUE"""),1)</f>
        <v>1</v>
      </c>
      <c r="F182" s="15"/>
      <c r="G182" s="44" t="str">
        <f ca="1">IFERROR(__xludf.DUMMYFUNCTION("""COMPUTED_VALUE"""),"Barnston")</f>
        <v>Barnston</v>
      </c>
      <c r="H182" s="12">
        <f ca="1">IFERROR(__xludf.DUMMYFUNCTION("""COMPUTED_VALUE"""),38822)</f>
        <v>38822</v>
      </c>
      <c r="I182" s="13"/>
      <c r="J182" s="14" t="str">
        <f ca="1">IFERROR(__xludf.DUMMYFUNCTION("""COMPUTED_VALUE"""),"Schofield, C")</f>
        <v>Schofield, C</v>
      </c>
      <c r="K182" s="15" t="str">
        <f ca="1">IFERROR(__xludf.DUMMYFUNCTION("""COMPUTED_VALUE"""),"Turner, MG")</f>
        <v>Turner, MG</v>
      </c>
      <c r="L182" s="17" t="str">
        <f ca="1">IFERROR(__xludf.DUMMYFUNCTION("""COMPUTED_VALUE"""),"closed")</f>
        <v>closed</v>
      </c>
      <c r="M182" s="17" t="str">
        <f ca="1">IFERROR(__xludf.DUMMYFUNCTION("""COMPUTED_VALUE"""),"1st U")</f>
        <v>1st U</v>
      </c>
      <c r="N182" s="15" t="str">
        <f ca="1">IFERROR(__xludf.DUMMYFUNCTION("""COMPUTED_VALUE"""),"Accepted")</f>
        <v>Accepted</v>
      </c>
      <c r="O182" s="18"/>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row>
    <row r="183" spans="1:80" ht="12.75" hidden="1" customHeight="1">
      <c r="A183" s="20">
        <f ca="1">IFERROR(__xludf.DUMMYFUNCTION("""COMPUTED_VALUE"""),2006)</f>
        <v>2006</v>
      </c>
      <c r="B183" s="45">
        <f ca="1">IFERROR(__xludf.DUMMYFUNCTION("""COMPUTED_VALUE"""),39083)</f>
        <v>39083</v>
      </c>
      <c r="C183" s="46" t="str">
        <f ca="1">IFERROR(__xludf.DUMMYFUNCTION("""COMPUTED_VALUE"""),"2006")</f>
        <v>2006</v>
      </c>
      <c r="D183" s="47" t="str">
        <f ca="1">IFERROR(__xludf.DUMMYFUNCTION("""COMPUTED_VALUE"""),"Alpine Swift")</f>
        <v>Alpine Swift</v>
      </c>
      <c r="E183" s="52">
        <f ca="1">IFERROR(__xludf.DUMMYFUNCTION("""COMPUTED_VALUE"""),1)</f>
        <v>1</v>
      </c>
      <c r="F183" s="25"/>
      <c r="G183" s="48" t="str">
        <f ca="1">IFERROR(__xludf.DUMMYFUNCTION("""COMPUTED_VALUE"""),"Barnston")</f>
        <v>Barnston</v>
      </c>
      <c r="H183" s="22">
        <f ca="1">IFERROR(__xludf.DUMMYFUNCTION("""COMPUTED_VALUE"""),38822)</f>
        <v>38822</v>
      </c>
      <c r="I183" s="22"/>
      <c r="J183" s="24" t="str">
        <f ca="1">IFERROR(__xludf.DUMMYFUNCTION("""COMPUTED_VALUE"""),"Coatsworth, T")</f>
        <v>Coatsworth, T</v>
      </c>
      <c r="K183" s="25" t="str">
        <f ca="1">IFERROR(__xludf.DUMMYFUNCTION("""COMPUTED_VALUE"""),"Turner, MG")</f>
        <v>Turner, MG</v>
      </c>
      <c r="L183" s="27" t="str">
        <f ca="1">IFERROR(__xludf.DUMMYFUNCTION("""COMPUTED_VALUE"""),"closed")</f>
        <v>closed</v>
      </c>
      <c r="M183" s="27" t="str">
        <f ca="1">IFERROR(__xludf.DUMMYFUNCTION("""COMPUTED_VALUE"""),"1st U")</f>
        <v>1st U</v>
      </c>
      <c r="N183" s="25" t="str">
        <f ca="1">IFERROR(__xludf.DUMMYFUNCTION("""COMPUTED_VALUE"""),"Accepted")</f>
        <v>Accepted</v>
      </c>
      <c r="O183" s="28"/>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row>
    <row r="184" spans="1:80" ht="12.75" hidden="1" customHeight="1">
      <c r="A184" s="10">
        <f ca="1">IFERROR(__xludf.DUMMYFUNCTION("""COMPUTED_VALUE"""),2006)</f>
        <v>2006</v>
      </c>
      <c r="B184" s="50">
        <f ca="1">IFERROR(__xludf.DUMMYFUNCTION("""COMPUTED_VALUE"""),39083)</f>
        <v>39083</v>
      </c>
      <c r="C184" s="41" t="str">
        <f ca="1">IFERROR(__xludf.DUMMYFUNCTION("""COMPUTED_VALUE"""),"2006")</f>
        <v>2006</v>
      </c>
      <c r="D184" s="42" t="str">
        <f ca="1">IFERROR(__xludf.DUMMYFUNCTION("""COMPUTED_VALUE"""),"Alpine Swift")</f>
        <v>Alpine Swift</v>
      </c>
      <c r="E184" s="53">
        <f ca="1">IFERROR(__xludf.DUMMYFUNCTION("""COMPUTED_VALUE"""),1)</f>
        <v>1</v>
      </c>
      <c r="F184" s="15"/>
      <c r="G184" s="44" t="str">
        <f ca="1">IFERROR(__xludf.DUMMYFUNCTION("""COMPUTED_VALUE"""),"Barnston")</f>
        <v>Barnston</v>
      </c>
      <c r="H184" s="12">
        <f ca="1">IFERROR(__xludf.DUMMYFUNCTION("""COMPUTED_VALUE"""),38825)</f>
        <v>38825</v>
      </c>
      <c r="I184" s="12"/>
      <c r="J184" s="14" t="str">
        <f ca="1">IFERROR(__xludf.DUMMYFUNCTION("""COMPUTED_VALUE"""),"Miles, MR")</f>
        <v>Miles, MR</v>
      </c>
      <c r="K184" s="15" t="str">
        <f ca="1">IFERROR(__xludf.DUMMYFUNCTION("""COMPUTED_VALUE"""),"Turner, MG")</f>
        <v>Turner, MG</v>
      </c>
      <c r="L184" s="17" t="str">
        <f ca="1">IFERROR(__xludf.DUMMYFUNCTION("""COMPUTED_VALUE"""),"closed")</f>
        <v>closed</v>
      </c>
      <c r="M184" s="17" t="str">
        <f ca="1">IFERROR(__xludf.DUMMYFUNCTION("""COMPUTED_VALUE"""),"1st U")</f>
        <v>1st U</v>
      </c>
      <c r="N184" s="15" t="str">
        <f ca="1">IFERROR(__xludf.DUMMYFUNCTION("""COMPUTED_VALUE"""),"Accepted")</f>
        <v>Accepted</v>
      </c>
      <c r="O184" s="18"/>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row>
    <row r="185" spans="1:80" ht="12.75" hidden="1" customHeight="1">
      <c r="A185" s="20">
        <f ca="1">IFERROR(__xludf.DUMMYFUNCTION("""COMPUTED_VALUE"""),2006)</f>
        <v>2006</v>
      </c>
      <c r="B185" s="45">
        <f ca="1">IFERROR(__xludf.DUMMYFUNCTION("""COMPUTED_VALUE"""),39468)</f>
        <v>39468</v>
      </c>
      <c r="C185" s="46" t="str">
        <f ca="1">IFERROR(__xludf.DUMMYFUNCTION("""COMPUTED_VALUE"""),"01/01/08")</f>
        <v>01/01/08</v>
      </c>
      <c r="D185" s="47" t="str">
        <f ca="1">IFERROR(__xludf.DUMMYFUNCTION("""COMPUTED_VALUE"""),"Alpine Swift")</f>
        <v>Alpine Swift</v>
      </c>
      <c r="E185" s="52">
        <f ca="1">IFERROR(__xludf.DUMMYFUNCTION("""COMPUTED_VALUE"""),1)</f>
        <v>1</v>
      </c>
      <c r="F185" s="25"/>
      <c r="G185" s="48" t="str">
        <f ca="1">IFERROR(__xludf.DUMMYFUNCTION("""COMPUTED_VALUE"""),"Meols")</f>
        <v>Meols</v>
      </c>
      <c r="H185" s="22">
        <f ca="1">IFERROR(__xludf.DUMMYFUNCTION("""COMPUTED_VALUE"""),38831)</f>
        <v>38831</v>
      </c>
      <c r="I185" s="23"/>
      <c r="J185" s="24" t="str">
        <f ca="1">IFERROR(__xludf.DUMMYFUNCTION("""COMPUTED_VALUE"""),"Williams, SR")</f>
        <v>Williams, SR</v>
      </c>
      <c r="K185" s="25" t="str">
        <f ca="1">IFERROR(__xludf.DUMMYFUNCTION("""COMPUTED_VALUE"""),"J.Jones")</f>
        <v>J.Jones</v>
      </c>
      <c r="L185" s="27" t="str">
        <f ca="1">IFERROR(__xludf.DUMMYFUNCTION("""COMPUTED_VALUE"""),"closed")</f>
        <v>closed</v>
      </c>
      <c r="M185" s="27" t="str">
        <f ca="1">IFERROR(__xludf.DUMMYFUNCTION("""COMPUTED_VALUE"""),"1st U")</f>
        <v>1st U</v>
      </c>
      <c r="N185" s="25" t="str">
        <f ca="1">IFERROR(__xludf.DUMMYFUNCTION("""COMPUTED_VALUE"""),"Accepted")</f>
        <v>Accepted</v>
      </c>
      <c r="O185" s="28"/>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row>
    <row r="186" spans="1:80" ht="12.75" hidden="1" customHeight="1">
      <c r="A186" s="10">
        <f ca="1">IFERROR(__xludf.DUMMYFUNCTION("""COMPUTED_VALUE"""),2006)</f>
        <v>2006</v>
      </c>
      <c r="B186" s="50">
        <f ca="1">IFERROR(__xludf.DUMMYFUNCTION("""COMPUTED_VALUE"""),39448)</f>
        <v>39448</v>
      </c>
      <c r="C186" s="41" t="str">
        <f ca="1">IFERROR(__xludf.DUMMYFUNCTION("""COMPUTED_VALUE"""),"2007")</f>
        <v>2007</v>
      </c>
      <c r="D186" s="42" t="str">
        <f ca="1">IFERROR(__xludf.DUMMYFUNCTION("""COMPUTED_VALUE"""),"White-winged Black Tern")</f>
        <v>White-winged Black Tern</v>
      </c>
      <c r="E186" s="53">
        <f ca="1">IFERROR(__xludf.DUMMYFUNCTION("""COMPUTED_VALUE"""),1)</f>
        <v>1</v>
      </c>
      <c r="F186" s="15"/>
      <c r="G186" s="44" t="str">
        <f ca="1">IFERROR(__xludf.DUMMYFUNCTION("""COMPUTED_VALUE"""),"Neumann's Flash")</f>
        <v>Neumann's Flash</v>
      </c>
      <c r="H186" s="12">
        <f ca="1">IFERROR(__xludf.DUMMYFUNCTION("""COMPUTED_VALUE"""),38938)</f>
        <v>38938</v>
      </c>
      <c r="I186" s="13"/>
      <c r="J186" s="14" t="str">
        <f ca="1">IFERROR(__xludf.DUMMYFUNCTION("""COMPUTED_VALUE"""),"Antrobus, P")</f>
        <v>Antrobus, P</v>
      </c>
      <c r="K186" s="15" t="str">
        <f ca="1">IFERROR(__xludf.DUMMYFUNCTION("""COMPUTED_VALUE"""),"Antrobus, P")</f>
        <v>Antrobus, P</v>
      </c>
      <c r="L186" s="17" t="str">
        <f ca="1">IFERROR(__xludf.DUMMYFUNCTION("""COMPUTED_VALUE"""),"closed")</f>
        <v>closed</v>
      </c>
      <c r="M186" s="17" t="str">
        <f ca="1">IFERROR(__xludf.DUMMYFUNCTION("""COMPUTED_VALUE"""),"1st U")</f>
        <v>1st U</v>
      </c>
      <c r="N186" s="15" t="str">
        <f ca="1">IFERROR(__xludf.DUMMYFUNCTION("""COMPUTED_VALUE"""),"Accepted")</f>
        <v>Accepted</v>
      </c>
      <c r="O186" s="18"/>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row>
    <row r="187" spans="1:80" ht="12.75" hidden="1" customHeight="1">
      <c r="A187" s="20">
        <f ca="1">IFERROR(__xludf.DUMMYFUNCTION("""COMPUTED_VALUE"""),2006)</f>
        <v>2006</v>
      </c>
      <c r="B187" s="45">
        <f ca="1">IFERROR(__xludf.DUMMYFUNCTION("""COMPUTED_VALUE"""),39083)</f>
        <v>39083</v>
      </c>
      <c r="C187" s="46" t="str">
        <f ca="1">IFERROR(__xludf.DUMMYFUNCTION("""COMPUTED_VALUE"""),"2006")</f>
        <v>2006</v>
      </c>
      <c r="D187" s="47" t="str">
        <f ca="1">IFERROR(__xludf.DUMMYFUNCTION("""COMPUTED_VALUE"""),"Wryneck")</f>
        <v>Wryneck</v>
      </c>
      <c r="E187" s="52">
        <f ca="1">IFERROR(__xludf.DUMMYFUNCTION("""COMPUTED_VALUE"""),1)</f>
        <v>1</v>
      </c>
      <c r="F187" s="25"/>
      <c r="G187" s="48" t="str">
        <f ca="1">IFERROR(__xludf.DUMMYFUNCTION("""COMPUTED_VALUE"""),"Knutsford")</f>
        <v>Knutsford</v>
      </c>
      <c r="H187" s="22">
        <f ca="1">IFERROR(__xludf.DUMMYFUNCTION("""COMPUTED_VALUE"""),38835)</f>
        <v>38835</v>
      </c>
      <c r="I187" s="22"/>
      <c r="J187" s="24" t="str">
        <f ca="1">IFERROR(__xludf.DUMMYFUNCTION("""COMPUTED_VALUE"""),"Wright,G")</f>
        <v>Wright,G</v>
      </c>
      <c r="K187" s="25" t="str">
        <f ca="1">IFERROR(__xludf.DUMMYFUNCTION("""COMPUTED_VALUE"""),"Wright,G")</f>
        <v>Wright,G</v>
      </c>
      <c r="L187" s="27" t="str">
        <f ca="1">IFERROR(__xludf.DUMMYFUNCTION("""COMPUTED_VALUE"""),"closed")</f>
        <v>closed</v>
      </c>
      <c r="M187" s="27" t="str">
        <f ca="1">IFERROR(__xludf.DUMMYFUNCTION("""COMPUTED_VALUE"""),"1st U")</f>
        <v>1st U</v>
      </c>
      <c r="N187" s="25" t="str">
        <f ca="1">IFERROR(__xludf.DUMMYFUNCTION("""COMPUTED_VALUE"""),"Accepted")</f>
        <v>Accepted</v>
      </c>
      <c r="O187" s="28"/>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row>
    <row r="188" spans="1:80" ht="12.75" hidden="1" customHeight="1">
      <c r="A188" s="10">
        <f ca="1">IFERROR(__xludf.DUMMYFUNCTION("""COMPUTED_VALUE"""),2006)</f>
        <v>2006</v>
      </c>
      <c r="B188" s="50">
        <f ca="1">IFERROR(__xludf.DUMMYFUNCTION("""COMPUTED_VALUE"""),39083)</f>
        <v>39083</v>
      </c>
      <c r="C188" s="41" t="str">
        <f ca="1">IFERROR(__xludf.DUMMYFUNCTION("""COMPUTED_VALUE"""),"2006")</f>
        <v>2006</v>
      </c>
      <c r="D188" s="42" t="str">
        <f ca="1">IFERROR(__xludf.DUMMYFUNCTION("""COMPUTED_VALUE"""),"Wryneck")</f>
        <v>Wryneck</v>
      </c>
      <c r="E188" s="53">
        <f ca="1">IFERROR(__xludf.DUMMYFUNCTION("""COMPUTED_VALUE"""),1)</f>
        <v>1</v>
      </c>
      <c r="F188" s="15"/>
      <c r="G188" s="44" t="str">
        <f ca="1">IFERROR(__xludf.DUMMYFUNCTION("""COMPUTED_VALUE"""),"Inner Marsh Farm RSPB")</f>
        <v>Inner Marsh Farm RSPB</v>
      </c>
      <c r="H188" s="12">
        <f ca="1">IFERROR(__xludf.DUMMYFUNCTION("""COMPUTED_VALUE"""),38841)</f>
        <v>38841</v>
      </c>
      <c r="I188" s="12"/>
      <c r="J188" s="14" t="str">
        <f ca="1">IFERROR(__xludf.DUMMYFUNCTION("""COMPUTED_VALUE"""),"Wells, CE")</f>
        <v>Wells, CE</v>
      </c>
      <c r="K188" s="15" t="str">
        <f ca="1">IFERROR(__xludf.DUMMYFUNCTION("""COMPUTED_VALUE"""),"Wells, CE")</f>
        <v>Wells, CE</v>
      </c>
      <c r="L188" s="17" t="str">
        <f ca="1">IFERROR(__xludf.DUMMYFUNCTION("""COMPUTED_VALUE"""),"closed")</f>
        <v>closed</v>
      </c>
      <c r="M188" s="17" t="str">
        <f ca="1">IFERROR(__xludf.DUMMYFUNCTION("""COMPUTED_VALUE"""),"1st U")</f>
        <v>1st U</v>
      </c>
      <c r="N188" s="15" t="str">
        <f ca="1">IFERROR(__xludf.DUMMYFUNCTION("""COMPUTED_VALUE"""),"Accepted")</f>
        <v>Accepted</v>
      </c>
      <c r="O188" s="18"/>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row>
    <row r="189" spans="1:80" ht="12.75" hidden="1" customHeight="1">
      <c r="A189" s="20">
        <f ca="1">IFERROR(__xludf.DUMMYFUNCTION("""COMPUTED_VALUE"""),2006)</f>
        <v>2006</v>
      </c>
      <c r="B189" s="45">
        <f ca="1">IFERROR(__xludf.DUMMYFUNCTION("""COMPUTED_VALUE"""),39448)</f>
        <v>39448</v>
      </c>
      <c r="C189" s="46" t="str">
        <f ca="1">IFERROR(__xludf.DUMMYFUNCTION("""COMPUTED_VALUE"""),"2007")</f>
        <v>2007</v>
      </c>
      <c r="D189" s="47" t="str">
        <f ca="1">IFERROR(__xludf.DUMMYFUNCTION("""COMPUTED_VALUE"""),"Woodlark")</f>
        <v>Woodlark</v>
      </c>
      <c r="E189" s="52">
        <f ca="1">IFERROR(__xludf.DUMMYFUNCTION("""COMPUTED_VALUE"""),1)</f>
        <v>1</v>
      </c>
      <c r="F189" s="25"/>
      <c r="G189" s="48" t="str">
        <f ca="1">IFERROR(__xludf.DUMMYFUNCTION("""COMPUTED_VALUE"""),"Lindow Moss")</f>
        <v>Lindow Moss</v>
      </c>
      <c r="H189" s="22">
        <f ca="1">IFERROR(__xludf.DUMMYFUNCTION("""COMPUTED_VALUE"""),38872)</f>
        <v>38872</v>
      </c>
      <c r="I189" s="22">
        <f ca="1">IFERROR(__xludf.DUMMYFUNCTION("""COMPUTED_VALUE"""),38875)</f>
        <v>38875</v>
      </c>
      <c r="J189" s="24" t="str">
        <f ca="1">IFERROR(__xludf.DUMMYFUNCTION("""COMPUTED_VALUE"""),"Dyke,B")</f>
        <v>Dyke,B</v>
      </c>
      <c r="K189" s="25" t="str">
        <f ca="1">IFERROR(__xludf.DUMMYFUNCTION("""COMPUTED_VALUE"""),"W Gradwell")</f>
        <v>W Gradwell</v>
      </c>
      <c r="L189" s="27" t="str">
        <f ca="1">IFERROR(__xludf.DUMMYFUNCTION("""COMPUTED_VALUE"""),"closed")</f>
        <v>closed</v>
      </c>
      <c r="M189" s="27" t="str">
        <f ca="1">IFERROR(__xludf.DUMMYFUNCTION("""COMPUTED_VALUE"""),"1st U")</f>
        <v>1st U</v>
      </c>
      <c r="N189" s="25" t="str">
        <f ca="1">IFERROR(__xludf.DUMMYFUNCTION("""COMPUTED_VALUE"""),"Accepted")</f>
        <v>Accepted</v>
      </c>
      <c r="O189" s="28"/>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row>
    <row r="190" spans="1:80" ht="12.75" hidden="1" customHeight="1">
      <c r="A190" s="10">
        <f ca="1">IFERROR(__xludf.DUMMYFUNCTION("""COMPUTED_VALUE"""),2006)</f>
        <v>2006</v>
      </c>
      <c r="B190" s="50">
        <f ca="1">IFERROR(__xludf.DUMMYFUNCTION("""COMPUTED_VALUE"""),40466)</f>
        <v>40466</v>
      </c>
      <c r="C190" s="41" t="str">
        <f ca="1">IFERROR(__xludf.DUMMYFUNCTION("""COMPUTED_VALUE"""),"2007")</f>
        <v>2007</v>
      </c>
      <c r="D190" s="42" t="str">
        <f ca="1">IFERROR(__xludf.DUMMYFUNCTION("""COMPUTED_VALUE"""),"Spotted Crake")</f>
        <v>Spotted Crake</v>
      </c>
      <c r="E190" s="53">
        <f ca="1">IFERROR(__xludf.DUMMYFUNCTION("""COMPUTED_VALUE"""),1)</f>
        <v>1</v>
      </c>
      <c r="F190" s="15"/>
      <c r="G190" s="44" t="str">
        <f ca="1">IFERROR(__xludf.DUMMYFUNCTION("""COMPUTED_VALUE"""),"Parkgate")</f>
        <v>Parkgate</v>
      </c>
      <c r="H190" s="12">
        <f ca="1">IFERROR(__xludf.DUMMYFUNCTION("""COMPUTED_VALUE"""),38805)</f>
        <v>38805</v>
      </c>
      <c r="I190" s="12"/>
      <c r="J190" s="14" t="str">
        <f ca="1">IFERROR(__xludf.DUMMYFUNCTION("""COMPUTED_VALUE"""),"Turner, JE")</f>
        <v>Turner, JE</v>
      </c>
      <c r="K190" s="15" t="str">
        <f ca="1">IFERROR(__xludf.DUMMYFUNCTION("""COMPUTED_VALUE"""),"Turner, JE")</f>
        <v>Turner, JE</v>
      </c>
      <c r="L190" s="17" t="str">
        <f ca="1">IFERROR(__xludf.DUMMYFUNCTION("""COMPUTED_VALUE"""),"closed")</f>
        <v>closed</v>
      </c>
      <c r="M190" s="17" t="str">
        <f ca="1">IFERROR(__xludf.DUMMYFUNCTION("""COMPUTED_VALUE"""),"1st U")</f>
        <v>1st U</v>
      </c>
      <c r="N190" s="15" t="str">
        <f ca="1">IFERROR(__xludf.DUMMYFUNCTION("""COMPUTED_VALUE"""),"Accepted")</f>
        <v>Accepted</v>
      </c>
      <c r="O190" s="18"/>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row>
    <row r="191" spans="1:80" ht="12.75" hidden="1" customHeight="1">
      <c r="A191" s="20">
        <f ca="1">IFERROR(__xludf.DUMMYFUNCTION("""COMPUTED_VALUE"""),2006)</f>
        <v>2006</v>
      </c>
      <c r="B191" s="45">
        <f ca="1">IFERROR(__xludf.DUMMYFUNCTION("""COMPUTED_VALUE"""),40466)</f>
        <v>40466</v>
      </c>
      <c r="C191" s="46" t="str">
        <f ca="1">IFERROR(__xludf.DUMMYFUNCTION("""COMPUTED_VALUE"""),"2007")</f>
        <v>2007</v>
      </c>
      <c r="D191" s="47" t="str">
        <f ca="1">IFERROR(__xludf.DUMMYFUNCTION("""COMPUTED_VALUE"""),"Spotted Crake")</f>
        <v>Spotted Crake</v>
      </c>
      <c r="E191" s="52">
        <f ca="1">IFERROR(__xludf.DUMMYFUNCTION("""COMPUTED_VALUE"""),1)</f>
        <v>1</v>
      </c>
      <c r="F191" s="25"/>
      <c r="G191" s="48" t="str">
        <f ca="1">IFERROR(__xludf.DUMMYFUNCTION("""COMPUTED_VALUE"""),"Parkgate")</f>
        <v>Parkgate</v>
      </c>
      <c r="H191" s="22">
        <f ca="1">IFERROR(__xludf.DUMMYFUNCTION("""COMPUTED_VALUE"""),38805)</f>
        <v>38805</v>
      </c>
      <c r="I191" s="22">
        <f ca="1">IFERROR(__xludf.DUMMYFUNCTION("""COMPUTED_VALUE"""),38806)</f>
        <v>38806</v>
      </c>
      <c r="J191" s="24" t="str">
        <f ca="1">IFERROR(__xludf.DUMMYFUNCTION("""COMPUTED_VALUE"""),"Smith, R")</f>
        <v>Smith, R</v>
      </c>
      <c r="K191" s="25" t="str">
        <f ca="1">IFERROR(__xludf.DUMMYFUNCTION("""COMPUTED_VALUE"""),"Turner, JE")</f>
        <v>Turner, JE</v>
      </c>
      <c r="L191" s="27" t="str">
        <f ca="1">IFERROR(__xludf.DUMMYFUNCTION("""COMPUTED_VALUE"""),"closed")</f>
        <v>closed</v>
      </c>
      <c r="M191" s="27" t="str">
        <f ca="1">IFERROR(__xludf.DUMMYFUNCTION("""COMPUTED_VALUE"""),"1st U")</f>
        <v>1st U</v>
      </c>
      <c r="N191" s="25" t="str">
        <f ca="1">IFERROR(__xludf.DUMMYFUNCTION("""COMPUTED_VALUE"""),"Accepted")</f>
        <v>Accepted</v>
      </c>
      <c r="O191" s="28"/>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row>
    <row r="192" spans="1:80" ht="12.75" hidden="1" customHeight="1">
      <c r="A192" s="10">
        <f ca="1">IFERROR(__xludf.DUMMYFUNCTION("""COMPUTED_VALUE"""),2006)</f>
        <v>2006</v>
      </c>
      <c r="B192" s="50">
        <f ca="1">IFERROR(__xludf.DUMMYFUNCTION("""COMPUTED_VALUE"""),40466)</f>
        <v>40466</v>
      </c>
      <c r="C192" s="41" t="str">
        <f ca="1">IFERROR(__xludf.DUMMYFUNCTION("""COMPUTED_VALUE"""),"2007")</f>
        <v>2007</v>
      </c>
      <c r="D192" s="42" t="str">
        <f ca="1">IFERROR(__xludf.DUMMYFUNCTION("""COMPUTED_VALUE"""),"Spotted Crake")</f>
        <v>Spotted Crake</v>
      </c>
      <c r="E192" s="53">
        <f ca="1">IFERROR(__xludf.DUMMYFUNCTION("""COMPUTED_VALUE"""),1)</f>
        <v>1</v>
      </c>
      <c r="F192" s="15"/>
      <c r="G192" s="44" t="str">
        <f ca="1">IFERROR(__xludf.DUMMYFUNCTION("""COMPUTED_VALUE"""),"Parkgate")</f>
        <v>Parkgate</v>
      </c>
      <c r="H192" s="12">
        <f ca="1">IFERROR(__xludf.DUMMYFUNCTION("""COMPUTED_VALUE"""),38809)</f>
        <v>38809</v>
      </c>
      <c r="I192" s="13"/>
      <c r="J192" s="14" t="str">
        <f ca="1">IFERROR(__xludf.DUMMYFUNCTION("""COMPUTED_VALUE"""),"Miles, MR")</f>
        <v>Miles, MR</v>
      </c>
      <c r="K192" s="15" t="str">
        <f ca="1">IFERROR(__xludf.DUMMYFUNCTION("""COMPUTED_VALUE"""),"Turner, JE")</f>
        <v>Turner, JE</v>
      </c>
      <c r="L192" s="17" t="str">
        <f ca="1">IFERROR(__xludf.DUMMYFUNCTION("""COMPUTED_VALUE"""),"closed")</f>
        <v>closed</v>
      </c>
      <c r="M192" s="17" t="str">
        <f ca="1">IFERROR(__xludf.DUMMYFUNCTION("""COMPUTED_VALUE"""),"1st U")</f>
        <v>1st U</v>
      </c>
      <c r="N192" s="15" t="str">
        <f ca="1">IFERROR(__xludf.DUMMYFUNCTION("""COMPUTED_VALUE"""),"Accepted")</f>
        <v>Accepted</v>
      </c>
      <c r="O192" s="18"/>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row>
    <row r="193" spans="1:80" ht="12.75" hidden="1" customHeight="1">
      <c r="A193" s="20">
        <f ca="1">IFERROR(__xludf.DUMMYFUNCTION("""COMPUTED_VALUE"""),2006)</f>
        <v>2006</v>
      </c>
      <c r="B193" s="45">
        <f ca="1">IFERROR(__xludf.DUMMYFUNCTION("""COMPUTED_VALUE"""),39448)</f>
        <v>39448</v>
      </c>
      <c r="C193" s="46" t="str">
        <f ca="1">IFERROR(__xludf.DUMMYFUNCTION("""COMPUTED_VALUE"""),"2007")</f>
        <v>2007</v>
      </c>
      <c r="D193" s="47" t="str">
        <f ca="1">IFERROR(__xludf.DUMMYFUNCTION("""COMPUTED_VALUE"""),"Crane")</f>
        <v>Crane</v>
      </c>
      <c r="E193" s="52">
        <f ca="1">IFERROR(__xludf.DUMMYFUNCTION("""COMPUTED_VALUE"""),1)</f>
        <v>1</v>
      </c>
      <c r="F193" s="25"/>
      <c r="G193" s="48" t="str">
        <f ca="1">IFERROR(__xludf.DUMMYFUNCTION("""COMPUTED_VALUE"""),"Sandiway")</f>
        <v>Sandiway</v>
      </c>
      <c r="H193" s="22">
        <f ca="1">IFERROR(__xludf.DUMMYFUNCTION("""COMPUTED_VALUE"""),38855)</f>
        <v>38855</v>
      </c>
      <c r="I193" s="23"/>
      <c r="J193" s="24" t="str">
        <f ca="1">IFERROR(__xludf.DUMMYFUNCTION("""COMPUTED_VALUE"""),"Garner, A")</f>
        <v>Garner, A</v>
      </c>
      <c r="K193" s="25" t="str">
        <f ca="1">IFERROR(__xludf.DUMMYFUNCTION("""COMPUTED_VALUE"""),"Garner, A")</f>
        <v>Garner, A</v>
      </c>
      <c r="L193" s="27" t="str">
        <f ca="1">IFERROR(__xludf.DUMMYFUNCTION("""COMPUTED_VALUE"""),"closed")</f>
        <v>closed</v>
      </c>
      <c r="M193" s="27" t="str">
        <f ca="1">IFERROR(__xludf.DUMMYFUNCTION("""COMPUTED_VALUE"""),"1st U")</f>
        <v>1st U</v>
      </c>
      <c r="N193" s="25" t="str">
        <f ca="1">IFERROR(__xludf.DUMMYFUNCTION("""COMPUTED_VALUE"""),"Accepted")</f>
        <v>Accepted</v>
      </c>
      <c r="O193" s="28"/>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row>
    <row r="194" spans="1:80" ht="12.75" hidden="1" customHeight="1">
      <c r="A194" s="10">
        <f ca="1">IFERROR(__xludf.DUMMYFUNCTION("""COMPUTED_VALUE"""),2006)</f>
        <v>2006</v>
      </c>
      <c r="B194" s="50">
        <f ca="1">IFERROR(__xludf.DUMMYFUNCTION("""COMPUTED_VALUE"""),39448)</f>
        <v>39448</v>
      </c>
      <c r="C194" s="41" t="str">
        <f ca="1">IFERROR(__xludf.DUMMYFUNCTION("""COMPUTED_VALUE"""),"2007")</f>
        <v>2007</v>
      </c>
      <c r="D194" s="42" t="str">
        <f ca="1">IFERROR(__xludf.DUMMYFUNCTION("""COMPUTED_VALUE"""),"Black-necked Grebe")</f>
        <v>Black-necked Grebe</v>
      </c>
      <c r="E194" s="53">
        <f ca="1">IFERROR(__xludf.DUMMYFUNCTION("""COMPUTED_VALUE"""),1)</f>
        <v>1</v>
      </c>
      <c r="F194" s="15"/>
      <c r="G194" s="44" t="str">
        <f ca="1">IFERROR(__xludf.DUMMYFUNCTION("""COMPUTED_VALUE"""),"Ree Dee, Heswall")</f>
        <v>Ree Dee, Heswall</v>
      </c>
      <c r="H194" s="12">
        <f ca="1">IFERROR(__xludf.DUMMYFUNCTION("""COMPUTED_VALUE"""),38915)</f>
        <v>38915</v>
      </c>
      <c r="I194" s="13"/>
      <c r="J194" s="14" t="str">
        <f ca="1">IFERROR(__xludf.DUMMYFUNCTION("""COMPUTED_VALUE"""),"Farnell, C")</f>
        <v>Farnell, C</v>
      </c>
      <c r="K194" s="15" t="str">
        <f ca="1">IFERROR(__xludf.DUMMYFUNCTION("""COMPUTED_VALUE"""),"Farnell, C")</f>
        <v>Farnell, C</v>
      </c>
      <c r="L194" s="17" t="str">
        <f ca="1">IFERROR(__xludf.DUMMYFUNCTION("""COMPUTED_VALUE"""),"closed")</f>
        <v>closed</v>
      </c>
      <c r="M194" s="17" t="str">
        <f ca="1">IFERROR(__xludf.DUMMYFUNCTION("""COMPUTED_VALUE"""),"1st U")</f>
        <v>1st U</v>
      </c>
      <c r="N194" s="15" t="str">
        <f ca="1">IFERROR(__xludf.DUMMYFUNCTION("""COMPUTED_VALUE"""),"Accepted")</f>
        <v>Accepted</v>
      </c>
      <c r="O194" s="18"/>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row>
    <row r="195" spans="1:80" ht="12.75" hidden="1" customHeight="1">
      <c r="A195" s="20">
        <f ca="1">IFERROR(__xludf.DUMMYFUNCTION("""COMPUTED_VALUE"""),2006)</f>
        <v>2006</v>
      </c>
      <c r="B195" s="45">
        <f ca="1">IFERROR(__xludf.DUMMYFUNCTION("""COMPUTED_VALUE"""),40466)</f>
        <v>40466</v>
      </c>
      <c r="C195" s="46" t="str">
        <f ca="1">IFERROR(__xludf.DUMMYFUNCTION("""COMPUTED_VALUE"""),"2007")</f>
        <v>2007</v>
      </c>
      <c r="D195" s="47" t="str">
        <f ca="1">IFERROR(__xludf.DUMMYFUNCTION("""COMPUTED_VALUE"""),"Temminck's Stint")</f>
        <v>Temminck's Stint</v>
      </c>
      <c r="E195" s="52">
        <f ca="1">IFERROR(__xludf.DUMMYFUNCTION("""COMPUTED_VALUE"""),1)</f>
        <v>1</v>
      </c>
      <c r="F195" s="25"/>
      <c r="G195" s="48" t="str">
        <f ca="1">IFERROR(__xludf.DUMMYFUNCTION("""COMPUTED_VALUE"""),"Neumann's Flash")</f>
        <v>Neumann's Flash</v>
      </c>
      <c r="H195" s="22">
        <f ca="1">IFERROR(__xludf.DUMMYFUNCTION("""COMPUTED_VALUE"""),38846)</f>
        <v>38846</v>
      </c>
      <c r="I195" s="23"/>
      <c r="J195" s="24" t="str">
        <f ca="1">IFERROR(__xludf.DUMMYFUNCTION("""COMPUTED_VALUE"""),"Fearn,H")</f>
        <v>Fearn,H</v>
      </c>
      <c r="K195" s="25" t="str">
        <f ca="1">IFERROR(__xludf.DUMMYFUNCTION("""COMPUTED_VALUE"""),"?")</f>
        <v>?</v>
      </c>
      <c r="L195" s="27" t="str">
        <f ca="1">IFERROR(__xludf.DUMMYFUNCTION("""COMPUTED_VALUE"""),"closed")</f>
        <v>closed</v>
      </c>
      <c r="M195" s="27" t="str">
        <f ca="1">IFERROR(__xludf.DUMMYFUNCTION("""COMPUTED_VALUE"""),"1st U")</f>
        <v>1st U</v>
      </c>
      <c r="N195" s="25" t="str">
        <f ca="1">IFERROR(__xludf.DUMMYFUNCTION("""COMPUTED_VALUE"""),"Accepted")</f>
        <v>Accepted</v>
      </c>
      <c r="O195" s="28"/>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row>
    <row r="196" spans="1:80" ht="12.75" hidden="1" customHeight="1">
      <c r="A196" s="10">
        <f ca="1">IFERROR(__xludf.DUMMYFUNCTION("""COMPUTED_VALUE"""),2006)</f>
        <v>2006</v>
      </c>
      <c r="B196" s="50">
        <f ca="1">IFERROR(__xludf.DUMMYFUNCTION("""COMPUTED_VALUE"""),39448)</f>
        <v>39448</v>
      </c>
      <c r="C196" s="41" t="str">
        <f ca="1">IFERROR(__xludf.DUMMYFUNCTION("""COMPUTED_VALUE"""),"2007")</f>
        <v>2007</v>
      </c>
      <c r="D196" s="42" t="str">
        <f ca="1">IFERROR(__xludf.DUMMYFUNCTION("""COMPUTED_VALUE"""),"Pectoral Sandpiper")</f>
        <v>Pectoral Sandpiper</v>
      </c>
      <c r="E196" s="53">
        <f ca="1">IFERROR(__xludf.DUMMYFUNCTION("""COMPUTED_VALUE"""),1)</f>
        <v>1</v>
      </c>
      <c r="F196" s="15"/>
      <c r="G196" s="44" t="str">
        <f ca="1">IFERROR(__xludf.DUMMYFUNCTION("""COMPUTED_VALUE"""),"Inner Marsh Farm RSPB")</f>
        <v>Inner Marsh Farm RSPB</v>
      </c>
      <c r="H196" s="12">
        <f ca="1">IFERROR(__xludf.DUMMYFUNCTION("""COMPUTED_VALUE"""),38804)</f>
        <v>38804</v>
      </c>
      <c r="I196" s="13"/>
      <c r="J196" s="14" t="str">
        <f ca="1">IFERROR(__xludf.DUMMYFUNCTION("""COMPUTED_VALUE"""),"Woollen, P")</f>
        <v>Woollen, P</v>
      </c>
      <c r="K196" s="15" t="str">
        <f ca="1">IFERROR(__xludf.DUMMYFUNCTION("""COMPUTED_VALUE"""),"?")</f>
        <v>?</v>
      </c>
      <c r="L196" s="17" t="str">
        <f ca="1">IFERROR(__xludf.DUMMYFUNCTION("""COMPUTED_VALUE"""),"closed")</f>
        <v>closed</v>
      </c>
      <c r="M196" s="17" t="str">
        <f ca="1">IFERROR(__xludf.DUMMYFUNCTION("""COMPUTED_VALUE"""),"1st U")</f>
        <v>1st U</v>
      </c>
      <c r="N196" s="15" t="str">
        <f ca="1">IFERROR(__xludf.DUMMYFUNCTION("""COMPUTED_VALUE"""),"Accepted")</f>
        <v>Accepted</v>
      </c>
      <c r="O196" s="18"/>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row>
    <row r="197" spans="1:80" ht="12.75" hidden="1" customHeight="1">
      <c r="A197" s="20">
        <f ca="1">IFERROR(__xludf.DUMMYFUNCTION("""COMPUTED_VALUE"""),2006)</f>
        <v>2006</v>
      </c>
      <c r="B197" s="45">
        <f ca="1">IFERROR(__xludf.DUMMYFUNCTION("""COMPUTED_VALUE"""),39448)</f>
        <v>39448</v>
      </c>
      <c r="C197" s="46" t="str">
        <f ca="1">IFERROR(__xludf.DUMMYFUNCTION("""COMPUTED_VALUE"""),"2007")</f>
        <v>2007</v>
      </c>
      <c r="D197" s="47" t="str">
        <f ca="1">IFERROR(__xludf.DUMMYFUNCTION("""COMPUTED_VALUE"""),"Pectoral Sandpiper")</f>
        <v>Pectoral Sandpiper</v>
      </c>
      <c r="E197" s="52">
        <f ca="1">IFERROR(__xludf.DUMMYFUNCTION("""COMPUTED_VALUE"""),1)</f>
        <v>1</v>
      </c>
      <c r="F197" s="25"/>
      <c r="G197" s="48" t="str">
        <f ca="1">IFERROR(__xludf.DUMMYFUNCTION("""COMPUTED_VALUE"""),"Inner Marsh Farm RSPB")</f>
        <v>Inner Marsh Farm RSPB</v>
      </c>
      <c r="H197" s="22">
        <f ca="1">IFERROR(__xludf.DUMMYFUNCTION("""COMPUTED_VALUE"""),38865)</f>
        <v>38865</v>
      </c>
      <c r="I197" s="23"/>
      <c r="J197" s="24" t="str">
        <f ca="1">IFERROR(__xludf.DUMMYFUNCTION("""COMPUTED_VALUE"""),"Wells, CE")</f>
        <v>Wells, CE</v>
      </c>
      <c r="K197" s="25" t="str">
        <f ca="1">IFERROR(__xludf.DUMMYFUNCTION("""COMPUTED_VALUE"""),"Wells, CE")</f>
        <v>Wells, CE</v>
      </c>
      <c r="L197" s="27" t="str">
        <f ca="1">IFERROR(__xludf.DUMMYFUNCTION("""COMPUTED_VALUE"""),"closed")</f>
        <v>closed</v>
      </c>
      <c r="M197" s="27" t="str">
        <f ca="1">IFERROR(__xludf.DUMMYFUNCTION("""COMPUTED_VALUE"""),"1st U")</f>
        <v>1st U</v>
      </c>
      <c r="N197" s="25" t="str">
        <f ca="1">IFERROR(__xludf.DUMMYFUNCTION("""COMPUTED_VALUE"""),"Accepted")</f>
        <v>Accepted</v>
      </c>
      <c r="O197" s="28"/>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row>
    <row r="198" spans="1:80" ht="12.75" hidden="1" customHeight="1">
      <c r="A198" s="10">
        <f ca="1">IFERROR(__xludf.DUMMYFUNCTION("""COMPUTED_VALUE"""),2006)</f>
        <v>2006</v>
      </c>
      <c r="B198" s="50">
        <f ca="1">IFERROR(__xludf.DUMMYFUNCTION("""COMPUTED_VALUE"""),39448)</f>
        <v>39448</v>
      </c>
      <c r="C198" s="41" t="str">
        <f ca="1">IFERROR(__xludf.DUMMYFUNCTION("""COMPUTED_VALUE"""),"2007")</f>
        <v>2007</v>
      </c>
      <c r="D198" s="42" t="str">
        <f ca="1">IFERROR(__xludf.DUMMYFUNCTION("""COMPUTED_VALUE"""),"Red-necked Phalarope")</f>
        <v>Red-necked Phalarope</v>
      </c>
      <c r="E198" s="53">
        <f ca="1">IFERROR(__xludf.DUMMYFUNCTION("""COMPUTED_VALUE"""),1)</f>
        <v>1</v>
      </c>
      <c r="F198" s="15"/>
      <c r="G198" s="44" t="str">
        <f ca="1">IFERROR(__xludf.DUMMYFUNCTION("""COMPUTED_VALUE"""),"Neumann's Flash")</f>
        <v>Neumann's Flash</v>
      </c>
      <c r="H198" s="12">
        <f ca="1">IFERROR(__xludf.DUMMYFUNCTION("""COMPUTED_VALUE"""),38861)</f>
        <v>38861</v>
      </c>
      <c r="I198" s="13"/>
      <c r="J198" s="14" t="str">
        <f ca="1">IFERROR(__xludf.DUMMYFUNCTION("""COMPUTED_VALUE"""),"Goodwin, D")</f>
        <v>Goodwin, D</v>
      </c>
      <c r="K198" s="15" t="str">
        <f ca="1">IFERROR(__xludf.DUMMYFUNCTION("""COMPUTED_VALUE"""),"M Taylor")</f>
        <v>M Taylor</v>
      </c>
      <c r="L198" s="17" t="str">
        <f ca="1">IFERROR(__xludf.DUMMYFUNCTION("""COMPUTED_VALUE"""),"closed")</f>
        <v>closed</v>
      </c>
      <c r="M198" s="17" t="str">
        <f ca="1">IFERROR(__xludf.DUMMYFUNCTION("""COMPUTED_VALUE"""),"1st U")</f>
        <v>1st U</v>
      </c>
      <c r="N198" s="15" t="str">
        <f ca="1">IFERROR(__xludf.DUMMYFUNCTION("""COMPUTED_VALUE"""),"Accepted")</f>
        <v>Accepted</v>
      </c>
      <c r="O198" s="18"/>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row>
    <row r="199" spans="1:80" ht="12.75" hidden="1" customHeight="1">
      <c r="A199" s="20">
        <f ca="1">IFERROR(__xludf.DUMMYFUNCTION("""COMPUTED_VALUE"""),2006)</f>
        <v>2006</v>
      </c>
      <c r="B199" s="45">
        <f ca="1">IFERROR(__xludf.DUMMYFUNCTION("""COMPUTED_VALUE"""),39448)</f>
        <v>39448</v>
      </c>
      <c r="C199" s="46" t="str">
        <f ca="1">IFERROR(__xludf.DUMMYFUNCTION("""COMPUTED_VALUE"""),"2007")</f>
        <v>2007</v>
      </c>
      <c r="D199" s="47" t="str">
        <f ca="1">IFERROR(__xludf.DUMMYFUNCTION("""COMPUTED_VALUE"""),"Red-necked Phalarope")</f>
        <v>Red-necked Phalarope</v>
      </c>
      <c r="E199" s="52">
        <f ca="1">IFERROR(__xludf.DUMMYFUNCTION("""COMPUTED_VALUE"""),1)</f>
        <v>1</v>
      </c>
      <c r="F199" s="25"/>
      <c r="G199" s="48" t="str">
        <f ca="1">IFERROR(__xludf.DUMMYFUNCTION("""COMPUTED_VALUE"""),"Neumann's Flash")</f>
        <v>Neumann's Flash</v>
      </c>
      <c r="H199" s="22">
        <f ca="1">IFERROR(__xludf.DUMMYFUNCTION("""COMPUTED_VALUE"""),38861)</f>
        <v>38861</v>
      </c>
      <c r="I199" s="22"/>
      <c r="J199" s="24" t="str">
        <f ca="1">IFERROR(__xludf.DUMMYFUNCTION("""COMPUTED_VALUE"""),"Fearn,H")</f>
        <v>Fearn,H</v>
      </c>
      <c r="K199" s="25" t="str">
        <f ca="1">IFERROR(__xludf.DUMMYFUNCTION("""COMPUTED_VALUE"""),"M Taylor")</f>
        <v>M Taylor</v>
      </c>
      <c r="L199" s="27" t="str">
        <f ca="1">IFERROR(__xludf.DUMMYFUNCTION("""COMPUTED_VALUE"""),"closed")</f>
        <v>closed</v>
      </c>
      <c r="M199" s="27" t="str">
        <f ca="1">IFERROR(__xludf.DUMMYFUNCTION("""COMPUTED_VALUE"""),"1st U")</f>
        <v>1st U</v>
      </c>
      <c r="N199" s="25" t="str">
        <f ca="1">IFERROR(__xludf.DUMMYFUNCTION("""COMPUTED_VALUE"""),"Accepted")</f>
        <v>Accepted</v>
      </c>
      <c r="O199" s="28"/>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row>
    <row r="200" spans="1:80" ht="12.75" hidden="1" customHeight="1">
      <c r="A200" s="10">
        <f ca="1">IFERROR(__xludf.DUMMYFUNCTION("""COMPUTED_VALUE"""),2006)</f>
        <v>2006</v>
      </c>
      <c r="B200" s="50">
        <f ca="1">IFERROR(__xludf.DUMMYFUNCTION("""COMPUTED_VALUE"""),39448)</f>
        <v>39448</v>
      </c>
      <c r="C200" s="41" t="str">
        <f ca="1">IFERROR(__xludf.DUMMYFUNCTION("""COMPUTED_VALUE"""),"2007")</f>
        <v>2007</v>
      </c>
      <c r="D200" s="42" t="str">
        <f ca="1">IFERROR(__xludf.DUMMYFUNCTION("""COMPUTED_VALUE"""),"Red-necked Phalarope")</f>
        <v>Red-necked Phalarope</v>
      </c>
      <c r="E200" s="53">
        <f ca="1">IFERROR(__xludf.DUMMYFUNCTION("""COMPUTED_VALUE"""),1)</f>
        <v>1</v>
      </c>
      <c r="F200" s="15"/>
      <c r="G200" s="44" t="str">
        <f ca="1">IFERROR(__xludf.DUMMYFUNCTION("""COMPUTED_VALUE"""),"Sandbach Elton Hall Flash")</f>
        <v>Sandbach Elton Hall Flash</v>
      </c>
      <c r="H200" s="12">
        <f ca="1">IFERROR(__xludf.DUMMYFUNCTION("""COMPUTED_VALUE"""),38943)</f>
        <v>38943</v>
      </c>
      <c r="I200" s="12">
        <f ca="1">IFERROR(__xludf.DUMMYFUNCTION("""COMPUTED_VALUE"""),38944)</f>
        <v>38944</v>
      </c>
      <c r="J200" s="14" t="str">
        <f ca="1">IFERROR(__xludf.DUMMYFUNCTION("""COMPUTED_VALUE"""),"Brown, R")</f>
        <v>Brown, R</v>
      </c>
      <c r="K200" s="15" t="str">
        <f ca="1">IFERROR(__xludf.DUMMYFUNCTION("""COMPUTED_VALUE"""),"Brown, R")</f>
        <v>Brown, R</v>
      </c>
      <c r="L200" s="17" t="str">
        <f ca="1">IFERROR(__xludf.DUMMYFUNCTION("""COMPUTED_VALUE"""),"closed")</f>
        <v>closed</v>
      </c>
      <c r="M200" s="17" t="str">
        <f ca="1">IFERROR(__xludf.DUMMYFUNCTION("""COMPUTED_VALUE"""),"1st U")</f>
        <v>1st U</v>
      </c>
      <c r="N200" s="15" t="str">
        <f ca="1">IFERROR(__xludf.DUMMYFUNCTION("""COMPUTED_VALUE"""),"Accepted")</f>
        <v>Accepted</v>
      </c>
      <c r="O200" s="18"/>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row>
    <row r="201" spans="1:80" ht="12.75" hidden="1" customHeight="1">
      <c r="A201" s="20">
        <f ca="1">IFERROR(__xludf.DUMMYFUNCTION("""COMPUTED_VALUE"""),2006)</f>
        <v>2006</v>
      </c>
      <c r="B201" s="45">
        <f ca="1">IFERROR(__xludf.DUMMYFUNCTION("""COMPUTED_VALUE"""),39448)</f>
        <v>39448</v>
      </c>
      <c r="C201" s="46" t="str">
        <f ca="1">IFERROR(__xludf.DUMMYFUNCTION("""COMPUTED_VALUE"""),"2007")</f>
        <v>2007</v>
      </c>
      <c r="D201" s="47" t="str">
        <f ca="1">IFERROR(__xludf.DUMMYFUNCTION("""COMPUTED_VALUE"""),"Red-necked Phalarope")</f>
        <v>Red-necked Phalarope</v>
      </c>
      <c r="E201" s="52">
        <f ca="1">IFERROR(__xludf.DUMMYFUNCTION("""COMPUTED_VALUE"""),1)</f>
        <v>1</v>
      </c>
      <c r="F201" s="25"/>
      <c r="G201" s="48" t="str">
        <f ca="1">IFERROR(__xludf.DUMMYFUNCTION("""COMPUTED_VALUE"""),"Sandbach Elton Hall Flash")</f>
        <v>Sandbach Elton Hall Flash</v>
      </c>
      <c r="H201" s="22">
        <f ca="1">IFERROR(__xludf.DUMMYFUNCTION("""COMPUTED_VALUE"""),38943)</f>
        <v>38943</v>
      </c>
      <c r="I201" s="23"/>
      <c r="J201" s="24" t="str">
        <f ca="1">IFERROR(__xludf.DUMMYFUNCTION("""COMPUTED_VALUE"""),"Lythgoe, C")</f>
        <v>Lythgoe, C</v>
      </c>
      <c r="K201" s="25" t="str">
        <f ca="1">IFERROR(__xludf.DUMMYFUNCTION("""COMPUTED_VALUE"""),"R Brown")</f>
        <v>R Brown</v>
      </c>
      <c r="L201" s="27" t="str">
        <f ca="1">IFERROR(__xludf.DUMMYFUNCTION("""COMPUTED_VALUE"""),"closed")</f>
        <v>closed</v>
      </c>
      <c r="M201" s="27" t="str">
        <f ca="1">IFERROR(__xludf.DUMMYFUNCTION("""COMPUTED_VALUE"""),"1st U")</f>
        <v>1st U</v>
      </c>
      <c r="N201" s="25" t="str">
        <f ca="1">IFERROR(__xludf.DUMMYFUNCTION("""COMPUTED_VALUE"""),"Accepted")</f>
        <v>Accepted</v>
      </c>
      <c r="O201" s="28"/>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row>
    <row r="202" spans="1:80" ht="12.75" hidden="1" customHeight="1">
      <c r="A202" s="10">
        <f ca="1">IFERROR(__xludf.DUMMYFUNCTION("""COMPUTED_VALUE"""),2006)</f>
        <v>2006</v>
      </c>
      <c r="B202" s="50">
        <f ca="1">IFERROR(__xludf.DUMMYFUNCTION("""COMPUTED_VALUE"""),39468)</f>
        <v>39468</v>
      </c>
      <c r="C202" s="41" t="str">
        <f ca="1">IFERROR(__xludf.DUMMYFUNCTION("""COMPUTED_VALUE"""),"01/01/08")</f>
        <v>01/01/08</v>
      </c>
      <c r="D202" s="42" t="str">
        <f ca="1">IFERROR(__xludf.DUMMYFUNCTION("""COMPUTED_VALUE"""),"Grey Phalarope")</f>
        <v>Grey Phalarope</v>
      </c>
      <c r="E202" s="53">
        <f ca="1">IFERROR(__xludf.DUMMYFUNCTION("""COMPUTED_VALUE"""),1)</f>
        <v>1</v>
      </c>
      <c r="F202" s="15"/>
      <c r="G202" s="44" t="str">
        <f ca="1">IFERROR(__xludf.DUMMYFUNCTION("""COMPUTED_VALUE"""),"Leasowe Gap")</f>
        <v>Leasowe Gap</v>
      </c>
      <c r="H202" s="12">
        <f ca="1">IFERROR(__xludf.DUMMYFUNCTION("""COMPUTED_VALUE"""),39060)</f>
        <v>39060</v>
      </c>
      <c r="I202" s="13"/>
      <c r="J202" s="14" t="str">
        <f ca="1">IFERROR(__xludf.DUMMYFUNCTION("""COMPUTED_VALUE"""),"Duff, F")</f>
        <v>Duff, F</v>
      </c>
      <c r="K202" s="15" t="str">
        <f ca="1">IFERROR(__xludf.DUMMYFUNCTION("""COMPUTED_VALUE"""),"Duff, F")</f>
        <v>Duff, F</v>
      </c>
      <c r="L202" s="17" t="str">
        <f ca="1">IFERROR(__xludf.DUMMYFUNCTION("""COMPUTED_VALUE"""),"closed")</f>
        <v>closed</v>
      </c>
      <c r="M202" s="17" t="str">
        <f ca="1">IFERROR(__xludf.DUMMYFUNCTION("""COMPUTED_VALUE"""),"1st M")</f>
        <v>1st M</v>
      </c>
      <c r="N202" s="15" t="str">
        <f ca="1">IFERROR(__xludf.DUMMYFUNCTION("""COMPUTED_VALUE"""),"Accepted")</f>
        <v>Accepted</v>
      </c>
      <c r="O202" s="18"/>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row>
    <row r="203" spans="1:80" ht="12.75" hidden="1" customHeight="1">
      <c r="A203" s="20">
        <f ca="1">IFERROR(__xludf.DUMMYFUNCTION("""COMPUTED_VALUE"""),2006)</f>
        <v>2006</v>
      </c>
      <c r="B203" s="45">
        <f ca="1">IFERROR(__xludf.DUMMYFUNCTION("""COMPUTED_VALUE"""),39448)</f>
        <v>39448</v>
      </c>
      <c r="C203" s="46" t="str">
        <f ca="1">IFERROR(__xludf.DUMMYFUNCTION("""COMPUTED_VALUE"""),"2007")</f>
        <v>2007</v>
      </c>
      <c r="D203" s="47" t="str">
        <f ca="1">IFERROR(__xludf.DUMMYFUNCTION("""COMPUTED_VALUE"""),"Sabine's Gull")</f>
        <v>Sabine's Gull</v>
      </c>
      <c r="E203" s="52">
        <f ca="1">IFERROR(__xludf.DUMMYFUNCTION("""COMPUTED_VALUE"""),1)</f>
        <v>1</v>
      </c>
      <c r="F203" s="25"/>
      <c r="G203" s="48" t="str">
        <f ca="1">IFERROR(__xludf.DUMMYFUNCTION("""COMPUTED_VALUE"""),"Hilbre")</f>
        <v>Hilbre</v>
      </c>
      <c r="H203" s="22">
        <f ca="1">IFERROR(__xludf.DUMMYFUNCTION("""COMPUTED_VALUE"""),38969)</f>
        <v>38969</v>
      </c>
      <c r="I203" s="23"/>
      <c r="J203" s="24" t="str">
        <f ca="1">IFERROR(__xludf.DUMMYFUNCTION("""COMPUTED_VALUE"""),"Williams, SR")</f>
        <v>Williams, SR</v>
      </c>
      <c r="K203" s="25" t="str">
        <f ca="1">IFERROR(__xludf.DUMMYFUNCTION("""COMPUTED_VALUE"""),"Williams, SR")</f>
        <v>Williams, SR</v>
      </c>
      <c r="L203" s="27" t="str">
        <f ca="1">IFERROR(__xludf.DUMMYFUNCTION("""COMPUTED_VALUE"""),"closed")</f>
        <v>closed</v>
      </c>
      <c r="M203" s="27" t="str">
        <f ca="1">IFERROR(__xludf.DUMMYFUNCTION("""COMPUTED_VALUE"""),"1st U")</f>
        <v>1st U</v>
      </c>
      <c r="N203" s="25" t="str">
        <f ca="1">IFERROR(__xludf.DUMMYFUNCTION("""COMPUTED_VALUE"""),"Accepted")</f>
        <v>Accepted</v>
      </c>
      <c r="O203" s="28"/>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row>
    <row r="204" spans="1:80" ht="12.75" hidden="1" customHeight="1">
      <c r="A204" s="10">
        <f ca="1">IFERROR(__xludf.DUMMYFUNCTION("""COMPUTED_VALUE"""),2006)</f>
        <v>2006</v>
      </c>
      <c r="B204" s="50">
        <f ca="1">IFERROR(__xludf.DUMMYFUNCTION("""COMPUTED_VALUE"""),39448)</f>
        <v>39448</v>
      </c>
      <c r="C204" s="41" t="str">
        <f ca="1">IFERROR(__xludf.DUMMYFUNCTION("""COMPUTED_VALUE"""),"2007")</f>
        <v>2007</v>
      </c>
      <c r="D204" s="42" t="str">
        <f ca="1">IFERROR(__xludf.DUMMYFUNCTION("""COMPUTED_VALUE"""),"Caspian Gull")</f>
        <v>Caspian Gull</v>
      </c>
      <c r="E204" s="53">
        <f ca="1">IFERROR(__xludf.DUMMYFUNCTION("""COMPUTED_VALUE"""),1)</f>
        <v>1</v>
      </c>
      <c r="F204" s="15"/>
      <c r="G204" s="44" t="str">
        <f ca="1">IFERROR(__xludf.DUMMYFUNCTION("""COMPUTED_VALUE"""),"Moore NR")</f>
        <v>Moore NR</v>
      </c>
      <c r="H204" s="12">
        <f ca="1">IFERROR(__xludf.DUMMYFUNCTION("""COMPUTED_VALUE"""),38787)</f>
        <v>38787</v>
      </c>
      <c r="I204" s="13"/>
      <c r="J204" s="14" t="str">
        <f ca="1">IFERROR(__xludf.DUMMYFUNCTION("""COMPUTED_VALUE"""),"Thomas, G")</f>
        <v>Thomas, G</v>
      </c>
      <c r="K204" s="15" t="str">
        <f ca="1">IFERROR(__xludf.DUMMYFUNCTION("""COMPUTED_VALUE"""),"Thomas, G")</f>
        <v>Thomas, G</v>
      </c>
      <c r="L204" s="17" t="str">
        <f ca="1">IFERROR(__xludf.DUMMYFUNCTION("""COMPUTED_VALUE"""),"closed")</f>
        <v>closed</v>
      </c>
      <c r="M204" s="17" t="str">
        <f ca="1">IFERROR(__xludf.DUMMYFUNCTION("""COMPUTED_VALUE"""),"1st M")</f>
        <v>1st M</v>
      </c>
      <c r="N204" s="15" t="str">
        <f ca="1">IFERROR(__xludf.DUMMYFUNCTION("""COMPUTED_VALUE"""),"Accepted")</f>
        <v>Accepted</v>
      </c>
      <c r="O204" s="18"/>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row>
    <row r="205" spans="1:80" ht="12.75" hidden="1" customHeight="1">
      <c r="A205" s="20">
        <f ca="1">IFERROR(__xludf.DUMMYFUNCTION("""COMPUTED_VALUE"""),2006)</f>
        <v>2006</v>
      </c>
      <c r="B205" s="45">
        <f ca="1">IFERROR(__xludf.DUMMYFUNCTION("""COMPUTED_VALUE"""),39448)</f>
        <v>39448</v>
      </c>
      <c r="C205" s="46" t="str">
        <f ca="1">IFERROR(__xludf.DUMMYFUNCTION("""COMPUTED_VALUE"""),"2007")</f>
        <v>2007</v>
      </c>
      <c r="D205" s="47" t="str">
        <f ca="1">IFERROR(__xludf.DUMMYFUNCTION("""COMPUTED_VALUE"""),"Long-tailed Skua")</f>
        <v>Long-tailed Skua</v>
      </c>
      <c r="E205" s="52">
        <f ca="1">IFERROR(__xludf.DUMMYFUNCTION("""COMPUTED_VALUE"""),1)</f>
        <v>1</v>
      </c>
      <c r="F205" s="25"/>
      <c r="G205" s="48" t="str">
        <f ca="1">IFERROR(__xludf.DUMMYFUNCTION("""COMPUTED_VALUE"""),"Rostherne Mere NNR")</f>
        <v>Rostherne Mere NNR</v>
      </c>
      <c r="H205" s="22">
        <f ca="1">IFERROR(__xludf.DUMMYFUNCTION("""COMPUTED_VALUE"""),38934)</f>
        <v>38934</v>
      </c>
      <c r="I205" s="23"/>
      <c r="J205" s="24"/>
      <c r="K205" s="25"/>
      <c r="L205" s="27" t="str">
        <f ca="1">IFERROR(__xludf.DUMMYFUNCTION("""COMPUTED_VALUE"""),"closed")</f>
        <v>closed</v>
      </c>
      <c r="M205" s="27" t="str">
        <f ca="1">IFERROR(__xludf.DUMMYFUNCTION("""COMPUTED_VALUE"""),"1st U")</f>
        <v>1st U</v>
      </c>
      <c r="N205" s="25" t="str">
        <f ca="1">IFERROR(__xludf.DUMMYFUNCTION("""COMPUTED_VALUE"""),"unproven")</f>
        <v>unproven</v>
      </c>
      <c r="O205" s="28"/>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row>
    <row r="206" spans="1:80" ht="12.75" hidden="1" customHeight="1">
      <c r="A206" s="10">
        <f ca="1">IFERROR(__xludf.DUMMYFUNCTION("""COMPUTED_VALUE"""),2006)</f>
        <v>2006</v>
      </c>
      <c r="B206" s="50">
        <f ca="1">IFERROR(__xludf.DUMMYFUNCTION("""COMPUTED_VALUE"""),39722)</f>
        <v>39722</v>
      </c>
      <c r="C206" s="41">
        <f ca="1">IFERROR(__xludf.DUMMYFUNCTION("""COMPUTED_VALUE"""),39703)</f>
        <v>39703</v>
      </c>
      <c r="D206" s="42" t="str">
        <f ca="1">IFERROR(__xludf.DUMMYFUNCTION("""COMPUTED_VALUE"""),"Little Auk")</f>
        <v>Little Auk</v>
      </c>
      <c r="E206" s="53">
        <f ca="1">IFERROR(__xludf.DUMMYFUNCTION("""COMPUTED_VALUE"""),1)</f>
        <v>1</v>
      </c>
      <c r="F206" s="15"/>
      <c r="G206" s="44" t="str">
        <f ca="1">IFERROR(__xludf.DUMMYFUNCTION("""COMPUTED_VALUE"""),"Hilbre")</f>
        <v>Hilbre</v>
      </c>
      <c r="H206" s="12">
        <f ca="1">IFERROR(__xludf.DUMMYFUNCTION("""COMPUTED_VALUE"""),39055)</f>
        <v>39055</v>
      </c>
      <c r="I206" s="12">
        <f ca="1">IFERROR(__xludf.DUMMYFUNCTION("""COMPUTED_VALUE"""),39055)</f>
        <v>39055</v>
      </c>
      <c r="J206" s="14" t="str">
        <f ca="1">IFERROR(__xludf.DUMMYFUNCTION("""COMPUTED_VALUE"""),"Hilbre Bird Observatory")</f>
        <v>Hilbre Bird Observatory</v>
      </c>
      <c r="K206" s="15" t="str">
        <f ca="1">IFERROR(__xludf.DUMMYFUNCTION("""COMPUTED_VALUE"""),"Bates, D")</f>
        <v>Bates, D</v>
      </c>
      <c r="L206" s="17" t="str">
        <f ca="1">IFERROR(__xludf.DUMMYFUNCTION("""COMPUTED_VALUE"""),"closed")</f>
        <v>closed</v>
      </c>
      <c r="M206" s="17" t="str">
        <f ca="1">IFERROR(__xludf.DUMMYFUNCTION("""COMPUTED_VALUE"""),"1st U")</f>
        <v>1st U</v>
      </c>
      <c r="N206" s="15" t="str">
        <f ca="1">IFERROR(__xludf.DUMMYFUNCTION("""COMPUTED_VALUE"""),"Accepted")</f>
        <v>Accepted</v>
      </c>
      <c r="O206" s="18"/>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row>
    <row r="207" spans="1:80" ht="12.75" hidden="1" customHeight="1">
      <c r="A207" s="20">
        <f ca="1">IFERROR(__xludf.DUMMYFUNCTION("""COMPUTED_VALUE"""),2006)</f>
        <v>2006</v>
      </c>
      <c r="B207" s="45">
        <f ca="1">IFERROR(__xludf.DUMMYFUNCTION("""COMPUTED_VALUE"""),39448)</f>
        <v>39448</v>
      </c>
      <c r="C207" s="46" t="str">
        <f ca="1">IFERROR(__xludf.DUMMYFUNCTION("""COMPUTED_VALUE"""),"2007")</f>
        <v>2007</v>
      </c>
      <c r="D207" s="47" t="str">
        <f ca="1">IFERROR(__xludf.DUMMYFUNCTION("""COMPUTED_VALUE"""),"Little Auk")</f>
        <v>Little Auk</v>
      </c>
      <c r="E207" s="52">
        <f ca="1">IFERROR(__xludf.DUMMYFUNCTION("""COMPUTED_VALUE"""),1)</f>
        <v>1</v>
      </c>
      <c r="F207" s="25"/>
      <c r="G207" s="48" t="str">
        <f ca="1">IFERROR(__xludf.DUMMYFUNCTION("""COMPUTED_VALUE"""),"New Brighton")</f>
        <v>New Brighton</v>
      </c>
      <c r="H207" s="22">
        <f ca="1">IFERROR(__xludf.DUMMYFUNCTION("""COMPUTED_VALUE"""),38980)</f>
        <v>38980</v>
      </c>
      <c r="I207" s="23"/>
      <c r="J207" s="24"/>
      <c r="K207" s="25"/>
      <c r="L207" s="27" t="str">
        <f ca="1">IFERROR(__xludf.DUMMYFUNCTION("""COMPUTED_VALUE"""),"closed")</f>
        <v>closed</v>
      </c>
      <c r="M207" s="27" t="str">
        <f ca="1">IFERROR(__xludf.DUMMYFUNCTION("""COMPUTED_VALUE"""),"1st U")</f>
        <v>1st U</v>
      </c>
      <c r="N207" s="25" t="str">
        <f ca="1">IFERROR(__xludf.DUMMYFUNCTION("""COMPUTED_VALUE"""),"unproven")</f>
        <v>unproven</v>
      </c>
      <c r="O207" s="28"/>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row>
    <row r="208" spans="1:80" ht="12.75" hidden="1" customHeight="1">
      <c r="A208" s="10">
        <f ca="1">IFERROR(__xludf.DUMMYFUNCTION("""COMPUTED_VALUE"""),2006)</f>
        <v>2006</v>
      </c>
      <c r="B208" s="50">
        <f ca="1">IFERROR(__xludf.DUMMYFUNCTION("""COMPUTED_VALUE"""),39448)</f>
        <v>39448</v>
      </c>
      <c r="C208" s="41" t="str">
        <f ca="1">IFERROR(__xludf.DUMMYFUNCTION("""COMPUTED_VALUE"""),"2007")</f>
        <v>2007</v>
      </c>
      <c r="D208" s="42" t="str">
        <f ca="1">IFERROR(__xludf.DUMMYFUNCTION("""COMPUTED_VALUE"""),"Little Auk")</f>
        <v>Little Auk</v>
      </c>
      <c r="E208" s="53">
        <f ca="1">IFERROR(__xludf.DUMMYFUNCTION("""COMPUTED_VALUE"""),1)</f>
        <v>1</v>
      </c>
      <c r="F208" s="15"/>
      <c r="G208" s="44" t="str">
        <f ca="1">IFERROR(__xludf.DUMMYFUNCTION("""COMPUTED_VALUE"""),"Hilbre")</f>
        <v>Hilbre</v>
      </c>
      <c r="H208" s="12">
        <f ca="1">IFERROR(__xludf.DUMMYFUNCTION("""COMPUTED_VALUE"""),39033)</f>
        <v>39033</v>
      </c>
      <c r="I208" s="12"/>
      <c r="J208" s="14" t="str">
        <f ca="1">IFERROR(__xludf.DUMMYFUNCTION("""COMPUTED_VALUE"""),"Eden, M")</f>
        <v>Eden, M</v>
      </c>
      <c r="K208" s="15" t="str">
        <f ca="1">IFERROR(__xludf.DUMMYFUNCTION("""COMPUTED_VALUE"""),"B Henshaw")</f>
        <v>B Henshaw</v>
      </c>
      <c r="L208" s="17" t="str">
        <f ca="1">IFERROR(__xludf.DUMMYFUNCTION("""COMPUTED_VALUE"""),"closed")</f>
        <v>closed</v>
      </c>
      <c r="M208" s="17" t="str">
        <f ca="1">IFERROR(__xludf.DUMMYFUNCTION("""COMPUTED_VALUE"""),"1st U")</f>
        <v>1st U</v>
      </c>
      <c r="N208" s="15" t="str">
        <f ca="1">IFERROR(__xludf.DUMMYFUNCTION("""COMPUTED_VALUE"""),"Accepted")</f>
        <v>Accepted</v>
      </c>
      <c r="O208" s="18"/>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row>
    <row r="209" spans="1:80" ht="12.75" hidden="1" customHeight="1">
      <c r="A209" s="20">
        <f ca="1">IFERROR(__xludf.DUMMYFUNCTION("""COMPUTED_VALUE"""),2006)</f>
        <v>2006</v>
      </c>
      <c r="B209" s="45">
        <f ca="1">IFERROR(__xludf.DUMMYFUNCTION("""COMPUTED_VALUE"""),39448)</f>
        <v>39448</v>
      </c>
      <c r="C209" s="46" t="str">
        <f ca="1">IFERROR(__xludf.DUMMYFUNCTION("""COMPUTED_VALUE"""),"2007")</f>
        <v>2007</v>
      </c>
      <c r="D209" s="47" t="str">
        <f ca="1">IFERROR(__xludf.DUMMYFUNCTION("""COMPUTED_VALUE"""),"Little Auk")</f>
        <v>Little Auk</v>
      </c>
      <c r="E209" s="52">
        <f ca="1">IFERROR(__xludf.DUMMYFUNCTION("""COMPUTED_VALUE"""),1)</f>
        <v>1</v>
      </c>
      <c r="F209" s="25"/>
      <c r="G209" s="48" t="str">
        <f ca="1">IFERROR(__xludf.DUMMYFUNCTION("""COMPUTED_VALUE"""),"Hilbre")</f>
        <v>Hilbre</v>
      </c>
      <c r="H209" s="22">
        <f ca="1">IFERROR(__xludf.DUMMYFUNCTION("""COMPUTED_VALUE"""),39042)</f>
        <v>39042</v>
      </c>
      <c r="I209" s="23"/>
      <c r="J209" s="24" t="str">
        <f ca="1">IFERROR(__xludf.DUMMYFUNCTION("""COMPUTED_VALUE"""),"Williams, PG")</f>
        <v>Williams, PG</v>
      </c>
      <c r="K209" s="25" t="str">
        <f ca="1">IFERROR(__xludf.DUMMYFUNCTION("""COMPUTED_VALUE"""),"Williams, PG")</f>
        <v>Williams, PG</v>
      </c>
      <c r="L209" s="27" t="str">
        <f ca="1">IFERROR(__xludf.DUMMYFUNCTION("""COMPUTED_VALUE"""),"closed")</f>
        <v>closed</v>
      </c>
      <c r="M209" s="27" t="str">
        <f ca="1">IFERROR(__xludf.DUMMYFUNCTION("""COMPUTED_VALUE"""),"1st U")</f>
        <v>1st U</v>
      </c>
      <c r="N209" s="25" t="str">
        <f ca="1">IFERROR(__xludf.DUMMYFUNCTION("""COMPUTED_VALUE"""),"Accepted")</f>
        <v>Accepted</v>
      </c>
      <c r="O209" s="28"/>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row>
    <row r="210" spans="1:80" ht="12.75" hidden="1" customHeight="1">
      <c r="A210" s="10">
        <f ca="1">IFERROR(__xludf.DUMMYFUNCTION("""COMPUTED_VALUE"""),2006)</f>
        <v>2006</v>
      </c>
      <c r="B210" s="50">
        <f ca="1">IFERROR(__xludf.DUMMYFUNCTION("""COMPUTED_VALUE"""),39468)</f>
        <v>39468</v>
      </c>
      <c r="C210" s="41" t="str">
        <f ca="1">IFERROR(__xludf.DUMMYFUNCTION("""COMPUTED_VALUE"""),"01/01/08")</f>
        <v>01/01/08</v>
      </c>
      <c r="D210" s="42" t="str">
        <f ca="1">IFERROR(__xludf.DUMMYFUNCTION("""COMPUTED_VALUE"""),"Great northern Diver")</f>
        <v>Great northern Diver</v>
      </c>
      <c r="E210" s="53">
        <f ca="1">IFERROR(__xludf.DUMMYFUNCTION("""COMPUTED_VALUE"""),1)</f>
        <v>1</v>
      </c>
      <c r="F210" s="15"/>
      <c r="G210" s="44" t="str">
        <f ca="1">IFERROR(__xludf.DUMMYFUNCTION("""COMPUTED_VALUE"""),"Astbury Mere")</f>
        <v>Astbury Mere</v>
      </c>
      <c r="H210" s="12">
        <f ca="1">IFERROR(__xludf.DUMMYFUNCTION("""COMPUTED_VALUE"""),39039)</f>
        <v>39039</v>
      </c>
      <c r="I210" s="12"/>
      <c r="J210" s="14" t="str">
        <f ca="1">IFERROR(__xludf.DUMMYFUNCTION("""COMPUTED_VALUE"""),"Swan, J")</f>
        <v>Swan, J</v>
      </c>
      <c r="K210" s="15" t="str">
        <f ca="1">IFERROR(__xludf.DUMMYFUNCTION("""COMPUTED_VALUE"""),"Swan, J")</f>
        <v>Swan, J</v>
      </c>
      <c r="L210" s="17" t="str">
        <f ca="1">IFERROR(__xludf.DUMMYFUNCTION("""COMPUTED_VALUE"""),"closed")</f>
        <v>closed</v>
      </c>
      <c r="M210" s="17" t="str">
        <f ca="1">IFERROR(__xludf.DUMMYFUNCTION("""COMPUTED_VALUE"""),"1st U")</f>
        <v>1st U</v>
      </c>
      <c r="N210" s="15" t="str">
        <f ca="1">IFERROR(__xludf.DUMMYFUNCTION("""COMPUTED_VALUE"""),"Accepted")</f>
        <v>Accepted</v>
      </c>
      <c r="O210" s="18"/>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row>
    <row r="211" spans="1:80" ht="12.75" hidden="1" customHeight="1">
      <c r="A211" s="20">
        <f ca="1">IFERROR(__xludf.DUMMYFUNCTION("""COMPUTED_VALUE"""),2006)</f>
        <v>2006</v>
      </c>
      <c r="B211" s="45">
        <f ca="1">IFERROR(__xludf.DUMMYFUNCTION("""COMPUTED_VALUE"""),39448)</f>
        <v>39448</v>
      </c>
      <c r="C211" s="46" t="str">
        <f ca="1">IFERROR(__xludf.DUMMYFUNCTION("""COMPUTED_VALUE"""),"2007")</f>
        <v>2007</v>
      </c>
      <c r="D211" s="47" t="str">
        <f ca="1">IFERROR(__xludf.DUMMYFUNCTION("""COMPUTED_VALUE"""),"Great northern Diver")</f>
        <v>Great northern Diver</v>
      </c>
      <c r="E211" s="52">
        <f ca="1">IFERROR(__xludf.DUMMYFUNCTION("""COMPUTED_VALUE"""),1)</f>
        <v>1</v>
      </c>
      <c r="F211" s="25"/>
      <c r="G211" s="48" t="str">
        <f ca="1">IFERROR(__xludf.DUMMYFUNCTION("""COMPUTED_VALUE"""),"West Kirby Marine Lake")</f>
        <v>West Kirby Marine Lake</v>
      </c>
      <c r="H211" s="22">
        <f ca="1">IFERROR(__xludf.DUMMYFUNCTION("""COMPUTED_VALUE"""),39063)</f>
        <v>39063</v>
      </c>
      <c r="I211" s="22">
        <f ca="1">IFERROR(__xludf.DUMMYFUNCTION("""COMPUTED_VALUE"""),39076)</f>
        <v>39076</v>
      </c>
      <c r="J211" s="24" t="str">
        <f ca="1">IFERROR(__xludf.DUMMYFUNCTION("""COMPUTED_VALUE"""),"Williams, SR")</f>
        <v>Williams, SR</v>
      </c>
      <c r="K211" s="25" t="str">
        <f ca="1">IFERROR(__xludf.DUMMYFUNCTION("""COMPUTED_VALUE"""),"Williams, SR")</f>
        <v>Williams, SR</v>
      </c>
      <c r="L211" s="27" t="str">
        <f ca="1">IFERROR(__xludf.DUMMYFUNCTION("""COMPUTED_VALUE"""),"closed")</f>
        <v>closed</v>
      </c>
      <c r="M211" s="27" t="str">
        <f ca="1">IFERROR(__xludf.DUMMYFUNCTION("""COMPUTED_VALUE"""),"1st U")</f>
        <v>1st U</v>
      </c>
      <c r="N211" s="25" t="str">
        <f ca="1">IFERROR(__xludf.DUMMYFUNCTION("""COMPUTED_VALUE"""),"Accepted")</f>
        <v>Accepted</v>
      </c>
      <c r="O211" s="28"/>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row>
    <row r="212" spans="1:80" ht="12.75" hidden="1" customHeight="1">
      <c r="A212" s="10">
        <f ca="1">IFERROR(__xludf.DUMMYFUNCTION("""COMPUTED_VALUE"""),2006)</f>
        <v>2006</v>
      </c>
      <c r="B212" s="50">
        <f ca="1">IFERROR(__xludf.DUMMYFUNCTION("""COMPUTED_VALUE"""),39448)</f>
        <v>39448</v>
      </c>
      <c r="C212" s="41" t="str">
        <f ca="1">IFERROR(__xludf.DUMMYFUNCTION("""COMPUTED_VALUE"""),"2007")</f>
        <v>2007</v>
      </c>
      <c r="D212" s="42" t="str">
        <f ca="1">IFERROR(__xludf.DUMMYFUNCTION("""COMPUTED_VALUE"""),"Great northern Diver")</f>
        <v>Great northern Diver</v>
      </c>
      <c r="E212" s="53">
        <f ca="1">IFERROR(__xludf.DUMMYFUNCTION("""COMPUTED_VALUE"""),1)</f>
        <v>1</v>
      </c>
      <c r="F212" s="15"/>
      <c r="G212" s="44" t="str">
        <f ca="1">IFERROR(__xludf.DUMMYFUNCTION("""COMPUTED_VALUE"""),"Pickering's Pasture LNR, Widnes")</f>
        <v>Pickering's Pasture LNR, Widnes</v>
      </c>
      <c r="H212" s="12">
        <f ca="1">IFERROR(__xludf.DUMMYFUNCTION("""COMPUTED_VALUE"""),39063)</f>
        <v>39063</v>
      </c>
      <c r="I212" s="13"/>
      <c r="J212" s="14" t="str">
        <f ca="1">IFERROR(__xludf.DUMMYFUNCTION("""COMPUTED_VALUE"""),"Cockbain, RP&amp;CA")</f>
        <v>Cockbain, RP&amp;CA</v>
      </c>
      <c r="K212" s="15" t="str">
        <f ca="1">IFERROR(__xludf.DUMMYFUNCTION("""COMPUTED_VALUE"""),"Cockbain, RP&amp;CA")</f>
        <v>Cockbain, RP&amp;CA</v>
      </c>
      <c r="L212" s="17" t="str">
        <f ca="1">IFERROR(__xludf.DUMMYFUNCTION("""COMPUTED_VALUE"""),"closed")</f>
        <v>closed</v>
      </c>
      <c r="M212" s="17" t="str">
        <f ca="1">IFERROR(__xludf.DUMMYFUNCTION("""COMPUTED_VALUE"""),"1st U")</f>
        <v>1st U</v>
      </c>
      <c r="N212" s="15" t="str">
        <f ca="1">IFERROR(__xludf.DUMMYFUNCTION("""COMPUTED_VALUE"""),"Accepted")</f>
        <v>Accepted</v>
      </c>
      <c r="O212" s="18"/>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row>
    <row r="213" spans="1:80" ht="12.75" hidden="1" customHeight="1">
      <c r="A213" s="20">
        <f ca="1">IFERROR(__xludf.DUMMYFUNCTION("""COMPUTED_VALUE"""),2006)</f>
        <v>2006</v>
      </c>
      <c r="B213" s="45">
        <f ca="1">IFERROR(__xludf.DUMMYFUNCTION("""COMPUTED_VALUE"""),39448)</f>
        <v>39448</v>
      </c>
      <c r="C213" s="46" t="str">
        <f ca="1">IFERROR(__xludf.DUMMYFUNCTION("""COMPUTED_VALUE"""),"2007")</f>
        <v>2007</v>
      </c>
      <c r="D213" s="47" t="str">
        <f ca="1">IFERROR(__xludf.DUMMYFUNCTION("""COMPUTED_VALUE"""),"Great northern Diver")</f>
        <v>Great northern Diver</v>
      </c>
      <c r="E213" s="52">
        <f ca="1">IFERROR(__xludf.DUMMYFUNCTION("""COMPUTED_VALUE"""),1)</f>
        <v>1</v>
      </c>
      <c r="F213" s="25"/>
      <c r="G213" s="48" t="str">
        <f ca="1">IFERROR(__xludf.DUMMYFUNCTION("""COMPUTED_VALUE"""),"West Kirby Marine Lake")</f>
        <v>West Kirby Marine Lake</v>
      </c>
      <c r="H213" s="22">
        <f ca="1">IFERROR(__xludf.DUMMYFUNCTION("""COMPUTED_VALUE"""),39068)</f>
        <v>39068</v>
      </c>
      <c r="I213" s="22"/>
      <c r="J213" s="24" t="str">
        <f ca="1">IFERROR(__xludf.DUMMYFUNCTION("""COMPUTED_VALUE"""),"Schofield, C")</f>
        <v>Schofield, C</v>
      </c>
      <c r="K213" s="25" t="str">
        <f ca="1">IFERROR(__xludf.DUMMYFUNCTION("""COMPUTED_VALUE"""),"S Williams")</f>
        <v>S Williams</v>
      </c>
      <c r="L213" s="27" t="str">
        <f ca="1">IFERROR(__xludf.DUMMYFUNCTION("""COMPUTED_VALUE"""),"closed")</f>
        <v>closed</v>
      </c>
      <c r="M213" s="27" t="str">
        <f ca="1">IFERROR(__xludf.DUMMYFUNCTION("""COMPUTED_VALUE"""),"1st U")</f>
        <v>1st U</v>
      </c>
      <c r="N213" s="25" t="str">
        <f ca="1">IFERROR(__xludf.DUMMYFUNCTION("""COMPUTED_VALUE"""),"Accepted")</f>
        <v>Accepted</v>
      </c>
      <c r="O213" s="28"/>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row>
    <row r="214" spans="1:80" ht="12.75" hidden="1" customHeight="1">
      <c r="A214" s="10">
        <f ca="1">IFERROR(__xludf.DUMMYFUNCTION("""COMPUTED_VALUE"""),2006)</f>
        <v>2006</v>
      </c>
      <c r="B214" s="50">
        <f ca="1">IFERROR(__xludf.DUMMYFUNCTION("""COMPUTED_VALUE"""),39448)</f>
        <v>39448</v>
      </c>
      <c r="C214" s="41" t="str">
        <f ca="1">IFERROR(__xludf.DUMMYFUNCTION("""COMPUTED_VALUE"""),"2007")</f>
        <v>2007</v>
      </c>
      <c r="D214" s="42" t="str">
        <f ca="1">IFERROR(__xludf.DUMMYFUNCTION("""COMPUTED_VALUE"""),"Leach's Petrel")</f>
        <v>Leach's Petrel</v>
      </c>
      <c r="E214" s="53">
        <f ca="1">IFERROR(__xludf.DUMMYFUNCTION("""COMPUTED_VALUE"""),1)</f>
        <v>1</v>
      </c>
      <c r="F214" s="15"/>
      <c r="G214" s="44" t="str">
        <f ca="1">IFERROR(__xludf.DUMMYFUNCTION("""COMPUTED_VALUE"""),"Alderley Park")</f>
        <v>Alderley Park</v>
      </c>
      <c r="H214" s="12">
        <f ca="1">IFERROR(__xludf.DUMMYFUNCTION("""COMPUTED_VALUE"""),39061)</f>
        <v>39061</v>
      </c>
      <c r="I214" s="12"/>
      <c r="J214" s="14" t="str">
        <f ca="1">IFERROR(__xludf.DUMMYFUNCTION("""COMPUTED_VALUE"""),"Pulsford, AH")</f>
        <v>Pulsford, AH</v>
      </c>
      <c r="K214" s="15" t="str">
        <f ca="1">IFERROR(__xludf.DUMMYFUNCTION("""COMPUTED_VALUE"""),"Pulsford, AH")</f>
        <v>Pulsford, AH</v>
      </c>
      <c r="L214" s="17" t="str">
        <f ca="1">IFERROR(__xludf.DUMMYFUNCTION("""COMPUTED_VALUE"""),"closed")</f>
        <v>closed</v>
      </c>
      <c r="M214" s="17" t="str">
        <f ca="1">IFERROR(__xludf.DUMMYFUNCTION("""COMPUTED_VALUE"""),"1st U")</f>
        <v>1st U</v>
      </c>
      <c r="N214" s="15" t="str">
        <f ca="1">IFERROR(__xludf.DUMMYFUNCTION("""COMPUTED_VALUE"""),"Accepted")</f>
        <v>Accepted</v>
      </c>
      <c r="O214" s="18"/>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row>
    <row r="215" spans="1:80" ht="12.75" hidden="1" customHeight="1">
      <c r="A215" s="20">
        <f ca="1">IFERROR(__xludf.DUMMYFUNCTION("""COMPUTED_VALUE"""),2006)</f>
        <v>2006</v>
      </c>
      <c r="B215" s="45">
        <f ca="1">IFERROR(__xludf.DUMMYFUNCTION("""COMPUTED_VALUE"""),40466)</f>
        <v>40466</v>
      </c>
      <c r="C215" s="46" t="str">
        <f ca="1">IFERROR(__xludf.DUMMYFUNCTION("""COMPUTED_VALUE"""),"01/01/08")</f>
        <v>01/01/08</v>
      </c>
      <c r="D215" s="47" t="str">
        <f ca="1">IFERROR(__xludf.DUMMYFUNCTION("""COMPUTED_VALUE"""),"Sooty Shearwater")</f>
        <v>Sooty Shearwater</v>
      </c>
      <c r="E215" s="52">
        <f ca="1">IFERROR(__xludf.DUMMYFUNCTION("""COMPUTED_VALUE"""),1)</f>
        <v>1</v>
      </c>
      <c r="F215" s="25"/>
      <c r="G215" s="48" t="str">
        <f ca="1">IFERROR(__xludf.DUMMYFUNCTION("""COMPUTED_VALUE"""),"Leasowe")</f>
        <v>Leasowe</v>
      </c>
      <c r="H215" s="22">
        <f ca="1">IFERROR(__xludf.DUMMYFUNCTION("""COMPUTED_VALUE"""),38939)</f>
        <v>38939</v>
      </c>
      <c r="I215" s="22"/>
      <c r="J215" s="24"/>
      <c r="K215" s="25"/>
      <c r="L215" s="27" t="str">
        <f ca="1">IFERROR(__xludf.DUMMYFUNCTION("""COMPUTED_VALUE"""),"closed")</f>
        <v>closed</v>
      </c>
      <c r="M215" s="27" t="str">
        <f ca="1">IFERROR(__xludf.DUMMYFUNCTION("""COMPUTED_VALUE"""),"1st M")</f>
        <v>1st M</v>
      </c>
      <c r="N215" s="25" t="str">
        <f ca="1">IFERROR(__xludf.DUMMYFUNCTION("""COMPUTED_VALUE"""),"unproven")</f>
        <v>unproven</v>
      </c>
      <c r="O215" s="28"/>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row>
    <row r="216" spans="1:80" ht="12.75" hidden="1" customHeight="1">
      <c r="A216" s="10">
        <f ca="1">IFERROR(__xludf.DUMMYFUNCTION("""COMPUTED_VALUE"""),2006)</f>
        <v>2006</v>
      </c>
      <c r="B216" s="50">
        <f ca="1">IFERROR(__xludf.DUMMYFUNCTION("""COMPUTED_VALUE"""),40466)</f>
        <v>40466</v>
      </c>
      <c r="C216" s="41" t="str">
        <f ca="1">IFERROR(__xludf.DUMMYFUNCTION("""COMPUTED_VALUE"""),"01/01/08")</f>
        <v>01/01/08</v>
      </c>
      <c r="D216" s="42" t="str">
        <f ca="1">IFERROR(__xludf.DUMMYFUNCTION("""COMPUTED_VALUE"""),"Sooty Shearwater")</f>
        <v>Sooty Shearwater</v>
      </c>
      <c r="E216" s="53">
        <f ca="1">IFERROR(__xludf.DUMMYFUNCTION("""COMPUTED_VALUE"""),1)</f>
        <v>1</v>
      </c>
      <c r="F216" s="15"/>
      <c r="G216" s="44" t="str">
        <f ca="1">IFERROR(__xludf.DUMMYFUNCTION("""COMPUTED_VALUE"""),"Hoylake")</f>
        <v>Hoylake</v>
      </c>
      <c r="H216" s="12">
        <f ca="1">IFERROR(__xludf.DUMMYFUNCTION("""COMPUTED_VALUE"""),38963)</f>
        <v>38963</v>
      </c>
      <c r="I216" s="13"/>
      <c r="J216" s="14" t="str">
        <f ca="1">IFERROR(__xludf.DUMMYFUNCTION("""COMPUTED_VALUE"""),"Turner, JE")</f>
        <v>Turner, JE</v>
      </c>
      <c r="K216" s="15" t="str">
        <f ca="1">IFERROR(__xludf.DUMMYFUNCTION("""COMPUTED_VALUE"""),"Turner, JE")</f>
        <v>Turner, JE</v>
      </c>
      <c r="L216" s="17" t="str">
        <f ca="1">IFERROR(__xludf.DUMMYFUNCTION("""COMPUTED_VALUE"""),"closed")</f>
        <v>closed</v>
      </c>
      <c r="M216" s="17" t="str">
        <f ca="1">IFERROR(__xludf.DUMMYFUNCTION("""COMPUTED_VALUE"""),"1st U")</f>
        <v>1st U</v>
      </c>
      <c r="N216" s="15" t="str">
        <f ca="1">IFERROR(__xludf.DUMMYFUNCTION("""COMPUTED_VALUE"""),"Accepted")</f>
        <v>Accepted</v>
      </c>
      <c r="O216" s="18"/>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row>
    <row r="217" spans="1:80" ht="12.75" hidden="1" customHeight="1">
      <c r="A217" s="20">
        <f ca="1">IFERROR(__xludf.DUMMYFUNCTION("""COMPUTED_VALUE"""),2006)</f>
        <v>2006</v>
      </c>
      <c r="B217" s="45">
        <f ca="1">IFERROR(__xludf.DUMMYFUNCTION("""COMPUTED_VALUE"""),39448)</f>
        <v>39448</v>
      </c>
      <c r="C217" s="46" t="str">
        <f ca="1">IFERROR(__xludf.DUMMYFUNCTION("""COMPUTED_VALUE"""),"2007")</f>
        <v>2007</v>
      </c>
      <c r="D217" s="47" t="str">
        <f ca="1">IFERROR(__xludf.DUMMYFUNCTION("""COMPUTED_VALUE"""),"Shag")</f>
        <v>Shag</v>
      </c>
      <c r="E217" s="52">
        <f ca="1">IFERROR(__xludf.DUMMYFUNCTION("""COMPUTED_VALUE"""),1)</f>
        <v>1</v>
      </c>
      <c r="F217" s="25"/>
      <c r="G217" s="48" t="str">
        <f ca="1">IFERROR(__xludf.DUMMYFUNCTION("""COMPUTED_VALUE"""),"Alderley Park")</f>
        <v>Alderley Park</v>
      </c>
      <c r="H217" s="22">
        <f ca="1">IFERROR(__xludf.DUMMYFUNCTION("""COMPUTED_VALUE"""),39014)</f>
        <v>39014</v>
      </c>
      <c r="I217" s="22"/>
      <c r="J217" s="24"/>
      <c r="K217" s="25"/>
      <c r="L217" s="27" t="str">
        <f ca="1">IFERROR(__xludf.DUMMYFUNCTION("""COMPUTED_VALUE"""),"closed")</f>
        <v>closed</v>
      </c>
      <c r="M217" s="27" t="str">
        <f ca="1">IFERROR(__xludf.DUMMYFUNCTION("""COMPUTED_VALUE"""),"1st U")</f>
        <v>1st U</v>
      </c>
      <c r="N217" s="25" t="str">
        <f ca="1">IFERROR(__xludf.DUMMYFUNCTION("""COMPUTED_VALUE"""),"unproven")</f>
        <v>unproven</v>
      </c>
      <c r="O217" s="28"/>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row>
    <row r="218" spans="1:80" ht="12.75" hidden="1" customHeight="1">
      <c r="A218" s="10">
        <f ca="1">IFERROR(__xludf.DUMMYFUNCTION("""COMPUTED_VALUE"""),2006)</f>
        <v>2006</v>
      </c>
      <c r="B218" s="50">
        <f ca="1">IFERROR(__xludf.DUMMYFUNCTION("""COMPUTED_VALUE"""),39448)</f>
        <v>39448</v>
      </c>
      <c r="C218" s="41" t="str">
        <f ca="1">IFERROR(__xludf.DUMMYFUNCTION("""COMPUTED_VALUE"""),"2007")</f>
        <v>2007</v>
      </c>
      <c r="D218" s="42" t="str">
        <f ca="1">IFERROR(__xludf.DUMMYFUNCTION("""COMPUTED_VALUE"""),"Great White Egret")</f>
        <v>Great White Egret</v>
      </c>
      <c r="E218" s="53">
        <f ca="1">IFERROR(__xludf.DUMMYFUNCTION("""COMPUTED_VALUE"""),1)</f>
        <v>1</v>
      </c>
      <c r="F218" s="15"/>
      <c r="G218" s="44" t="str">
        <f ca="1">IFERROR(__xludf.DUMMYFUNCTION("""COMPUTED_VALUE"""),"Woolston")</f>
        <v>Woolston</v>
      </c>
      <c r="H218" s="12">
        <f ca="1">IFERROR(__xludf.DUMMYFUNCTION("""COMPUTED_VALUE"""),38878)</f>
        <v>38878</v>
      </c>
      <c r="I218" s="13"/>
      <c r="J218" s="14" t="str">
        <f ca="1">IFERROR(__xludf.DUMMYFUNCTION("""COMPUTED_VALUE"""),"Pulsford, AH")</f>
        <v>Pulsford, AH</v>
      </c>
      <c r="K218" s="15" t="str">
        <f ca="1">IFERROR(__xludf.DUMMYFUNCTION("""COMPUTED_VALUE"""),"Pulsford, AH")</f>
        <v>Pulsford, AH</v>
      </c>
      <c r="L218" s="17" t="str">
        <f ca="1">IFERROR(__xludf.DUMMYFUNCTION("""COMPUTED_VALUE"""),"closed")</f>
        <v>closed</v>
      </c>
      <c r="M218" s="17" t="str">
        <f ca="1">IFERROR(__xludf.DUMMYFUNCTION("""COMPUTED_VALUE"""),"1st U")</f>
        <v>1st U</v>
      </c>
      <c r="N218" s="15" t="str">
        <f ca="1">IFERROR(__xludf.DUMMYFUNCTION("""COMPUTED_VALUE"""),"Accepted")</f>
        <v>Accepted</v>
      </c>
      <c r="O218" s="18"/>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row>
    <row r="219" spans="1:80" ht="12.75" hidden="1" customHeight="1">
      <c r="A219" s="20">
        <f ca="1">IFERROR(__xludf.DUMMYFUNCTION("""COMPUTED_VALUE"""),2006)</f>
        <v>2006</v>
      </c>
      <c r="B219" s="45">
        <f ca="1">IFERROR(__xludf.DUMMYFUNCTION("""COMPUTED_VALUE"""),39448)</f>
        <v>39448</v>
      </c>
      <c r="C219" s="46" t="str">
        <f ca="1">IFERROR(__xludf.DUMMYFUNCTION("""COMPUTED_VALUE"""),"2007")</f>
        <v>2007</v>
      </c>
      <c r="D219" s="47" t="str">
        <f ca="1">IFERROR(__xludf.DUMMYFUNCTION("""COMPUTED_VALUE"""),"Great White Egret")</f>
        <v>Great White Egret</v>
      </c>
      <c r="E219" s="52">
        <f ca="1">IFERROR(__xludf.DUMMYFUNCTION("""COMPUTED_VALUE"""),1)</f>
        <v>1</v>
      </c>
      <c r="F219" s="25"/>
      <c r="G219" s="48" t="str">
        <f ca="1">IFERROR(__xludf.DUMMYFUNCTION("""COMPUTED_VALUE"""),"Woolston Eyes NR")</f>
        <v>Woolston Eyes NR</v>
      </c>
      <c r="H219" s="22">
        <f ca="1">IFERROR(__xludf.DUMMYFUNCTION("""COMPUTED_VALUE"""),38878)</f>
        <v>38878</v>
      </c>
      <c r="I219" s="22"/>
      <c r="J219" s="24" t="str">
        <f ca="1">IFERROR(__xludf.DUMMYFUNCTION("""COMPUTED_VALUE"""),"Miles, MR")</f>
        <v>Miles, MR</v>
      </c>
      <c r="K219" s="25" t="str">
        <f ca="1">IFERROR(__xludf.DUMMYFUNCTION("""COMPUTED_VALUE"""),"Miles, MR")</f>
        <v>Miles, MR</v>
      </c>
      <c r="L219" s="27" t="str">
        <f ca="1">IFERROR(__xludf.DUMMYFUNCTION("""COMPUTED_VALUE"""),"closed")</f>
        <v>closed</v>
      </c>
      <c r="M219" s="27" t="str">
        <f ca="1">IFERROR(__xludf.DUMMYFUNCTION("""COMPUTED_VALUE"""),"1st U")</f>
        <v>1st U</v>
      </c>
      <c r="N219" s="25" t="str">
        <f ca="1">IFERROR(__xludf.DUMMYFUNCTION("""COMPUTED_VALUE"""),"Accepted")</f>
        <v>Accepted</v>
      </c>
      <c r="O219" s="28"/>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row>
    <row r="220" spans="1:80" ht="12.75" hidden="1" customHeight="1">
      <c r="A220" s="10">
        <f ca="1">IFERROR(__xludf.DUMMYFUNCTION("""COMPUTED_VALUE"""),2006)</f>
        <v>2006</v>
      </c>
      <c r="B220" s="50">
        <f ca="1">IFERROR(__xludf.DUMMYFUNCTION("""COMPUTED_VALUE"""),39448)</f>
        <v>39448</v>
      </c>
      <c r="C220" s="41" t="str">
        <f ca="1">IFERROR(__xludf.DUMMYFUNCTION("""COMPUTED_VALUE"""),"2007")</f>
        <v>2007</v>
      </c>
      <c r="D220" s="42" t="str">
        <f ca="1">IFERROR(__xludf.DUMMYFUNCTION("""COMPUTED_VALUE"""),"Great White Egret")</f>
        <v>Great White Egret</v>
      </c>
      <c r="E220" s="53">
        <f ca="1">IFERROR(__xludf.DUMMYFUNCTION("""COMPUTED_VALUE"""),1)</f>
        <v>1</v>
      </c>
      <c r="F220" s="15"/>
      <c r="G220" s="44" t="str">
        <f ca="1">IFERROR(__xludf.DUMMYFUNCTION("""COMPUTED_VALUE"""),"Fiddler's Ferry")</f>
        <v>Fiddler's Ferry</v>
      </c>
      <c r="H220" s="12">
        <f ca="1">IFERROR(__xludf.DUMMYFUNCTION("""COMPUTED_VALUE"""),38878)</f>
        <v>38878</v>
      </c>
      <c r="I220" s="12"/>
      <c r="J220" s="14" t="str">
        <f ca="1">IFERROR(__xludf.DUMMYFUNCTION("""COMPUTED_VALUE"""),"Massey, K")</f>
        <v>Massey, K</v>
      </c>
      <c r="K220" s="15" t="str">
        <f ca="1">IFERROR(__xludf.DUMMYFUNCTION("""COMPUTED_VALUE"""),"Massey, K")</f>
        <v>Massey, K</v>
      </c>
      <c r="L220" s="17" t="str">
        <f ca="1">IFERROR(__xludf.DUMMYFUNCTION("""COMPUTED_VALUE"""),"closed")</f>
        <v>closed</v>
      </c>
      <c r="M220" s="17" t="str">
        <f ca="1">IFERROR(__xludf.DUMMYFUNCTION("""COMPUTED_VALUE"""),"1st U")</f>
        <v>1st U</v>
      </c>
      <c r="N220" s="15" t="str">
        <f ca="1">IFERROR(__xludf.DUMMYFUNCTION("""COMPUTED_VALUE"""),"Accepted")</f>
        <v>Accepted</v>
      </c>
      <c r="O220" s="18"/>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row>
    <row r="221" spans="1:80" ht="12.75" hidden="1" customHeight="1">
      <c r="A221" s="20">
        <f ca="1">IFERROR(__xludf.DUMMYFUNCTION("""COMPUTED_VALUE"""),2006)</f>
        <v>2006</v>
      </c>
      <c r="B221" s="45">
        <f ca="1">IFERROR(__xludf.DUMMYFUNCTION("""COMPUTED_VALUE"""),39083)</f>
        <v>39083</v>
      </c>
      <c r="C221" s="46" t="str">
        <f ca="1">IFERROR(__xludf.DUMMYFUNCTION("""COMPUTED_VALUE"""),"2006")</f>
        <v>2006</v>
      </c>
      <c r="D221" s="47" t="str">
        <f ca="1">IFERROR(__xludf.DUMMYFUNCTION("""COMPUTED_VALUE"""),"Osprey")</f>
        <v>Osprey</v>
      </c>
      <c r="E221" s="52">
        <f ca="1">IFERROR(__xludf.DUMMYFUNCTION("""COMPUTED_VALUE"""),1)</f>
        <v>1</v>
      </c>
      <c r="F221" s="25"/>
      <c r="G221" s="48" t="str">
        <f ca="1">IFERROR(__xludf.DUMMYFUNCTION("""COMPUTED_VALUE"""),"Seacombe")</f>
        <v>Seacombe</v>
      </c>
      <c r="H221" s="22">
        <f ca="1">IFERROR(__xludf.DUMMYFUNCTION("""COMPUTED_VALUE"""),38757)</f>
        <v>38757</v>
      </c>
      <c r="I221" s="23"/>
      <c r="J221" s="24" t="str">
        <f ca="1">IFERROR(__xludf.DUMMYFUNCTION("""COMPUTED_VALUE"""),"Edwards, S")</f>
        <v>Edwards, S</v>
      </c>
      <c r="K221" s="25" t="str">
        <f ca="1">IFERROR(__xludf.DUMMYFUNCTION("""COMPUTED_VALUE"""),"Edwards, S")</f>
        <v>Edwards, S</v>
      </c>
      <c r="L221" s="27" t="str">
        <f ca="1">IFERROR(__xludf.DUMMYFUNCTION("""COMPUTED_VALUE"""),"closed")</f>
        <v>closed</v>
      </c>
      <c r="M221" s="27" t="str">
        <f ca="1">IFERROR(__xludf.DUMMYFUNCTION("""COMPUTED_VALUE"""),"1st U")</f>
        <v>1st U</v>
      </c>
      <c r="N221" s="25" t="str">
        <f ca="1">IFERROR(__xludf.DUMMYFUNCTION("""COMPUTED_VALUE"""),"Accepted")</f>
        <v>Accepted</v>
      </c>
      <c r="O221" s="28"/>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row>
    <row r="222" spans="1:80" ht="12.75" hidden="1" customHeight="1">
      <c r="A222" s="10">
        <f ca="1">IFERROR(__xludf.DUMMYFUNCTION("""COMPUTED_VALUE"""),2006)</f>
        <v>2006</v>
      </c>
      <c r="B222" s="50">
        <f ca="1">IFERROR(__xludf.DUMMYFUNCTION("""COMPUTED_VALUE"""),39468)</f>
        <v>39468</v>
      </c>
      <c r="C222" s="41" t="str">
        <f ca="1">IFERROR(__xludf.DUMMYFUNCTION("""COMPUTED_VALUE"""),"01/01/08")</f>
        <v>01/01/08</v>
      </c>
      <c r="D222" s="42" t="str">
        <f ca="1">IFERROR(__xludf.DUMMYFUNCTION("""COMPUTED_VALUE"""),"Honey-Buzzard")</f>
        <v>Honey-Buzzard</v>
      </c>
      <c r="E222" s="53">
        <f ca="1">IFERROR(__xludf.DUMMYFUNCTION("""COMPUTED_VALUE"""),1)</f>
        <v>1</v>
      </c>
      <c r="F222" s="15"/>
      <c r="G222" s="44" t="str">
        <f ca="1">IFERROR(__xludf.DUMMYFUNCTION("""COMPUTED_VALUE"""),"Leasowe")</f>
        <v>Leasowe</v>
      </c>
      <c r="H222" s="12">
        <f ca="1">IFERROR(__xludf.DUMMYFUNCTION("""COMPUTED_VALUE"""),38983)</f>
        <v>38983</v>
      </c>
      <c r="I222" s="12"/>
      <c r="J222" s="14" t="str">
        <f ca="1">IFERROR(__xludf.DUMMYFUNCTION("""COMPUTED_VALUE"""),"Duff, F")</f>
        <v>Duff, F</v>
      </c>
      <c r="K222" s="15" t="str">
        <f ca="1">IFERROR(__xludf.DUMMYFUNCTION("""COMPUTED_VALUE"""),"A Conlin")</f>
        <v>A Conlin</v>
      </c>
      <c r="L222" s="17" t="str">
        <f ca="1">IFERROR(__xludf.DUMMYFUNCTION("""COMPUTED_VALUE"""),"closed")</f>
        <v>closed</v>
      </c>
      <c r="M222" s="17" t="str">
        <f ca="1">IFERROR(__xludf.DUMMYFUNCTION("""COMPUTED_VALUE"""),"3rd U")</f>
        <v>3rd U</v>
      </c>
      <c r="N222" s="15" t="str">
        <f ca="1">IFERROR(__xludf.DUMMYFUNCTION("""COMPUTED_VALUE"""),"Accepted")</f>
        <v>Accepted</v>
      </c>
      <c r="O222" s="18" t="str">
        <f ca="1">IFERROR(__xludf.DUMMYFUNCTION("""COMPUTED_VALUE"""),"Additional information provided")</f>
        <v>Additional information provided</v>
      </c>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row>
    <row r="223" spans="1:80" ht="12.75" hidden="1" customHeight="1">
      <c r="A223" s="20">
        <f ca="1">IFERROR(__xludf.DUMMYFUNCTION("""COMPUTED_VALUE"""),2006)</f>
        <v>2006</v>
      </c>
      <c r="B223" s="45">
        <f ca="1">IFERROR(__xludf.DUMMYFUNCTION("""COMPUTED_VALUE"""),39448)</f>
        <v>39448</v>
      </c>
      <c r="C223" s="46" t="str">
        <f ca="1">IFERROR(__xludf.DUMMYFUNCTION("""COMPUTED_VALUE"""),"2007")</f>
        <v>2007</v>
      </c>
      <c r="D223" s="47" t="str">
        <f ca="1">IFERROR(__xludf.DUMMYFUNCTION("""COMPUTED_VALUE"""),"Honey-Buzzard")</f>
        <v>Honey-Buzzard</v>
      </c>
      <c r="E223" s="52">
        <f ca="1">IFERROR(__xludf.DUMMYFUNCTION("""COMPUTED_VALUE"""),1)</f>
        <v>1</v>
      </c>
      <c r="F223" s="25"/>
      <c r="G223" s="48" t="str">
        <f ca="1">IFERROR(__xludf.DUMMYFUNCTION("""COMPUTED_VALUE"""),"Backford Cross")</f>
        <v>Backford Cross</v>
      </c>
      <c r="H223" s="22">
        <f ca="1">IFERROR(__xludf.DUMMYFUNCTION("""COMPUTED_VALUE"""),38991)</f>
        <v>38991</v>
      </c>
      <c r="I223" s="23"/>
      <c r="J223" s="24" t="str">
        <f ca="1">IFERROR(__xludf.DUMMYFUNCTION("""COMPUTED_VALUE"""),"Woollen, P")</f>
        <v>Woollen, P</v>
      </c>
      <c r="K223" s="25" t="str">
        <f ca="1">IFERROR(__xludf.DUMMYFUNCTION("""COMPUTED_VALUE"""),"Woollen, P")</f>
        <v>Woollen, P</v>
      </c>
      <c r="L223" s="27" t="str">
        <f ca="1">IFERROR(__xludf.DUMMYFUNCTION("""COMPUTED_VALUE"""),"closed")</f>
        <v>closed</v>
      </c>
      <c r="M223" s="27" t="str">
        <f ca="1">IFERROR(__xludf.DUMMYFUNCTION("""COMPUTED_VALUE"""),"1st U")</f>
        <v>1st U</v>
      </c>
      <c r="N223" s="25" t="str">
        <f ca="1">IFERROR(__xludf.DUMMYFUNCTION("""COMPUTED_VALUE"""),"Accepted")</f>
        <v>Accepted</v>
      </c>
      <c r="O223" s="28"/>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row>
    <row r="224" spans="1:80" ht="12.75" hidden="1" customHeight="1">
      <c r="A224" s="10">
        <f ca="1">IFERROR(__xludf.DUMMYFUNCTION("""COMPUTED_VALUE"""),2006)</f>
        <v>2006</v>
      </c>
      <c r="B224" s="50">
        <f ca="1">IFERROR(__xludf.DUMMYFUNCTION("""COMPUTED_VALUE"""),39083)</f>
        <v>39083</v>
      </c>
      <c r="C224" s="41" t="str">
        <f ca="1">IFERROR(__xludf.DUMMYFUNCTION("""COMPUTED_VALUE"""),"2006")</f>
        <v>2006</v>
      </c>
      <c r="D224" s="42" t="str">
        <f ca="1">IFERROR(__xludf.DUMMYFUNCTION("""COMPUTED_VALUE"""),"Rough-legged Buzzard")</f>
        <v>Rough-legged Buzzard</v>
      </c>
      <c r="E224" s="53">
        <f ca="1">IFERROR(__xludf.DUMMYFUNCTION("""COMPUTED_VALUE"""),1)</f>
        <v>1</v>
      </c>
      <c r="F224" s="15"/>
      <c r="G224" s="44" t="str">
        <f ca="1">IFERROR(__xludf.DUMMYFUNCTION("""COMPUTED_VALUE"""),"Neston")</f>
        <v>Neston</v>
      </c>
      <c r="H224" s="12">
        <f ca="1">IFERROR(__xludf.DUMMYFUNCTION("""COMPUTED_VALUE"""),38750)</f>
        <v>38750</v>
      </c>
      <c r="I224" s="13"/>
      <c r="J224" s="14"/>
      <c r="K224" s="15"/>
      <c r="L224" s="17" t="str">
        <f ca="1">IFERROR(__xludf.DUMMYFUNCTION("""COMPUTED_VALUE"""),"closed")</f>
        <v>closed</v>
      </c>
      <c r="M224" s="17" t="str">
        <f ca="1">IFERROR(__xludf.DUMMYFUNCTION("""COMPUTED_VALUE"""),"1st U")</f>
        <v>1st U</v>
      </c>
      <c r="N224" s="15" t="str">
        <f ca="1">IFERROR(__xludf.DUMMYFUNCTION("""COMPUTED_VALUE"""),"unproven")</f>
        <v>unproven</v>
      </c>
      <c r="O224" s="18"/>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row>
    <row r="225" spans="1:80" ht="12.75" hidden="1" customHeight="1">
      <c r="A225" s="20">
        <f ca="1">IFERROR(__xludf.DUMMYFUNCTION("""COMPUTED_VALUE"""),2006)</f>
        <v>2006</v>
      </c>
      <c r="B225" s="45">
        <f ca="1">IFERROR(__xludf.DUMMYFUNCTION("""COMPUTED_VALUE"""),39448)</f>
        <v>39448</v>
      </c>
      <c r="C225" s="46" t="str">
        <f ca="1">IFERROR(__xludf.DUMMYFUNCTION("""COMPUTED_VALUE"""),"2007")</f>
        <v>2007</v>
      </c>
      <c r="D225" s="47" t="str">
        <f ca="1">IFERROR(__xludf.DUMMYFUNCTION("""COMPUTED_VALUE"""),"Rough-legged Buzzard")</f>
        <v>Rough-legged Buzzard</v>
      </c>
      <c r="E225" s="52">
        <f ca="1">IFERROR(__xludf.DUMMYFUNCTION("""COMPUTED_VALUE"""),1)</f>
        <v>1</v>
      </c>
      <c r="F225" s="25"/>
      <c r="G225" s="48" t="str">
        <f ca="1">IFERROR(__xludf.DUMMYFUNCTION("""COMPUTED_VALUE"""),"Broxton")</f>
        <v>Broxton</v>
      </c>
      <c r="H225" s="22">
        <f ca="1">IFERROR(__xludf.DUMMYFUNCTION("""COMPUTED_VALUE"""),39024)</f>
        <v>39024</v>
      </c>
      <c r="I225" s="23"/>
      <c r="J225" s="24"/>
      <c r="K225" s="25"/>
      <c r="L225" s="27" t="str">
        <f ca="1">IFERROR(__xludf.DUMMYFUNCTION("""COMPUTED_VALUE"""),"closed")</f>
        <v>closed</v>
      </c>
      <c r="M225" s="27" t="str">
        <f ca="1">IFERROR(__xludf.DUMMYFUNCTION("""COMPUTED_VALUE"""),"1st U")</f>
        <v>1st U</v>
      </c>
      <c r="N225" s="25" t="str">
        <f ca="1">IFERROR(__xludf.DUMMYFUNCTION("""COMPUTED_VALUE"""),"unproven")</f>
        <v>unproven</v>
      </c>
      <c r="O225" s="28"/>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row>
    <row r="226" spans="1:80" ht="12.75" hidden="1" customHeight="1">
      <c r="A226" s="10">
        <f ca="1">IFERROR(__xludf.DUMMYFUNCTION("""COMPUTED_VALUE"""),2006)</f>
        <v>2006</v>
      </c>
      <c r="B226" s="50">
        <f ca="1">IFERROR(__xludf.DUMMYFUNCTION("""COMPUTED_VALUE"""),39083)</f>
        <v>39083</v>
      </c>
      <c r="C226" s="41" t="str">
        <f ca="1">IFERROR(__xludf.DUMMYFUNCTION("""COMPUTED_VALUE"""),"2006")</f>
        <v>2006</v>
      </c>
      <c r="D226" s="42" t="str">
        <f ca="1">IFERROR(__xludf.DUMMYFUNCTION("""COMPUTED_VALUE"""),"Hoopoe")</f>
        <v>Hoopoe</v>
      </c>
      <c r="E226" s="53">
        <f ca="1">IFERROR(__xludf.DUMMYFUNCTION("""COMPUTED_VALUE"""),1)</f>
        <v>1</v>
      </c>
      <c r="F226" s="15"/>
      <c r="G226" s="44" t="str">
        <f ca="1">IFERROR(__xludf.DUMMYFUNCTION("""COMPUTED_VALUE"""),"Frodsham")</f>
        <v>Frodsham</v>
      </c>
      <c r="H226" s="12">
        <f ca="1">IFERROR(__xludf.DUMMYFUNCTION("""COMPUTED_VALUE"""),38827)</f>
        <v>38827</v>
      </c>
      <c r="I226" s="12"/>
      <c r="J226" s="14" t="str">
        <f ca="1">IFERROR(__xludf.DUMMYFUNCTION("""COMPUTED_VALUE"""),"Andrewes, J")</f>
        <v>Andrewes, J</v>
      </c>
      <c r="K226" s="15" t="str">
        <f ca="1">IFERROR(__xludf.DUMMYFUNCTION("""COMPUTED_VALUE"""),"Andrewes, J")</f>
        <v>Andrewes, J</v>
      </c>
      <c r="L226" s="17" t="str">
        <f ca="1">IFERROR(__xludf.DUMMYFUNCTION("""COMPUTED_VALUE"""),"closed")</f>
        <v>closed</v>
      </c>
      <c r="M226" s="17" t="str">
        <f ca="1">IFERROR(__xludf.DUMMYFUNCTION("""COMPUTED_VALUE"""),"1st U")</f>
        <v>1st U</v>
      </c>
      <c r="N226" s="15" t="str">
        <f ca="1">IFERROR(__xludf.DUMMYFUNCTION("""COMPUTED_VALUE"""),"Accepted")</f>
        <v>Accepted</v>
      </c>
      <c r="O226" s="18"/>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row>
    <row r="227" spans="1:80" ht="12.75" hidden="1" customHeight="1">
      <c r="A227" s="20">
        <f ca="1">IFERROR(__xludf.DUMMYFUNCTION("""COMPUTED_VALUE"""),2006)</f>
        <v>2006</v>
      </c>
      <c r="B227" s="45">
        <f ca="1">IFERROR(__xludf.DUMMYFUNCTION("""COMPUTED_VALUE"""),39448)</f>
        <v>39448</v>
      </c>
      <c r="C227" s="46" t="str">
        <f ca="1">IFERROR(__xludf.DUMMYFUNCTION("""COMPUTED_VALUE"""),"2007")</f>
        <v>2007</v>
      </c>
      <c r="D227" s="47" t="str">
        <f ca="1">IFERROR(__xludf.DUMMYFUNCTION("""COMPUTED_VALUE"""),"Hoopoe")</f>
        <v>Hoopoe</v>
      </c>
      <c r="E227" s="52">
        <f ca="1">IFERROR(__xludf.DUMMYFUNCTION("""COMPUTED_VALUE"""),1)</f>
        <v>1</v>
      </c>
      <c r="F227" s="25"/>
      <c r="G227" s="48" t="str">
        <f ca="1">IFERROR(__xludf.DUMMYFUNCTION("""COMPUTED_VALUE"""),"Meols")</f>
        <v>Meols</v>
      </c>
      <c r="H227" s="22">
        <f ca="1">IFERROR(__xludf.DUMMYFUNCTION("""COMPUTED_VALUE"""),38814)</f>
        <v>38814</v>
      </c>
      <c r="I227" s="22"/>
      <c r="J227" s="24" t="str">
        <f ca="1">IFERROR(__xludf.DUMMYFUNCTION("""COMPUTED_VALUE"""),"Gavin, M")</f>
        <v>Gavin, M</v>
      </c>
      <c r="K227" s="25" t="str">
        <f ca="1">IFERROR(__xludf.DUMMYFUNCTION("""COMPUTED_VALUE"""),"Gavin, M")</f>
        <v>Gavin, M</v>
      </c>
      <c r="L227" s="27" t="str">
        <f ca="1">IFERROR(__xludf.DUMMYFUNCTION("""COMPUTED_VALUE"""),"closed")</f>
        <v>closed</v>
      </c>
      <c r="M227" s="27" t="str">
        <f ca="1">IFERROR(__xludf.DUMMYFUNCTION("""COMPUTED_VALUE"""),"1st U")</f>
        <v>1st U</v>
      </c>
      <c r="N227" s="25" t="str">
        <f ca="1">IFERROR(__xludf.DUMMYFUNCTION("""COMPUTED_VALUE"""),"Accepted")</f>
        <v>Accepted</v>
      </c>
      <c r="O227" s="28"/>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row>
    <row r="228" spans="1:80" ht="12.75" hidden="1" customHeight="1">
      <c r="A228" s="10">
        <f ca="1">IFERROR(__xludf.DUMMYFUNCTION("""COMPUTED_VALUE"""),2006)</f>
        <v>2006</v>
      </c>
      <c r="B228" s="50">
        <f ca="1">IFERROR(__xludf.DUMMYFUNCTION("""COMPUTED_VALUE"""),39083)</f>
        <v>39083</v>
      </c>
      <c r="C228" s="41" t="str">
        <f ca="1">IFERROR(__xludf.DUMMYFUNCTION("""COMPUTED_VALUE"""),"2006")</f>
        <v>2006</v>
      </c>
      <c r="D228" s="42" t="str">
        <f ca="1">IFERROR(__xludf.DUMMYFUNCTION("""COMPUTED_VALUE"""),"Great Grey Shrike")</f>
        <v>Great Grey Shrike</v>
      </c>
      <c r="E228" s="53">
        <f ca="1">IFERROR(__xludf.DUMMYFUNCTION("""COMPUTED_VALUE"""),1)</f>
        <v>1</v>
      </c>
      <c r="F228" s="15"/>
      <c r="G228" s="44" t="str">
        <f ca="1">IFERROR(__xludf.DUMMYFUNCTION("""COMPUTED_VALUE"""),"Leasowe")</f>
        <v>Leasowe</v>
      </c>
      <c r="H228" s="12">
        <f ca="1">IFERROR(__xludf.DUMMYFUNCTION("""COMPUTED_VALUE"""),38837)</f>
        <v>38837</v>
      </c>
      <c r="I228" s="13"/>
      <c r="J228" s="14" t="str">
        <f ca="1">IFERROR(__xludf.DUMMYFUNCTION("""COMPUTED_VALUE"""),"Smith,J")</f>
        <v>Smith,J</v>
      </c>
      <c r="K228" s="15" t="str">
        <f ca="1">IFERROR(__xludf.DUMMYFUNCTION("""COMPUTED_VALUE"""),"Smith,J")</f>
        <v>Smith,J</v>
      </c>
      <c r="L228" s="17" t="str">
        <f ca="1">IFERROR(__xludf.DUMMYFUNCTION("""COMPUTED_VALUE"""),"closed")</f>
        <v>closed</v>
      </c>
      <c r="M228" s="17" t="str">
        <f ca="1">IFERROR(__xludf.DUMMYFUNCTION("""COMPUTED_VALUE"""),"1st U")</f>
        <v>1st U</v>
      </c>
      <c r="N228" s="15" t="str">
        <f ca="1">IFERROR(__xludf.DUMMYFUNCTION("""COMPUTED_VALUE"""),"Accepted")</f>
        <v>Accepted</v>
      </c>
      <c r="O228" s="18"/>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row>
    <row r="229" spans="1:80" ht="12.75" hidden="1" customHeight="1">
      <c r="A229" s="20">
        <f ca="1">IFERROR(__xludf.DUMMYFUNCTION("""COMPUTED_VALUE"""),2006)</f>
        <v>2006</v>
      </c>
      <c r="B229" s="45">
        <f ca="1">IFERROR(__xludf.DUMMYFUNCTION("""COMPUTED_VALUE"""),39083)</f>
        <v>39083</v>
      </c>
      <c r="C229" s="46" t="str">
        <f ca="1">IFERROR(__xludf.DUMMYFUNCTION("""COMPUTED_VALUE"""),"2006")</f>
        <v>2006</v>
      </c>
      <c r="D229" s="47" t="str">
        <f ca="1">IFERROR(__xludf.DUMMYFUNCTION("""COMPUTED_VALUE"""),"Bearded Tit")</f>
        <v>Bearded Tit</v>
      </c>
      <c r="E229" s="52">
        <f ca="1">IFERROR(__xludf.DUMMYFUNCTION("""COMPUTED_VALUE"""),2)</f>
        <v>2</v>
      </c>
      <c r="F229" s="25"/>
      <c r="G229" s="48" t="str">
        <f ca="1">IFERROR(__xludf.DUMMYFUNCTION("""COMPUTED_VALUE"""),"Tarporley")</f>
        <v>Tarporley</v>
      </c>
      <c r="H229" s="22">
        <f ca="1">IFERROR(__xludf.DUMMYFUNCTION("""COMPUTED_VALUE"""),38723)</f>
        <v>38723</v>
      </c>
      <c r="I229" s="23"/>
      <c r="J229" s="24"/>
      <c r="K229" s="25"/>
      <c r="L229" s="27" t="str">
        <f ca="1">IFERROR(__xludf.DUMMYFUNCTION("""COMPUTED_VALUE"""),"closed")</f>
        <v>closed</v>
      </c>
      <c r="M229" s="27" t="str">
        <f ca="1">IFERROR(__xludf.DUMMYFUNCTION("""COMPUTED_VALUE"""),"1st U")</f>
        <v>1st U</v>
      </c>
      <c r="N229" s="25" t="str">
        <f ca="1">IFERROR(__xludf.DUMMYFUNCTION("""COMPUTED_VALUE"""),"unproven")</f>
        <v>unproven</v>
      </c>
      <c r="O229" s="28"/>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row>
    <row r="230" spans="1:80" ht="12.75" hidden="1" customHeight="1">
      <c r="A230" s="10">
        <f ca="1">IFERROR(__xludf.DUMMYFUNCTION("""COMPUTED_VALUE"""),2006)</f>
        <v>2006</v>
      </c>
      <c r="B230" s="50">
        <f ca="1">IFERROR(__xludf.DUMMYFUNCTION("""COMPUTED_VALUE"""),39448)</f>
        <v>39448</v>
      </c>
      <c r="C230" s="41" t="str">
        <f ca="1">IFERROR(__xludf.DUMMYFUNCTION("""COMPUTED_VALUE"""),"2007")</f>
        <v>2007</v>
      </c>
      <c r="D230" s="42" t="str">
        <f ca="1">IFERROR(__xludf.DUMMYFUNCTION("""COMPUTED_VALUE"""),"Bearded Tit")</f>
        <v>Bearded Tit</v>
      </c>
      <c r="E230" s="53">
        <f ca="1">IFERROR(__xludf.DUMMYFUNCTION("""COMPUTED_VALUE"""),4)</f>
        <v>4</v>
      </c>
      <c r="F230" s="15"/>
      <c r="G230" s="44" t="str">
        <f ca="1">IFERROR(__xludf.DUMMYFUNCTION("""COMPUTED_VALUE"""),"Woolston Eyes NR")</f>
        <v>Woolston Eyes NR</v>
      </c>
      <c r="H230" s="12">
        <f ca="1">IFERROR(__xludf.DUMMYFUNCTION("""COMPUTED_VALUE"""),39004)</f>
        <v>39004</v>
      </c>
      <c r="I230" s="12">
        <f ca="1">IFERROR(__xludf.DUMMYFUNCTION("""COMPUTED_VALUE"""),39009)</f>
        <v>39009</v>
      </c>
      <c r="J230" s="14" t="str">
        <f ca="1">IFERROR(__xludf.DUMMYFUNCTION("""COMPUTED_VALUE"""),"Miles, MR")</f>
        <v>Miles, MR</v>
      </c>
      <c r="K230" s="15" t="str">
        <f ca="1">IFERROR(__xludf.DUMMYFUNCTION("""COMPUTED_VALUE"""),"K Foster")</f>
        <v>K Foster</v>
      </c>
      <c r="L230" s="17" t="str">
        <f ca="1">IFERROR(__xludf.DUMMYFUNCTION("""COMPUTED_VALUE"""),"closed")</f>
        <v>closed</v>
      </c>
      <c r="M230" s="17" t="str">
        <f ca="1">IFERROR(__xludf.DUMMYFUNCTION("""COMPUTED_VALUE"""),"1st U")</f>
        <v>1st U</v>
      </c>
      <c r="N230" s="15" t="str">
        <f ca="1">IFERROR(__xludf.DUMMYFUNCTION("""COMPUTED_VALUE"""),"Accepted")</f>
        <v>Accepted</v>
      </c>
      <c r="O230" s="18"/>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row>
    <row r="231" spans="1:80" ht="12.75" hidden="1" customHeight="1">
      <c r="A231" s="20">
        <f ca="1">IFERROR(__xludf.DUMMYFUNCTION("""COMPUTED_VALUE"""),2006)</f>
        <v>2006</v>
      </c>
      <c r="B231" s="45">
        <f ca="1">IFERROR(__xludf.DUMMYFUNCTION("""COMPUTED_VALUE"""),39448)</f>
        <v>39448</v>
      </c>
      <c r="C231" s="46" t="str">
        <f ca="1">IFERROR(__xludf.DUMMYFUNCTION("""COMPUTED_VALUE"""),"2007")</f>
        <v>2007</v>
      </c>
      <c r="D231" s="47" t="str">
        <f ca="1">IFERROR(__xludf.DUMMYFUNCTION("""COMPUTED_VALUE"""),"Cetti's Warbler")</f>
        <v>Cetti's Warbler</v>
      </c>
      <c r="E231" s="52">
        <f ca="1">IFERROR(__xludf.DUMMYFUNCTION("""COMPUTED_VALUE"""),1)</f>
        <v>1</v>
      </c>
      <c r="F231" s="25"/>
      <c r="G231" s="48" t="str">
        <f ca="1">IFERROR(__xludf.DUMMYFUNCTION("""COMPUTED_VALUE"""),"Woolston Eyes NR")</f>
        <v>Woolston Eyes NR</v>
      </c>
      <c r="H231" s="22">
        <f ca="1">IFERROR(__xludf.DUMMYFUNCTION("""COMPUTED_VALUE"""),38921)</f>
        <v>38921</v>
      </c>
      <c r="I231" s="22"/>
      <c r="J231" s="24" t="str">
        <f ca="1">IFERROR(__xludf.DUMMYFUNCTION("""COMPUTED_VALUE"""),"Riley, D")</f>
        <v>Riley, D</v>
      </c>
      <c r="K231" s="25" t="str">
        <f ca="1">IFERROR(__xludf.DUMMYFUNCTION("""COMPUTED_VALUE"""),"Riley, D")</f>
        <v>Riley, D</v>
      </c>
      <c r="L231" s="27" t="str">
        <f ca="1">IFERROR(__xludf.DUMMYFUNCTION("""COMPUTED_VALUE"""),"closed")</f>
        <v>closed</v>
      </c>
      <c r="M231" s="27" t="str">
        <f ca="1">IFERROR(__xludf.DUMMYFUNCTION("""COMPUTED_VALUE"""),"1st U")</f>
        <v>1st U</v>
      </c>
      <c r="N231" s="25" t="str">
        <f ca="1">IFERROR(__xludf.DUMMYFUNCTION("""COMPUTED_VALUE"""),"Accepted")</f>
        <v>Accepted</v>
      </c>
      <c r="O231" s="28"/>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row>
    <row r="232" spans="1:80" ht="12.75" hidden="1" customHeight="1">
      <c r="A232" s="10">
        <f ca="1">IFERROR(__xludf.DUMMYFUNCTION("""COMPUTED_VALUE"""),2006)</f>
        <v>2006</v>
      </c>
      <c r="B232" s="50">
        <f ca="1">IFERROR(__xludf.DUMMYFUNCTION("""COMPUTED_VALUE"""),39448)</f>
        <v>39448</v>
      </c>
      <c r="C232" s="41" t="str">
        <f ca="1">IFERROR(__xludf.DUMMYFUNCTION("""COMPUTED_VALUE"""),"2007")</f>
        <v>2007</v>
      </c>
      <c r="D232" s="42" t="str">
        <f ca="1">IFERROR(__xludf.DUMMYFUNCTION("""COMPUTED_VALUE"""),"Cetti's Warbler")</f>
        <v>Cetti's Warbler</v>
      </c>
      <c r="E232" s="53">
        <f ca="1">IFERROR(__xludf.DUMMYFUNCTION("""COMPUTED_VALUE"""),1)</f>
        <v>1</v>
      </c>
      <c r="F232" s="15"/>
      <c r="G232" s="44" t="str">
        <f ca="1">IFERROR(__xludf.DUMMYFUNCTION("""COMPUTED_VALUE"""),"Woolston Eyes NR")</f>
        <v>Woolston Eyes NR</v>
      </c>
      <c r="H232" s="12">
        <f ca="1">IFERROR(__xludf.DUMMYFUNCTION("""COMPUTED_VALUE"""),39025)</f>
        <v>39025</v>
      </c>
      <c r="I232" s="13"/>
      <c r="J232" s="14" t="str">
        <f ca="1">IFERROR(__xludf.DUMMYFUNCTION("""COMPUTED_VALUE"""),"Miles, MR")</f>
        <v>Miles, MR</v>
      </c>
      <c r="K232" s="15" t="str">
        <f ca="1">IFERROR(__xludf.DUMMYFUNCTION("""COMPUTED_VALUE"""),"K Foster")</f>
        <v>K Foster</v>
      </c>
      <c r="L232" s="17" t="str">
        <f ca="1">IFERROR(__xludf.DUMMYFUNCTION("""COMPUTED_VALUE"""),"closed")</f>
        <v>closed</v>
      </c>
      <c r="M232" s="17" t="str">
        <f ca="1">IFERROR(__xludf.DUMMYFUNCTION("""COMPUTED_VALUE"""),"1st U")</f>
        <v>1st U</v>
      </c>
      <c r="N232" s="15" t="str">
        <f ca="1">IFERROR(__xludf.DUMMYFUNCTION("""COMPUTED_VALUE"""),"Accepted")</f>
        <v>Accepted</v>
      </c>
      <c r="O232" s="18"/>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row>
    <row r="233" spans="1:80" ht="12.75" hidden="1" customHeight="1">
      <c r="A233" s="20">
        <f ca="1">IFERROR(__xludf.DUMMYFUNCTION("""COMPUTED_VALUE"""),2006)</f>
        <v>2006</v>
      </c>
      <c r="B233" s="45">
        <f ca="1">IFERROR(__xludf.DUMMYFUNCTION("""COMPUTED_VALUE"""),39448)</f>
        <v>39448</v>
      </c>
      <c r="C233" s="46" t="str">
        <f ca="1">IFERROR(__xludf.DUMMYFUNCTION("""COMPUTED_VALUE"""),"2007")</f>
        <v>2007</v>
      </c>
      <c r="D233" s="47" t="str">
        <f ca="1">IFERROR(__xludf.DUMMYFUNCTION("""COMPUTED_VALUE"""),"Yellow-browed warbler")</f>
        <v>Yellow-browed warbler</v>
      </c>
      <c r="E233" s="52">
        <f ca="1">IFERROR(__xludf.DUMMYFUNCTION("""COMPUTED_VALUE"""),1)</f>
        <v>1</v>
      </c>
      <c r="F233" s="25"/>
      <c r="G233" s="48" t="str">
        <f ca="1">IFERROR(__xludf.DUMMYFUNCTION("""COMPUTED_VALUE"""),"Hilbre")</f>
        <v>Hilbre</v>
      </c>
      <c r="H233" s="22">
        <f ca="1">IFERROR(__xludf.DUMMYFUNCTION("""COMPUTED_VALUE"""),39006)</f>
        <v>39006</v>
      </c>
      <c r="I233" s="23"/>
      <c r="J233" s="24" t="str">
        <f ca="1">IFERROR(__xludf.DUMMYFUNCTION("""COMPUTED_VALUE"""),"Jones, C (colin)")</f>
        <v>Jones, C (colin)</v>
      </c>
      <c r="K233" s="25" t="str">
        <f ca="1">IFERROR(__xludf.DUMMYFUNCTION("""COMPUTED_VALUE"""),"Jones, C (colin)")</f>
        <v>Jones, C (colin)</v>
      </c>
      <c r="L233" s="27" t="str">
        <f ca="1">IFERROR(__xludf.DUMMYFUNCTION("""COMPUTED_VALUE"""),"closed")</f>
        <v>closed</v>
      </c>
      <c r="M233" s="27" t="str">
        <f ca="1">IFERROR(__xludf.DUMMYFUNCTION("""COMPUTED_VALUE"""),"1st U")</f>
        <v>1st U</v>
      </c>
      <c r="N233" s="25" t="str">
        <f ca="1">IFERROR(__xludf.DUMMYFUNCTION("""COMPUTED_VALUE"""),"Accepted")</f>
        <v>Accepted</v>
      </c>
      <c r="O233" s="28"/>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row>
    <row r="234" spans="1:80" ht="12.75" hidden="1" customHeight="1">
      <c r="A234" s="10">
        <f ca="1">IFERROR(__xludf.DUMMYFUNCTION("""COMPUTED_VALUE"""),2006)</f>
        <v>2006</v>
      </c>
      <c r="B234" s="50">
        <f ca="1">IFERROR(__xludf.DUMMYFUNCTION("""COMPUTED_VALUE"""),39448)</f>
        <v>39448</v>
      </c>
      <c r="C234" s="41" t="str">
        <f ca="1">IFERROR(__xludf.DUMMYFUNCTION("""COMPUTED_VALUE"""),"2007")</f>
        <v>2007</v>
      </c>
      <c r="D234" s="42" t="str">
        <f ca="1">IFERROR(__xludf.DUMMYFUNCTION("""COMPUTED_VALUE"""),"Marsh Warbler")</f>
        <v>Marsh Warbler</v>
      </c>
      <c r="E234" s="53">
        <f ca="1">IFERROR(__xludf.DUMMYFUNCTION("""COMPUTED_VALUE"""),1)</f>
        <v>1</v>
      </c>
      <c r="F234" s="15"/>
      <c r="G234" s="44" t="str">
        <f ca="1">IFERROR(__xludf.DUMMYFUNCTION("""COMPUTED_VALUE"""),"Frodsham")</f>
        <v>Frodsham</v>
      </c>
      <c r="H234" s="12">
        <f ca="1">IFERROR(__xludf.DUMMYFUNCTION("""COMPUTED_VALUE"""),38846)</f>
        <v>38846</v>
      </c>
      <c r="I234" s="13"/>
      <c r="J234" s="14"/>
      <c r="K234" s="15"/>
      <c r="L234" s="17" t="str">
        <f ca="1">IFERROR(__xludf.DUMMYFUNCTION("""COMPUTED_VALUE"""),"closed")</f>
        <v>closed</v>
      </c>
      <c r="M234" s="17" t="str">
        <f ca="1">IFERROR(__xludf.DUMMYFUNCTION("""COMPUTED_VALUE"""),"1st U")</f>
        <v>1st U</v>
      </c>
      <c r="N234" s="15" t="str">
        <f ca="1">IFERROR(__xludf.DUMMYFUNCTION("""COMPUTED_VALUE"""),"unproven")</f>
        <v>unproven</v>
      </c>
      <c r="O234" s="18" t="str">
        <f ca="1">IFERROR(__xludf.DUMMYFUNCTION("""COMPUTED_VALUE"""),"Photos showed a worn Reed Warbler on wing formula")</f>
        <v>Photos showed a worn Reed Warbler on wing formula</v>
      </c>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row>
    <row r="235" spans="1:80" ht="12.75" hidden="1" customHeight="1">
      <c r="A235" s="20">
        <f ca="1">IFERROR(__xludf.DUMMYFUNCTION("""COMPUTED_VALUE"""),2006)</f>
        <v>2006</v>
      </c>
      <c r="B235" s="45">
        <f ca="1">IFERROR(__xludf.DUMMYFUNCTION("""COMPUTED_VALUE"""),39448)</f>
        <v>39448</v>
      </c>
      <c r="C235" s="46" t="str">
        <f ca="1">IFERROR(__xludf.DUMMYFUNCTION("""COMPUTED_VALUE"""),"2007")</f>
        <v>2007</v>
      </c>
      <c r="D235" s="47" t="str">
        <f ca="1">IFERROR(__xludf.DUMMYFUNCTION("""COMPUTED_VALUE"""),"Marsh Warbler")</f>
        <v>Marsh Warbler</v>
      </c>
      <c r="E235" s="52">
        <f ca="1">IFERROR(__xludf.DUMMYFUNCTION("""COMPUTED_VALUE"""),1)</f>
        <v>1</v>
      </c>
      <c r="F235" s="25"/>
      <c r="G235" s="48" t="str">
        <f ca="1">IFERROR(__xludf.DUMMYFUNCTION("""COMPUTED_VALUE"""),"Frodsham")</f>
        <v>Frodsham</v>
      </c>
      <c r="H235" s="22">
        <f ca="1">IFERROR(__xludf.DUMMYFUNCTION("""COMPUTED_VALUE"""),38846)</f>
        <v>38846</v>
      </c>
      <c r="I235" s="22">
        <f ca="1">IFERROR(__xludf.DUMMYFUNCTION("""COMPUTED_VALUE"""),38848)</f>
        <v>38848</v>
      </c>
      <c r="J235" s="24"/>
      <c r="K235" s="25"/>
      <c r="L235" s="27" t="str">
        <f ca="1">IFERROR(__xludf.DUMMYFUNCTION("""COMPUTED_VALUE"""),"closed")</f>
        <v>closed</v>
      </c>
      <c r="M235" s="27" t="str">
        <f ca="1">IFERROR(__xludf.DUMMYFUNCTION("""COMPUTED_VALUE"""),"1st U")</f>
        <v>1st U</v>
      </c>
      <c r="N235" s="25" t="str">
        <f ca="1">IFERROR(__xludf.DUMMYFUNCTION("""COMPUTED_VALUE"""),"unproven")</f>
        <v>unproven</v>
      </c>
      <c r="O235" s="28" t="str">
        <f ca="1">IFERROR(__xludf.DUMMYFUNCTION("""COMPUTED_VALUE"""),"Photos showed a worn Reed Warbler on wing formula")</f>
        <v>Photos showed a worn Reed Warbler on wing formula</v>
      </c>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row>
    <row r="236" spans="1:80" ht="12.75" hidden="1" customHeight="1">
      <c r="A236" s="10">
        <f ca="1">IFERROR(__xludf.DUMMYFUNCTION("""COMPUTED_VALUE"""),2006)</f>
        <v>2006</v>
      </c>
      <c r="B236" s="50">
        <f ca="1">IFERROR(__xludf.DUMMYFUNCTION("""COMPUTED_VALUE"""),40466)</f>
        <v>40466</v>
      </c>
      <c r="C236" s="41" t="str">
        <f ca="1">IFERROR(__xludf.DUMMYFUNCTION("""COMPUTED_VALUE"""),"2006")</f>
        <v>2006</v>
      </c>
      <c r="D236" s="42" t="str">
        <f ca="1">IFERROR(__xludf.DUMMYFUNCTION("""COMPUTED_VALUE"""),"Subalpine Warbler")</f>
        <v>Subalpine Warbler</v>
      </c>
      <c r="E236" s="53">
        <f ca="1">IFERROR(__xludf.DUMMYFUNCTION("""COMPUTED_VALUE"""),1)</f>
        <v>1</v>
      </c>
      <c r="F236" s="15"/>
      <c r="G236" s="44" t="str">
        <f ca="1">IFERROR(__xludf.DUMMYFUNCTION("""COMPUTED_VALUE"""),"Hilbre")</f>
        <v>Hilbre</v>
      </c>
      <c r="H236" s="12">
        <f ca="1">IFERROR(__xludf.DUMMYFUNCTION("""COMPUTED_VALUE"""),38837)</f>
        <v>38837</v>
      </c>
      <c r="I236" s="13"/>
      <c r="J236" s="14" t="str">
        <f ca="1">IFERROR(__xludf.DUMMYFUNCTION("""COMPUTED_VALUE"""),"Williams, PG")</f>
        <v>Williams, PG</v>
      </c>
      <c r="K236" s="15" t="str">
        <f ca="1">IFERROR(__xludf.DUMMYFUNCTION("""COMPUTED_VALUE"""),"Williams, PG")</f>
        <v>Williams, PG</v>
      </c>
      <c r="L236" s="17" t="str">
        <f ca="1">IFERROR(__xludf.DUMMYFUNCTION("""COMPUTED_VALUE"""),"closed")</f>
        <v>closed</v>
      </c>
      <c r="M236" s="17" t="str">
        <f ca="1">IFERROR(__xludf.DUMMYFUNCTION("""COMPUTED_VALUE"""),"1st U")</f>
        <v>1st U</v>
      </c>
      <c r="N236" s="15" t="str">
        <f ca="1">IFERROR(__xludf.DUMMYFUNCTION("""COMPUTED_VALUE"""),"Accepted")</f>
        <v>Accepted</v>
      </c>
      <c r="O236" s="18"/>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row>
    <row r="237" spans="1:80" ht="12.75" hidden="1" customHeight="1">
      <c r="A237" s="20">
        <f ca="1">IFERROR(__xludf.DUMMYFUNCTION("""COMPUTED_VALUE"""),2006)</f>
        <v>2006</v>
      </c>
      <c r="B237" s="45">
        <f ca="1">IFERROR(__xludf.DUMMYFUNCTION("""COMPUTED_VALUE"""),39083)</f>
        <v>39083</v>
      </c>
      <c r="C237" s="46" t="str">
        <f ca="1">IFERROR(__xludf.DUMMYFUNCTION("""COMPUTED_VALUE"""),"2006")</f>
        <v>2006</v>
      </c>
      <c r="D237" s="47" t="str">
        <f ca="1">IFERROR(__xludf.DUMMYFUNCTION("""COMPUTED_VALUE"""),"Black Redstart")</f>
        <v>Black Redstart</v>
      </c>
      <c r="E237" s="52">
        <f ca="1">IFERROR(__xludf.DUMMYFUNCTION("""COMPUTED_VALUE"""),1)</f>
        <v>1</v>
      </c>
      <c r="F237" s="25"/>
      <c r="G237" s="48" t="str">
        <f ca="1">IFERROR(__xludf.DUMMYFUNCTION("""COMPUTED_VALUE"""),"Hale village")</f>
        <v>Hale village</v>
      </c>
      <c r="H237" s="22">
        <f ca="1">IFERROR(__xludf.DUMMYFUNCTION("""COMPUTED_VALUE"""),38839)</f>
        <v>38839</v>
      </c>
      <c r="I237" s="23"/>
      <c r="J237" s="24" t="str">
        <f ca="1">IFERROR(__xludf.DUMMYFUNCTION("""COMPUTED_VALUE"""),"Macilwrath, D &amp; P")</f>
        <v>Macilwrath, D &amp; P</v>
      </c>
      <c r="K237" s="25" t="str">
        <f ca="1">IFERROR(__xludf.DUMMYFUNCTION("""COMPUTED_VALUE"""),"Macilwrath, D &amp; P")</f>
        <v>Macilwrath, D &amp; P</v>
      </c>
      <c r="L237" s="27" t="str">
        <f ca="1">IFERROR(__xludf.DUMMYFUNCTION("""COMPUTED_VALUE"""),"closed")</f>
        <v>closed</v>
      </c>
      <c r="M237" s="27" t="str">
        <f ca="1">IFERROR(__xludf.DUMMYFUNCTION("""COMPUTED_VALUE"""),"1st U")</f>
        <v>1st U</v>
      </c>
      <c r="N237" s="25" t="str">
        <f ca="1">IFERROR(__xludf.DUMMYFUNCTION("""COMPUTED_VALUE"""),"Accepted")</f>
        <v>Accepted</v>
      </c>
      <c r="O237" s="28"/>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row>
    <row r="238" spans="1:80" ht="12.75" hidden="1" customHeight="1">
      <c r="A238" s="10">
        <f ca="1">IFERROR(__xludf.DUMMYFUNCTION("""COMPUTED_VALUE"""),2006)</f>
        <v>2006</v>
      </c>
      <c r="B238" s="50">
        <f ca="1">IFERROR(__xludf.DUMMYFUNCTION("""COMPUTED_VALUE"""),39083)</f>
        <v>39083</v>
      </c>
      <c r="C238" s="41" t="str">
        <f ca="1">IFERROR(__xludf.DUMMYFUNCTION("""COMPUTED_VALUE"""),"2006")</f>
        <v>2006</v>
      </c>
      <c r="D238" s="42" t="str">
        <f ca="1">IFERROR(__xludf.DUMMYFUNCTION("""COMPUTED_VALUE"""),"Yellow Wagtail [Blue-headed]")</f>
        <v>Yellow Wagtail [Blue-headed]</v>
      </c>
      <c r="E238" s="53">
        <f ca="1">IFERROR(__xludf.DUMMYFUNCTION("""COMPUTED_VALUE"""),1)</f>
        <v>1</v>
      </c>
      <c r="F238" s="15"/>
      <c r="G238" s="44" t="str">
        <f ca="1">IFERROR(__xludf.DUMMYFUNCTION("""COMPUTED_VALUE"""),"Hilbre")</f>
        <v>Hilbre</v>
      </c>
      <c r="H238" s="12">
        <f ca="1">IFERROR(__xludf.DUMMYFUNCTION("""COMPUTED_VALUE"""),38829)</f>
        <v>38829</v>
      </c>
      <c r="I238" s="13"/>
      <c r="J238" s="14" t="str">
        <f ca="1">IFERROR(__xludf.DUMMYFUNCTION("""COMPUTED_VALUE"""),"Williams, SR")</f>
        <v>Williams, SR</v>
      </c>
      <c r="K238" s="15" t="str">
        <f ca="1">IFERROR(__xludf.DUMMYFUNCTION("""COMPUTED_VALUE"""),"Williams, SR")</f>
        <v>Williams, SR</v>
      </c>
      <c r="L238" s="17" t="str">
        <f ca="1">IFERROR(__xludf.DUMMYFUNCTION("""COMPUTED_VALUE"""),"closed")</f>
        <v>closed</v>
      </c>
      <c r="M238" s="17" t="str">
        <f ca="1">IFERROR(__xludf.DUMMYFUNCTION("""COMPUTED_VALUE"""),"1st U")</f>
        <v>1st U</v>
      </c>
      <c r="N238" s="15" t="str">
        <f ca="1">IFERROR(__xludf.DUMMYFUNCTION("""COMPUTED_VALUE"""),"Accepted")</f>
        <v>Accepted</v>
      </c>
      <c r="O238" s="18"/>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row>
    <row r="239" spans="1:80" ht="12.75" hidden="1" customHeight="1">
      <c r="A239" s="20">
        <f ca="1">IFERROR(__xludf.DUMMYFUNCTION("""COMPUTED_VALUE"""),2006)</f>
        <v>2006</v>
      </c>
      <c r="B239" s="45">
        <f ca="1">IFERROR(__xludf.DUMMYFUNCTION("""COMPUTED_VALUE"""),39083)</f>
        <v>39083</v>
      </c>
      <c r="C239" s="46" t="str">
        <f ca="1">IFERROR(__xludf.DUMMYFUNCTION("""COMPUTED_VALUE"""),"2006")</f>
        <v>2006</v>
      </c>
      <c r="D239" s="47" t="str">
        <f ca="1">IFERROR(__xludf.DUMMYFUNCTION("""COMPUTED_VALUE"""),"Richard's pipit")</f>
        <v>Richard's pipit</v>
      </c>
      <c r="E239" s="52">
        <f ca="1">IFERROR(__xludf.DUMMYFUNCTION("""COMPUTED_VALUE"""),1)</f>
        <v>1</v>
      </c>
      <c r="F239" s="25"/>
      <c r="G239" s="48" t="str">
        <f ca="1">IFERROR(__xludf.DUMMYFUNCTION("""COMPUTED_VALUE"""),"West Kirby")</f>
        <v>West Kirby</v>
      </c>
      <c r="H239" s="22">
        <f ca="1">IFERROR(__xludf.DUMMYFUNCTION("""COMPUTED_VALUE"""),38721)</f>
        <v>38721</v>
      </c>
      <c r="I239" s="23"/>
      <c r="J239" s="24" t="str">
        <f ca="1">IFERROR(__xludf.DUMMYFUNCTION("""COMPUTED_VALUE"""),"Woollen, P")</f>
        <v>Woollen, P</v>
      </c>
      <c r="K239" s="25" t="str">
        <f ca="1">IFERROR(__xludf.DUMMYFUNCTION("""COMPUTED_VALUE"""),"Allan Conlin")</f>
        <v>Allan Conlin</v>
      </c>
      <c r="L239" s="27" t="str">
        <f ca="1">IFERROR(__xludf.DUMMYFUNCTION("""COMPUTED_VALUE"""),"closed")</f>
        <v>closed</v>
      </c>
      <c r="M239" s="27" t="str">
        <f ca="1">IFERROR(__xludf.DUMMYFUNCTION("""COMPUTED_VALUE"""),"1st U")</f>
        <v>1st U</v>
      </c>
      <c r="N239" s="25" t="str">
        <f ca="1">IFERROR(__xludf.DUMMYFUNCTION("""COMPUTED_VALUE"""),"Accepted")</f>
        <v>Accepted</v>
      </c>
      <c r="O239" s="28"/>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row>
    <row r="240" spans="1:80" ht="12.75" hidden="1" customHeight="1">
      <c r="A240" s="10">
        <f ca="1">IFERROR(__xludf.DUMMYFUNCTION("""COMPUTED_VALUE"""),2006)</f>
        <v>2006</v>
      </c>
      <c r="B240" s="50">
        <f ca="1">IFERROR(__xludf.DUMMYFUNCTION("""COMPUTED_VALUE"""),39083)</f>
        <v>39083</v>
      </c>
      <c r="C240" s="41" t="str">
        <f ca="1">IFERROR(__xludf.DUMMYFUNCTION("""COMPUTED_VALUE"""),"2006")</f>
        <v>2006</v>
      </c>
      <c r="D240" s="42" t="str">
        <f ca="1">IFERROR(__xludf.DUMMYFUNCTION("""COMPUTED_VALUE"""),"Richard's pipit")</f>
        <v>Richard's pipit</v>
      </c>
      <c r="E240" s="53">
        <f ca="1">IFERROR(__xludf.DUMMYFUNCTION("""COMPUTED_VALUE"""),1)</f>
        <v>1</v>
      </c>
      <c r="F240" s="15"/>
      <c r="G240" s="44" t="str">
        <f ca="1">IFERROR(__xludf.DUMMYFUNCTION("""COMPUTED_VALUE"""),"West Kirby")</f>
        <v>West Kirby</v>
      </c>
      <c r="H240" s="12">
        <f ca="1">IFERROR(__xludf.DUMMYFUNCTION("""COMPUTED_VALUE"""),38725)</f>
        <v>38725</v>
      </c>
      <c r="I240" s="13"/>
      <c r="J240" s="14" t="str">
        <f ca="1">IFERROR(__xludf.DUMMYFUNCTION("""COMPUTED_VALUE"""),"Miles, MR")</f>
        <v>Miles, MR</v>
      </c>
      <c r="K240" s="15" t="str">
        <f ca="1">IFERROR(__xludf.DUMMYFUNCTION("""COMPUTED_VALUE"""),"Allan Conlin")</f>
        <v>Allan Conlin</v>
      </c>
      <c r="L240" s="17" t="str">
        <f ca="1">IFERROR(__xludf.DUMMYFUNCTION("""COMPUTED_VALUE"""),"closed")</f>
        <v>closed</v>
      </c>
      <c r="M240" s="17" t="str">
        <f ca="1">IFERROR(__xludf.DUMMYFUNCTION("""COMPUTED_VALUE"""),"1st U")</f>
        <v>1st U</v>
      </c>
      <c r="N240" s="15" t="str">
        <f ca="1">IFERROR(__xludf.DUMMYFUNCTION("""COMPUTED_VALUE"""),"Accepted")</f>
        <v>Accepted</v>
      </c>
      <c r="O240" s="18"/>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row>
    <row r="241" spans="1:80" ht="12.75" hidden="1" customHeight="1">
      <c r="A241" s="20">
        <f ca="1">IFERROR(__xludf.DUMMYFUNCTION("""COMPUTED_VALUE"""),2006)</f>
        <v>2006</v>
      </c>
      <c r="B241" s="45">
        <f ca="1">IFERROR(__xludf.DUMMYFUNCTION("""COMPUTED_VALUE"""),39448)</f>
        <v>39448</v>
      </c>
      <c r="C241" s="46" t="str">
        <f ca="1">IFERROR(__xludf.DUMMYFUNCTION("""COMPUTED_VALUE"""),"2007")</f>
        <v>2007</v>
      </c>
      <c r="D241" s="47" t="str">
        <f ca="1">IFERROR(__xludf.DUMMYFUNCTION("""COMPUTED_VALUE"""),"Richard's pipit")</f>
        <v>Richard's pipit</v>
      </c>
      <c r="E241" s="52">
        <f ca="1">IFERROR(__xludf.DUMMYFUNCTION("""COMPUTED_VALUE"""),1)</f>
        <v>1</v>
      </c>
      <c r="F241" s="25"/>
      <c r="G241" s="48" t="str">
        <f ca="1">IFERROR(__xludf.DUMMYFUNCTION("""COMPUTED_VALUE"""),"West Kirby")</f>
        <v>West Kirby</v>
      </c>
      <c r="H241" s="22">
        <f ca="1">IFERROR(__xludf.DUMMYFUNCTION("""COMPUTED_VALUE"""),38989)</f>
        <v>38989</v>
      </c>
      <c r="I241" s="23"/>
      <c r="J241" s="24" t="str">
        <f ca="1">IFERROR(__xludf.DUMMYFUNCTION("""COMPUTED_VALUE"""),"Coatsworth, T")</f>
        <v>Coatsworth, T</v>
      </c>
      <c r="K241" s="25"/>
      <c r="L241" s="27" t="str">
        <f ca="1">IFERROR(__xludf.DUMMYFUNCTION("""COMPUTED_VALUE"""),"closed")</f>
        <v>closed</v>
      </c>
      <c r="M241" s="27" t="str">
        <f ca="1">IFERROR(__xludf.DUMMYFUNCTION("""COMPUTED_VALUE"""),"1st U")</f>
        <v>1st U</v>
      </c>
      <c r="N241" s="25" t="str">
        <f ca="1">IFERROR(__xludf.DUMMYFUNCTION("""COMPUTED_VALUE"""),"Accepted")</f>
        <v>Accepted</v>
      </c>
      <c r="O241" s="28"/>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row>
    <row r="242" spans="1:80" ht="12.75" hidden="1" customHeight="1">
      <c r="A242" s="10">
        <f ca="1">IFERROR(__xludf.DUMMYFUNCTION("""COMPUTED_VALUE"""),2006)</f>
        <v>2006</v>
      </c>
      <c r="B242" s="50">
        <f ca="1">IFERROR(__xludf.DUMMYFUNCTION("""COMPUTED_VALUE"""),39448)</f>
        <v>39448</v>
      </c>
      <c r="C242" s="41" t="str">
        <f ca="1">IFERROR(__xludf.DUMMYFUNCTION("""COMPUTED_VALUE"""),"2007")</f>
        <v>2007</v>
      </c>
      <c r="D242" s="42" t="str">
        <f ca="1">IFERROR(__xludf.DUMMYFUNCTION("""COMPUTED_VALUE"""),"Richard's pipit")</f>
        <v>Richard's pipit</v>
      </c>
      <c r="E242" s="53">
        <f ca="1">IFERROR(__xludf.DUMMYFUNCTION("""COMPUTED_VALUE"""),1)</f>
        <v>1</v>
      </c>
      <c r="F242" s="15"/>
      <c r="G242" s="44" t="str">
        <f ca="1">IFERROR(__xludf.DUMMYFUNCTION("""COMPUTED_VALUE"""),"West Kirby")</f>
        <v>West Kirby</v>
      </c>
      <c r="H242" s="12">
        <f ca="1">IFERROR(__xludf.DUMMYFUNCTION("""COMPUTED_VALUE"""),38989)</f>
        <v>38989</v>
      </c>
      <c r="I242" s="13"/>
      <c r="J242" s="14" t="str">
        <f ca="1">IFERROR(__xludf.DUMMYFUNCTION("""COMPUTED_VALUE"""),"Williams, SR")</f>
        <v>Williams, SR</v>
      </c>
      <c r="K242" s="15" t="str">
        <f ca="1">IFERROR(__xludf.DUMMYFUNCTION("""COMPUTED_VALUE"""),"Williams, SR")</f>
        <v>Williams, SR</v>
      </c>
      <c r="L242" s="17" t="str">
        <f ca="1">IFERROR(__xludf.DUMMYFUNCTION("""COMPUTED_VALUE"""),"closed")</f>
        <v>closed</v>
      </c>
      <c r="M242" s="17" t="str">
        <f ca="1">IFERROR(__xludf.DUMMYFUNCTION("""COMPUTED_VALUE"""),"1st U")</f>
        <v>1st U</v>
      </c>
      <c r="N242" s="15" t="str">
        <f ca="1">IFERROR(__xludf.DUMMYFUNCTION("""COMPUTED_VALUE"""),"Accepted")</f>
        <v>Accepted</v>
      </c>
      <c r="O242" s="18"/>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row>
    <row r="243" spans="1:80" ht="12.75" hidden="1" customHeight="1">
      <c r="A243" s="20">
        <f ca="1">IFERROR(__xludf.DUMMYFUNCTION("""COMPUTED_VALUE"""),2006)</f>
        <v>2006</v>
      </c>
      <c r="B243" s="45">
        <f ca="1">IFERROR(__xludf.DUMMYFUNCTION("""COMPUTED_VALUE"""),39448)</f>
        <v>39448</v>
      </c>
      <c r="C243" s="46" t="str">
        <f ca="1">IFERROR(__xludf.DUMMYFUNCTION("""COMPUTED_VALUE"""),"2007")</f>
        <v>2007</v>
      </c>
      <c r="D243" s="47" t="str">
        <f ca="1">IFERROR(__xludf.DUMMYFUNCTION("""COMPUTED_VALUE"""),"Richard's pipit")</f>
        <v>Richard's pipit</v>
      </c>
      <c r="E243" s="52">
        <f ca="1">IFERROR(__xludf.DUMMYFUNCTION("""COMPUTED_VALUE"""),1)</f>
        <v>1</v>
      </c>
      <c r="F243" s="25"/>
      <c r="G243" s="48" t="str">
        <f ca="1">IFERROR(__xludf.DUMMYFUNCTION("""COMPUTED_VALUE"""),"Heswall")</f>
        <v>Heswall</v>
      </c>
      <c r="H243" s="22">
        <f ca="1">IFERROR(__xludf.DUMMYFUNCTION("""COMPUTED_VALUE"""),39071)</f>
        <v>39071</v>
      </c>
      <c r="I243" s="23"/>
      <c r="J243" s="24" t="str">
        <f ca="1">IFERROR(__xludf.DUMMYFUNCTION("""COMPUTED_VALUE"""),"Farnell, C")</f>
        <v>Farnell, C</v>
      </c>
      <c r="K243" s="25" t="str">
        <f ca="1">IFERROR(__xludf.DUMMYFUNCTION("""COMPUTED_VALUE"""),"Farnell, C")</f>
        <v>Farnell, C</v>
      </c>
      <c r="L243" s="27" t="str">
        <f ca="1">IFERROR(__xludf.DUMMYFUNCTION("""COMPUTED_VALUE"""),"closed")</f>
        <v>closed</v>
      </c>
      <c r="M243" s="27" t="str">
        <f ca="1">IFERROR(__xludf.DUMMYFUNCTION("""COMPUTED_VALUE"""),"1st U")</f>
        <v>1st U</v>
      </c>
      <c r="N243" s="25" t="str">
        <f ca="1">IFERROR(__xludf.DUMMYFUNCTION("""COMPUTED_VALUE"""),"Accepted")</f>
        <v>Accepted</v>
      </c>
      <c r="O243" s="28"/>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row>
    <row r="244" spans="1:80" ht="12.75" hidden="1" customHeight="1">
      <c r="A244" s="10">
        <f ca="1">IFERROR(__xludf.DUMMYFUNCTION("""COMPUTED_VALUE"""),2006)</f>
        <v>2006</v>
      </c>
      <c r="B244" s="50">
        <f ca="1">IFERROR(__xludf.DUMMYFUNCTION("""COMPUTED_VALUE"""),39083)</f>
        <v>39083</v>
      </c>
      <c r="C244" s="41" t="str">
        <f ca="1">IFERROR(__xludf.DUMMYFUNCTION("""COMPUTED_VALUE"""),"2006")</f>
        <v>2006</v>
      </c>
      <c r="D244" s="42" t="str">
        <f ca="1">IFERROR(__xludf.DUMMYFUNCTION("""COMPUTED_VALUE"""),"Red-throated Pipit")</f>
        <v>Red-throated Pipit</v>
      </c>
      <c r="E244" s="53">
        <f ca="1">IFERROR(__xludf.DUMMYFUNCTION("""COMPUTED_VALUE"""),1)</f>
        <v>1</v>
      </c>
      <c r="F244" s="15"/>
      <c r="G244" s="44" t="str">
        <f ca="1">IFERROR(__xludf.DUMMYFUNCTION("""COMPUTED_VALUE"""),"Leasowe")</f>
        <v>Leasowe</v>
      </c>
      <c r="H244" s="12">
        <f ca="1">IFERROR(__xludf.DUMMYFUNCTION("""COMPUTED_VALUE"""),38820)</f>
        <v>38820</v>
      </c>
      <c r="I244" s="13"/>
      <c r="J244" s="14"/>
      <c r="K244" s="15"/>
      <c r="L244" s="17" t="str">
        <f ca="1">IFERROR(__xludf.DUMMYFUNCTION("""COMPUTED_VALUE"""),"closed")</f>
        <v>closed</v>
      </c>
      <c r="M244" s="17" t="str">
        <f ca="1">IFERROR(__xludf.DUMMYFUNCTION("""COMPUTED_VALUE"""),"3rd U")</f>
        <v>3rd U</v>
      </c>
      <c r="N244" s="15" t="str">
        <f ca="1">IFERROR(__xludf.DUMMYFUNCTION("""COMPUTED_VALUE"""),"unproven")</f>
        <v>unproven</v>
      </c>
      <c r="O244" s="18" t="str">
        <f ca="1">IFERROR(__xludf.DUMMYFUNCTION("""COMPUTED_VALUE"""),"In line with the previous BBRC policy, it was a decided that there should be as a minimum a sighting of the the bird that at least pipit-shaped.  It was also agreed that it was most likely RTP.")</f>
        <v>In line with the previous BBRC policy, it was a decided that there should be as a minimum a sighting of the the bird that at least pipit-shaped.  It was also agreed that it was most likely RTP.</v>
      </c>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row>
    <row r="245" spans="1:80" ht="12.75" hidden="1" customHeight="1">
      <c r="A245" s="20">
        <f ca="1">IFERROR(__xludf.DUMMYFUNCTION("""COMPUTED_VALUE"""),2006)</f>
        <v>2006</v>
      </c>
      <c r="B245" s="45">
        <f ca="1">IFERROR(__xludf.DUMMYFUNCTION("""COMPUTED_VALUE"""),39448)</f>
        <v>39448</v>
      </c>
      <c r="C245" s="46" t="str">
        <f ca="1">IFERROR(__xludf.DUMMYFUNCTION("""COMPUTED_VALUE"""),"2007")</f>
        <v>2007</v>
      </c>
      <c r="D245" s="47" t="str">
        <f ca="1">IFERROR(__xludf.DUMMYFUNCTION("""COMPUTED_VALUE"""),"Hawfinch")</f>
        <v>Hawfinch</v>
      </c>
      <c r="E245" s="52">
        <f ca="1">IFERROR(__xludf.DUMMYFUNCTION("""COMPUTED_VALUE"""),1)</f>
        <v>1</v>
      </c>
      <c r="F245" s="25"/>
      <c r="G245" s="48" t="str">
        <f ca="1">IFERROR(__xludf.DUMMYFUNCTION("""COMPUTED_VALUE"""),"Wistaston")</f>
        <v>Wistaston</v>
      </c>
      <c r="H245" s="22">
        <f ca="1">IFERROR(__xludf.DUMMYFUNCTION("""COMPUTED_VALUE"""),38799)</f>
        <v>38799</v>
      </c>
      <c r="I245" s="22">
        <f ca="1">IFERROR(__xludf.DUMMYFUNCTION("""COMPUTED_VALUE"""),38807)</f>
        <v>38807</v>
      </c>
      <c r="J245" s="24" t="str">
        <f ca="1">IFERROR(__xludf.DUMMYFUNCTION("""COMPUTED_VALUE"""),"Stubbs, M")</f>
        <v>Stubbs, M</v>
      </c>
      <c r="K245" s="25" t="str">
        <f ca="1">IFERROR(__xludf.DUMMYFUNCTION("""COMPUTED_VALUE"""),"I Marshall")</f>
        <v>I Marshall</v>
      </c>
      <c r="L245" s="27" t="str">
        <f ca="1">IFERROR(__xludf.DUMMYFUNCTION("""COMPUTED_VALUE"""),"closed")</f>
        <v>closed</v>
      </c>
      <c r="M245" s="27" t="str">
        <f ca="1">IFERROR(__xludf.DUMMYFUNCTION("""COMPUTED_VALUE"""),"1st U")</f>
        <v>1st U</v>
      </c>
      <c r="N245" s="25" t="str">
        <f ca="1">IFERROR(__xludf.DUMMYFUNCTION("""COMPUTED_VALUE"""),"Accepted")</f>
        <v>Accepted</v>
      </c>
      <c r="O245" s="28"/>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row>
    <row r="246" spans="1:80" ht="12.75" hidden="1" customHeight="1">
      <c r="A246" s="10">
        <f ca="1">IFERROR(__xludf.DUMMYFUNCTION("""COMPUTED_VALUE"""),2006)</f>
        <v>2006</v>
      </c>
      <c r="B246" s="50">
        <f ca="1">IFERROR(__xludf.DUMMYFUNCTION("""COMPUTED_VALUE"""),39448)</f>
        <v>39448</v>
      </c>
      <c r="C246" s="41" t="str">
        <f ca="1">IFERROR(__xludf.DUMMYFUNCTION("""COMPUTED_VALUE"""),"2007")</f>
        <v>2007</v>
      </c>
      <c r="D246" s="42" t="str">
        <f ca="1">IFERROR(__xludf.DUMMYFUNCTION("""COMPUTED_VALUE"""),"Hawfinch")</f>
        <v>Hawfinch</v>
      </c>
      <c r="E246" s="53">
        <f ca="1">IFERROR(__xludf.DUMMYFUNCTION("""COMPUTED_VALUE"""),1)</f>
        <v>1</v>
      </c>
      <c r="F246" s="15"/>
      <c r="G246" s="44" t="str">
        <f ca="1">IFERROR(__xludf.DUMMYFUNCTION("""COMPUTED_VALUE"""),"Cuddington")</f>
        <v>Cuddington</v>
      </c>
      <c r="H246" s="12">
        <f ca="1">IFERROR(__xludf.DUMMYFUNCTION("""COMPUTED_VALUE"""),38816)</f>
        <v>38816</v>
      </c>
      <c r="I246" s="12"/>
      <c r="J246" s="14" t="str">
        <f ca="1">IFERROR(__xludf.DUMMYFUNCTION("""COMPUTED_VALUE"""),"Hems, MA")</f>
        <v>Hems, MA</v>
      </c>
      <c r="K246" s="15" t="str">
        <f ca="1">IFERROR(__xludf.DUMMYFUNCTION("""COMPUTED_VALUE"""),"Hems, MA")</f>
        <v>Hems, MA</v>
      </c>
      <c r="L246" s="17" t="str">
        <f ca="1">IFERROR(__xludf.DUMMYFUNCTION("""COMPUTED_VALUE"""),"closed")</f>
        <v>closed</v>
      </c>
      <c r="M246" s="17" t="str">
        <f ca="1">IFERROR(__xludf.DUMMYFUNCTION("""COMPUTED_VALUE"""),"1st U")</f>
        <v>1st U</v>
      </c>
      <c r="N246" s="15" t="str">
        <f ca="1">IFERROR(__xludf.DUMMYFUNCTION("""COMPUTED_VALUE"""),"Accepted")</f>
        <v>Accepted</v>
      </c>
      <c r="O246" s="18"/>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row>
    <row r="247" spans="1:80" ht="12.75" hidden="1" customHeight="1">
      <c r="A247" s="20">
        <f ca="1">IFERROR(__xludf.DUMMYFUNCTION("""COMPUTED_VALUE"""),2006)</f>
        <v>2006</v>
      </c>
      <c r="B247" s="45">
        <f ca="1">IFERROR(__xludf.DUMMYFUNCTION("""COMPUTED_VALUE"""),39448)</f>
        <v>39448</v>
      </c>
      <c r="C247" s="46" t="str">
        <f ca="1">IFERROR(__xludf.DUMMYFUNCTION("""COMPUTED_VALUE"""),"2007")</f>
        <v>2007</v>
      </c>
      <c r="D247" s="47" t="str">
        <f ca="1">IFERROR(__xludf.DUMMYFUNCTION("""COMPUTED_VALUE"""),"Hawfinch")</f>
        <v>Hawfinch</v>
      </c>
      <c r="E247" s="52">
        <f ca="1">IFERROR(__xludf.DUMMYFUNCTION("""COMPUTED_VALUE"""),2)</f>
        <v>2</v>
      </c>
      <c r="F247" s="25"/>
      <c r="G247" s="48" t="str">
        <f ca="1">IFERROR(__xludf.DUMMYFUNCTION("""COMPUTED_VALUE"""),"Woolston Eyes NR")</f>
        <v>Woolston Eyes NR</v>
      </c>
      <c r="H247" s="22">
        <f ca="1">IFERROR(__xludf.DUMMYFUNCTION("""COMPUTED_VALUE"""),39067)</f>
        <v>39067</v>
      </c>
      <c r="I247" s="22"/>
      <c r="J247" s="24" t="str">
        <f ca="1">IFERROR(__xludf.DUMMYFUNCTION("""COMPUTED_VALUE"""),"Hitchmough, A")</f>
        <v>Hitchmough, A</v>
      </c>
      <c r="K247" s="25" t="str">
        <f ca="1">IFERROR(__xludf.DUMMYFUNCTION("""COMPUTED_VALUE"""),"D Riley")</f>
        <v>D Riley</v>
      </c>
      <c r="L247" s="27" t="str">
        <f ca="1">IFERROR(__xludf.DUMMYFUNCTION("""COMPUTED_VALUE"""),"closed")</f>
        <v>closed</v>
      </c>
      <c r="M247" s="27"/>
      <c r="N247" s="25" t="str">
        <f ca="1">IFERROR(__xludf.DUMMYFUNCTION("""COMPUTED_VALUE"""),"Accepted")</f>
        <v>Accepted</v>
      </c>
      <c r="O247" s="28"/>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row>
    <row r="248" spans="1:80" ht="12.75" hidden="1" customHeight="1">
      <c r="A248" s="10">
        <f ca="1">IFERROR(__xludf.DUMMYFUNCTION("""COMPUTED_VALUE"""),2006)</f>
        <v>2006</v>
      </c>
      <c r="B248" s="50">
        <f ca="1">IFERROR(__xludf.DUMMYFUNCTION("""COMPUTED_VALUE"""),39083)</f>
        <v>39083</v>
      </c>
      <c r="C248" s="41" t="str">
        <f ca="1">IFERROR(__xludf.DUMMYFUNCTION("""COMPUTED_VALUE"""),"2006")</f>
        <v>2006</v>
      </c>
      <c r="D248" s="42" t="str">
        <f ca="1">IFERROR(__xludf.DUMMYFUNCTION("""COMPUTED_VALUE"""),"Mealy Redpoll")</f>
        <v>Mealy Redpoll</v>
      </c>
      <c r="E248" s="53">
        <f ca="1">IFERROR(__xludf.DUMMYFUNCTION("""COMPUTED_VALUE"""),1)</f>
        <v>1</v>
      </c>
      <c r="F248" s="15"/>
      <c r="G248" s="44" t="str">
        <f ca="1">IFERROR(__xludf.DUMMYFUNCTION("""COMPUTED_VALUE"""),"Farndon")</f>
        <v>Farndon</v>
      </c>
      <c r="H248" s="12">
        <f ca="1">IFERROR(__xludf.DUMMYFUNCTION("""COMPUTED_VALUE"""),38718)</f>
        <v>38718</v>
      </c>
      <c r="I248" s="12" t="str">
        <f ca="1">IFERROR(__xludf.DUMMYFUNCTION("""COMPUTED_VALUE"""),"Jan")</f>
        <v>Jan</v>
      </c>
      <c r="J248" s="14" t="str">
        <f ca="1">IFERROR(__xludf.DUMMYFUNCTION("""COMPUTED_VALUE"""),"French, N")</f>
        <v>French, N</v>
      </c>
      <c r="K248" s="15" t="str">
        <f ca="1">IFERROR(__xludf.DUMMYFUNCTION("""COMPUTED_VALUE"""),"French, N")</f>
        <v>French, N</v>
      </c>
      <c r="L248" s="17" t="str">
        <f ca="1">IFERROR(__xludf.DUMMYFUNCTION("""COMPUTED_VALUE"""),"closed")</f>
        <v>closed</v>
      </c>
      <c r="M248" s="17" t="str">
        <f ca="1">IFERROR(__xludf.DUMMYFUNCTION("""COMPUTED_VALUE"""),"1st U")</f>
        <v>1st U</v>
      </c>
      <c r="N248" s="15" t="str">
        <f ca="1">IFERROR(__xludf.DUMMYFUNCTION("""COMPUTED_VALUE"""),"Accepted")</f>
        <v>Accepted</v>
      </c>
      <c r="O248" s="18"/>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row>
    <row r="249" spans="1:80" ht="12.75" hidden="1" customHeight="1">
      <c r="A249" s="20">
        <f ca="1">IFERROR(__xludf.DUMMYFUNCTION("""COMPUTED_VALUE"""),2006)</f>
        <v>2006</v>
      </c>
      <c r="B249" s="45">
        <f ca="1">IFERROR(__xludf.DUMMYFUNCTION("""COMPUTED_VALUE"""),39083)</f>
        <v>39083</v>
      </c>
      <c r="C249" s="46" t="str">
        <f ca="1">IFERROR(__xludf.DUMMYFUNCTION("""COMPUTED_VALUE"""),"2006")</f>
        <v>2006</v>
      </c>
      <c r="D249" s="47" t="str">
        <f ca="1">IFERROR(__xludf.DUMMYFUNCTION("""COMPUTED_VALUE"""),"Mealy Redpoll")</f>
        <v>Mealy Redpoll</v>
      </c>
      <c r="E249" s="52">
        <f ca="1">IFERROR(__xludf.DUMMYFUNCTION("""COMPUTED_VALUE"""),1)</f>
        <v>1</v>
      </c>
      <c r="F249" s="25"/>
      <c r="G249" s="48" t="str">
        <f ca="1">IFERROR(__xludf.DUMMYFUNCTION("""COMPUTED_VALUE"""),"Ashton's Flash")</f>
        <v>Ashton's Flash</v>
      </c>
      <c r="H249" s="22">
        <f ca="1">IFERROR(__xludf.DUMMYFUNCTION("""COMPUTED_VALUE"""),38749)</f>
        <v>38749</v>
      </c>
      <c r="I249" s="23"/>
      <c r="J249" s="24" t="str">
        <f ca="1">IFERROR(__xludf.DUMMYFUNCTION("""COMPUTED_VALUE"""),"Fearn,H")</f>
        <v>Fearn,H</v>
      </c>
      <c r="K249" s="25" t="str">
        <f ca="1">IFERROR(__xludf.DUMMYFUNCTION("""COMPUTED_VALUE"""),"P Antrobus")</f>
        <v>P Antrobus</v>
      </c>
      <c r="L249" s="27" t="str">
        <f ca="1">IFERROR(__xludf.DUMMYFUNCTION("""COMPUTED_VALUE"""),"closed")</f>
        <v>closed</v>
      </c>
      <c r="M249" s="27" t="str">
        <f ca="1">IFERROR(__xludf.DUMMYFUNCTION("""COMPUTED_VALUE"""),"1st U")</f>
        <v>1st U</v>
      </c>
      <c r="N249" s="25" t="str">
        <f ca="1">IFERROR(__xludf.DUMMYFUNCTION("""COMPUTED_VALUE"""),"Accepted")</f>
        <v>Accepted</v>
      </c>
      <c r="O249" s="28"/>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row>
    <row r="250" spans="1:80" ht="12.75" hidden="1" customHeight="1">
      <c r="A250" s="10">
        <f ca="1">IFERROR(__xludf.DUMMYFUNCTION("""COMPUTED_VALUE"""),2006)</f>
        <v>2006</v>
      </c>
      <c r="B250" s="50">
        <f ca="1">IFERROR(__xludf.DUMMYFUNCTION("""COMPUTED_VALUE"""),39083)</f>
        <v>39083</v>
      </c>
      <c r="C250" s="41" t="str">
        <f ca="1">IFERROR(__xludf.DUMMYFUNCTION("""COMPUTED_VALUE"""),"2006")</f>
        <v>2006</v>
      </c>
      <c r="D250" s="42" t="str">
        <f ca="1">IFERROR(__xludf.DUMMYFUNCTION("""COMPUTED_VALUE"""),"Mealy Redpoll")</f>
        <v>Mealy Redpoll</v>
      </c>
      <c r="E250" s="53">
        <f ca="1">IFERROR(__xludf.DUMMYFUNCTION("""COMPUTED_VALUE"""),1)</f>
        <v>1</v>
      </c>
      <c r="F250" s="15"/>
      <c r="G250" s="44" t="str">
        <f ca="1">IFERROR(__xludf.DUMMYFUNCTION("""COMPUTED_VALUE"""),"Fiddler's Ferry")</f>
        <v>Fiddler's Ferry</v>
      </c>
      <c r="H250" s="12">
        <f ca="1">IFERROR(__xludf.DUMMYFUNCTION("""COMPUTED_VALUE"""),38760)</f>
        <v>38760</v>
      </c>
      <c r="I250" s="12">
        <f ca="1">IFERROR(__xludf.DUMMYFUNCTION("""COMPUTED_VALUE"""),38795)</f>
        <v>38795</v>
      </c>
      <c r="J250" s="14" t="str">
        <f ca="1">IFERROR(__xludf.DUMMYFUNCTION("""COMPUTED_VALUE"""),"Massey, K")</f>
        <v>Massey, K</v>
      </c>
      <c r="K250" s="15" t="str">
        <f ca="1">IFERROR(__xludf.DUMMYFUNCTION("""COMPUTED_VALUE"""),"Massey, K")</f>
        <v>Massey, K</v>
      </c>
      <c r="L250" s="17" t="str">
        <f ca="1">IFERROR(__xludf.DUMMYFUNCTION("""COMPUTED_VALUE"""),"closed")</f>
        <v>closed</v>
      </c>
      <c r="M250" s="17" t="str">
        <f ca="1">IFERROR(__xludf.DUMMYFUNCTION("""COMPUTED_VALUE"""),"1st U")</f>
        <v>1st U</v>
      </c>
      <c r="N250" s="15" t="str">
        <f ca="1">IFERROR(__xludf.DUMMYFUNCTION("""COMPUTED_VALUE"""),"Accepted")</f>
        <v>Accepted</v>
      </c>
      <c r="O250" s="18"/>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row>
    <row r="251" spans="1:80" ht="12.75" hidden="1" customHeight="1">
      <c r="A251" s="20">
        <f ca="1">IFERROR(__xludf.DUMMYFUNCTION("""COMPUTED_VALUE"""),2006)</f>
        <v>2006</v>
      </c>
      <c r="B251" s="45">
        <f ca="1">IFERROR(__xludf.DUMMYFUNCTION("""COMPUTED_VALUE"""),39468)</f>
        <v>39468</v>
      </c>
      <c r="C251" s="46" t="str">
        <f ca="1">IFERROR(__xludf.DUMMYFUNCTION("""COMPUTED_VALUE"""),"01/01/08")</f>
        <v>01/01/08</v>
      </c>
      <c r="D251" s="47" t="str">
        <f ca="1">IFERROR(__xludf.DUMMYFUNCTION("""COMPUTED_VALUE"""),"Mealy Redpoll")</f>
        <v>Mealy Redpoll</v>
      </c>
      <c r="E251" s="52">
        <f ca="1">IFERROR(__xludf.DUMMYFUNCTION("""COMPUTED_VALUE"""),1)</f>
        <v>1</v>
      </c>
      <c r="F251" s="25"/>
      <c r="G251" s="48" t="str">
        <f ca="1">IFERROR(__xludf.DUMMYFUNCTION("""COMPUTED_VALUE"""),"Whitley Reed")</f>
        <v>Whitley Reed</v>
      </c>
      <c r="H251" s="22">
        <f ca="1">IFERROR(__xludf.DUMMYFUNCTION("""COMPUTED_VALUE"""),38785)</f>
        <v>38785</v>
      </c>
      <c r="I251" s="22"/>
      <c r="J251" s="24"/>
      <c r="K251" s="25"/>
      <c r="L251" s="27" t="str">
        <f ca="1">IFERROR(__xludf.DUMMYFUNCTION("""COMPUTED_VALUE"""),"closed")</f>
        <v>closed</v>
      </c>
      <c r="M251" s="27" t="str">
        <f ca="1">IFERROR(__xludf.DUMMYFUNCTION("""COMPUTED_VALUE"""),"3rd U")</f>
        <v>3rd U</v>
      </c>
      <c r="N251" s="25" t="str">
        <f ca="1">IFERROR(__xludf.DUMMYFUNCTION("""COMPUTED_VALUE"""),"unproven")</f>
        <v>unproven</v>
      </c>
      <c r="O251" s="28"/>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row>
    <row r="252" spans="1:80" ht="12.75" hidden="1" customHeight="1">
      <c r="A252" s="10">
        <f ca="1">IFERROR(__xludf.DUMMYFUNCTION("""COMPUTED_VALUE"""),2006)</f>
        <v>2006</v>
      </c>
      <c r="B252" s="50">
        <f ca="1">IFERROR(__xludf.DUMMYFUNCTION("""COMPUTED_VALUE"""),39448)</f>
        <v>39448</v>
      </c>
      <c r="C252" s="41" t="str">
        <f ca="1">IFERROR(__xludf.DUMMYFUNCTION("""COMPUTED_VALUE"""),"2007")</f>
        <v>2007</v>
      </c>
      <c r="D252" s="42" t="str">
        <f ca="1">IFERROR(__xludf.DUMMYFUNCTION("""COMPUTED_VALUE"""),"Mealy Redpoll")</f>
        <v>Mealy Redpoll</v>
      </c>
      <c r="E252" s="53">
        <f ca="1">IFERROR(__xludf.DUMMYFUNCTION("""COMPUTED_VALUE"""),2)</f>
        <v>2</v>
      </c>
      <c r="F252" s="15"/>
      <c r="G252" s="44" t="str">
        <f ca="1">IFERROR(__xludf.DUMMYFUNCTION("""COMPUTED_VALUE"""),"Crewe Hill nr Farndon")</f>
        <v>Crewe Hill nr Farndon</v>
      </c>
      <c r="H252" s="12">
        <f ca="1">IFERROR(__xludf.DUMMYFUNCTION("""COMPUTED_VALUE"""),38789)</f>
        <v>38789</v>
      </c>
      <c r="I252" s="13"/>
      <c r="J252" s="14" t="str">
        <f ca="1">IFERROR(__xludf.DUMMYFUNCTION("""COMPUTED_VALUE"""),"Friswell, N")</f>
        <v>Friswell, N</v>
      </c>
      <c r="K252" s="15" t="str">
        <f ca="1">IFERROR(__xludf.DUMMYFUNCTION("""COMPUTED_VALUE"""),"Friswell, N")</f>
        <v>Friswell, N</v>
      </c>
      <c r="L252" s="17" t="str">
        <f ca="1">IFERROR(__xludf.DUMMYFUNCTION("""COMPUTED_VALUE"""),"closed")</f>
        <v>closed</v>
      </c>
      <c r="M252" s="17" t="str">
        <f ca="1">IFERROR(__xludf.DUMMYFUNCTION("""COMPUTED_VALUE"""),"1st U")</f>
        <v>1st U</v>
      </c>
      <c r="N252" s="15" t="str">
        <f ca="1">IFERROR(__xludf.DUMMYFUNCTION("""COMPUTED_VALUE"""),"Accepted")</f>
        <v>Accepted</v>
      </c>
      <c r="O252" s="18"/>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row>
    <row r="253" spans="1:80" ht="12.75" hidden="1" customHeight="1">
      <c r="A253" s="20">
        <f ca="1">IFERROR(__xludf.DUMMYFUNCTION("""COMPUTED_VALUE"""),2006)</f>
        <v>2006</v>
      </c>
      <c r="B253" s="45">
        <f ca="1">IFERROR(__xludf.DUMMYFUNCTION("""COMPUTED_VALUE"""),39083)</f>
        <v>39083</v>
      </c>
      <c r="C253" s="46" t="str">
        <f ca="1">IFERROR(__xludf.DUMMYFUNCTION("""COMPUTED_VALUE"""),"2006")</f>
        <v>2006</v>
      </c>
      <c r="D253" s="47" t="str">
        <f ca="1">IFERROR(__xludf.DUMMYFUNCTION("""COMPUTED_VALUE"""),"Serin")</f>
        <v>Serin</v>
      </c>
      <c r="E253" s="52">
        <f ca="1">IFERROR(__xludf.DUMMYFUNCTION("""COMPUTED_VALUE"""),1)</f>
        <v>1</v>
      </c>
      <c r="F253" s="25"/>
      <c r="G253" s="48" t="str">
        <f ca="1">IFERROR(__xludf.DUMMYFUNCTION("""COMPUTED_VALUE"""),"Hilbre")</f>
        <v>Hilbre</v>
      </c>
      <c r="H253" s="22">
        <f ca="1">IFERROR(__xludf.DUMMYFUNCTION("""COMPUTED_VALUE"""),38835)</f>
        <v>38835</v>
      </c>
      <c r="I253" s="23"/>
      <c r="J253" s="24" t="str">
        <f ca="1">IFERROR(__xludf.DUMMYFUNCTION("""COMPUTED_VALUE"""),"Williams, PG")</f>
        <v>Williams, PG</v>
      </c>
      <c r="K253" s="25" t="str">
        <f ca="1">IFERROR(__xludf.DUMMYFUNCTION("""COMPUTED_VALUE"""),"Williams, PG")</f>
        <v>Williams, PG</v>
      </c>
      <c r="L253" s="27" t="str">
        <f ca="1">IFERROR(__xludf.DUMMYFUNCTION("""COMPUTED_VALUE"""),"closed")</f>
        <v>closed</v>
      </c>
      <c r="M253" s="27" t="str">
        <f ca="1">IFERROR(__xludf.DUMMYFUNCTION("""COMPUTED_VALUE"""),"1st U")</f>
        <v>1st U</v>
      </c>
      <c r="N253" s="25" t="str">
        <f ca="1">IFERROR(__xludf.DUMMYFUNCTION("""COMPUTED_VALUE"""),"Accepted")</f>
        <v>Accepted</v>
      </c>
      <c r="O253" s="28"/>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row>
    <row r="254" spans="1:80" ht="12.75" hidden="1" customHeight="1">
      <c r="A254" s="10">
        <f ca="1">IFERROR(__xludf.DUMMYFUNCTION("""COMPUTED_VALUE"""),2006)</f>
        <v>2006</v>
      </c>
      <c r="B254" s="50">
        <f ca="1">IFERROR(__xludf.DUMMYFUNCTION("""COMPUTED_VALUE"""),39083)</f>
        <v>39083</v>
      </c>
      <c r="C254" s="41" t="str">
        <f ca="1">IFERROR(__xludf.DUMMYFUNCTION("""COMPUTED_VALUE"""),"2006")</f>
        <v>2006</v>
      </c>
      <c r="D254" s="42" t="str">
        <f ca="1">IFERROR(__xludf.DUMMYFUNCTION("""COMPUTED_VALUE"""),"Lapland Bunting")</f>
        <v>Lapland Bunting</v>
      </c>
      <c r="E254" s="53">
        <f ca="1">IFERROR(__xludf.DUMMYFUNCTION("""COMPUTED_VALUE"""),2)</f>
        <v>2</v>
      </c>
      <c r="F254" s="15"/>
      <c r="G254" s="44" t="str">
        <f ca="1">IFERROR(__xludf.DUMMYFUNCTION("""COMPUTED_VALUE"""),"Burton Marsh")</f>
        <v>Burton Marsh</v>
      </c>
      <c r="H254" s="12">
        <f ca="1">IFERROR(__xludf.DUMMYFUNCTION("""COMPUTED_VALUE"""),38732)</f>
        <v>38732</v>
      </c>
      <c r="I254" s="13"/>
      <c r="J254" s="14" t="str">
        <f ca="1">IFERROR(__xludf.DUMMYFUNCTION("""COMPUTED_VALUE"""),"Wells, CE")</f>
        <v>Wells, CE</v>
      </c>
      <c r="K254" s="15" t="str">
        <f ca="1">IFERROR(__xludf.DUMMYFUNCTION("""COMPUTED_VALUE"""),"Wells, CE")</f>
        <v>Wells, CE</v>
      </c>
      <c r="L254" s="17" t="str">
        <f ca="1">IFERROR(__xludf.DUMMYFUNCTION("""COMPUTED_VALUE"""),"closed")</f>
        <v>closed</v>
      </c>
      <c r="M254" s="17" t="str">
        <f ca="1">IFERROR(__xludf.DUMMYFUNCTION("""COMPUTED_VALUE"""),"1st U")</f>
        <v>1st U</v>
      </c>
      <c r="N254" s="15" t="str">
        <f ca="1">IFERROR(__xludf.DUMMYFUNCTION("""COMPUTED_VALUE"""),"Accepted")</f>
        <v>Accepted</v>
      </c>
      <c r="O254" s="18"/>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row>
    <row r="255" spans="1:80" ht="12.75" hidden="1" customHeight="1">
      <c r="A255" s="20">
        <f ca="1">IFERROR(__xludf.DUMMYFUNCTION("""COMPUTED_VALUE"""),2007)</f>
        <v>2007</v>
      </c>
      <c r="B255" s="45">
        <f ca="1">IFERROR(__xludf.DUMMYFUNCTION("""COMPUTED_VALUE"""),39468)</f>
        <v>39468</v>
      </c>
      <c r="C255" s="46" t="str">
        <f ca="1">IFERROR(__xludf.DUMMYFUNCTION("""COMPUTED_VALUE"""),"01/01/08")</f>
        <v>01/01/08</v>
      </c>
      <c r="D255" s="47" t="str">
        <f ca="1">IFERROR(__xludf.DUMMYFUNCTION("""COMPUTED_VALUE"""),"Green-winged Teal")</f>
        <v>Green-winged Teal</v>
      </c>
      <c r="E255" s="52">
        <f ca="1">IFERROR(__xludf.DUMMYFUNCTION("""COMPUTED_VALUE"""),1)</f>
        <v>1</v>
      </c>
      <c r="F255" s="25"/>
      <c r="G255" s="48" t="str">
        <f ca="1">IFERROR(__xludf.DUMMYFUNCTION("""COMPUTED_VALUE"""),"Inner Marsh Farm RSPB")</f>
        <v>Inner Marsh Farm RSPB</v>
      </c>
      <c r="H255" s="22">
        <f ca="1">IFERROR(__xludf.DUMMYFUNCTION("""COMPUTED_VALUE"""),39362)</f>
        <v>39362</v>
      </c>
      <c r="I255" s="23"/>
      <c r="J255" s="24" t="str">
        <f ca="1">IFERROR(__xludf.DUMMYFUNCTION("""COMPUTED_VALUE"""),"Miles, MR")</f>
        <v>Miles, MR</v>
      </c>
      <c r="K255" s="25" t="str">
        <f ca="1">IFERROR(__xludf.DUMMYFUNCTION("""COMPUTED_VALUE"""),"?")</f>
        <v>?</v>
      </c>
      <c r="L255" s="27" t="str">
        <f ca="1">IFERROR(__xludf.DUMMYFUNCTION("""COMPUTED_VALUE"""),"closed")</f>
        <v>closed</v>
      </c>
      <c r="M255" s="27" t="str">
        <f ca="1">IFERROR(__xludf.DUMMYFUNCTION("""COMPUTED_VALUE"""),"1st U")</f>
        <v>1st U</v>
      </c>
      <c r="N255" s="25" t="str">
        <f ca="1">IFERROR(__xludf.DUMMYFUNCTION("""COMPUTED_VALUE"""),"Accepted")</f>
        <v>Accepted</v>
      </c>
      <c r="O255" s="28"/>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row>
    <row r="256" spans="1:80" ht="12.75" hidden="1" customHeight="1">
      <c r="A256" s="10">
        <f ca="1">IFERROR(__xludf.DUMMYFUNCTION("""COMPUTED_VALUE"""),2007)</f>
        <v>2007</v>
      </c>
      <c r="B256" s="50">
        <f ca="1">IFERROR(__xludf.DUMMYFUNCTION("""COMPUTED_VALUE"""),39468)</f>
        <v>39468</v>
      </c>
      <c r="C256" s="41" t="str">
        <f ca="1">IFERROR(__xludf.DUMMYFUNCTION("""COMPUTED_VALUE"""),"01/01/08")</f>
        <v>01/01/08</v>
      </c>
      <c r="D256" s="42" t="str">
        <f ca="1">IFERROR(__xludf.DUMMYFUNCTION("""COMPUTED_VALUE"""),"Black Kite")</f>
        <v>Black Kite</v>
      </c>
      <c r="E256" s="53">
        <f ca="1">IFERROR(__xludf.DUMMYFUNCTION("""COMPUTED_VALUE"""),1)</f>
        <v>1</v>
      </c>
      <c r="F256" s="15"/>
      <c r="G256" s="44" t="str">
        <f ca="1">IFERROR(__xludf.DUMMYFUNCTION("""COMPUTED_VALUE"""),"Barnston")</f>
        <v>Barnston</v>
      </c>
      <c r="H256" s="12">
        <f ca="1">IFERROR(__xludf.DUMMYFUNCTION("""COMPUTED_VALUE"""),39201)</f>
        <v>39201</v>
      </c>
      <c r="I256" s="13"/>
      <c r="J256" s="14" t="str">
        <f ca="1">IFERROR(__xludf.DUMMYFUNCTION("""COMPUTED_VALUE"""),"Woollen, P")</f>
        <v>Woollen, P</v>
      </c>
      <c r="K256" s="15" t="str">
        <f ca="1">IFERROR(__xludf.DUMMYFUNCTION("""COMPUTED_VALUE"""),"S.Williams")</f>
        <v>S.Williams</v>
      </c>
      <c r="L256" s="17" t="str">
        <f ca="1">IFERROR(__xludf.DUMMYFUNCTION("""COMPUTED_VALUE"""),"closed")</f>
        <v>closed</v>
      </c>
      <c r="M256" s="17" t="str">
        <f ca="1">IFERROR(__xludf.DUMMYFUNCTION("""COMPUTED_VALUE"""),"1st U")</f>
        <v>1st U</v>
      </c>
      <c r="N256" s="15" t="str">
        <f ca="1">IFERROR(__xludf.DUMMYFUNCTION("""COMPUTED_VALUE"""),"Accepted")</f>
        <v>Accepted</v>
      </c>
      <c r="O256" s="18"/>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row>
    <row r="257" spans="1:80" ht="12.75" hidden="1" customHeight="1">
      <c r="A257" s="20">
        <f ca="1">IFERROR(__xludf.DUMMYFUNCTION("""COMPUTED_VALUE"""),2007)</f>
        <v>2007</v>
      </c>
      <c r="B257" s="45">
        <f ca="1">IFERROR(__xludf.DUMMYFUNCTION("""COMPUTED_VALUE"""),39468)</f>
        <v>39468</v>
      </c>
      <c r="C257" s="46" t="str">
        <f ca="1">IFERROR(__xludf.DUMMYFUNCTION("""COMPUTED_VALUE"""),"01/01/08")</f>
        <v>01/01/08</v>
      </c>
      <c r="D257" s="47" t="str">
        <f ca="1">IFERROR(__xludf.DUMMYFUNCTION("""COMPUTED_VALUE"""),"Black Kite")</f>
        <v>Black Kite</v>
      </c>
      <c r="E257" s="52">
        <f ca="1">IFERROR(__xludf.DUMMYFUNCTION("""COMPUTED_VALUE"""),1)</f>
        <v>1</v>
      </c>
      <c r="F257" s="25"/>
      <c r="G257" s="48" t="str">
        <f ca="1">IFERROR(__xludf.DUMMYFUNCTION("""COMPUTED_VALUE"""),"Barnston")</f>
        <v>Barnston</v>
      </c>
      <c r="H257" s="22">
        <f ca="1">IFERROR(__xludf.DUMMYFUNCTION("""COMPUTED_VALUE"""),39201)</f>
        <v>39201</v>
      </c>
      <c r="I257" s="22">
        <f ca="1">IFERROR(__xludf.DUMMYFUNCTION("""COMPUTED_VALUE"""),39202)</f>
        <v>39202</v>
      </c>
      <c r="J257" s="24" t="str">
        <f ca="1">IFERROR(__xludf.DUMMYFUNCTION("""COMPUTED_VALUE"""),"Williams, SR")</f>
        <v>Williams, SR</v>
      </c>
      <c r="K257" s="25" t="str">
        <f ca="1">IFERROR(__xludf.DUMMYFUNCTION("""COMPUTED_VALUE"""),"Williams, SR")</f>
        <v>Williams, SR</v>
      </c>
      <c r="L257" s="27" t="str">
        <f ca="1">IFERROR(__xludf.DUMMYFUNCTION("""COMPUTED_VALUE"""),"closed")</f>
        <v>closed</v>
      </c>
      <c r="M257" s="27" t="str">
        <f ca="1">IFERROR(__xludf.DUMMYFUNCTION("""COMPUTED_VALUE"""),"1st U")</f>
        <v>1st U</v>
      </c>
      <c r="N257" s="25" t="str">
        <f ca="1">IFERROR(__xludf.DUMMYFUNCTION("""COMPUTED_VALUE"""),"Accepted")</f>
        <v>Accepted</v>
      </c>
      <c r="O257" s="28"/>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row>
    <row r="258" spans="1:80" ht="12.75" hidden="1" customHeight="1">
      <c r="A258" s="10">
        <f ca="1">IFERROR(__xludf.DUMMYFUNCTION("""COMPUTED_VALUE"""),2007)</f>
        <v>2007</v>
      </c>
      <c r="B258" s="50">
        <f ca="1">IFERROR(__xludf.DUMMYFUNCTION("""COMPUTED_VALUE"""),39468)</f>
        <v>39468</v>
      </c>
      <c r="C258" s="41" t="str">
        <f ca="1">IFERROR(__xludf.DUMMYFUNCTION("""COMPUTED_VALUE"""),"01/01/08")</f>
        <v>01/01/08</v>
      </c>
      <c r="D258" s="42" t="str">
        <f ca="1">IFERROR(__xludf.DUMMYFUNCTION("""COMPUTED_VALUE"""),"Black Kite")</f>
        <v>Black Kite</v>
      </c>
      <c r="E258" s="53">
        <f ca="1">IFERROR(__xludf.DUMMYFUNCTION("""COMPUTED_VALUE"""),1)</f>
        <v>1</v>
      </c>
      <c r="F258" s="15"/>
      <c r="G258" s="44" t="str">
        <f ca="1">IFERROR(__xludf.DUMMYFUNCTION("""COMPUTED_VALUE"""),"Barnston")</f>
        <v>Barnston</v>
      </c>
      <c r="H258" s="12">
        <f ca="1">IFERROR(__xludf.DUMMYFUNCTION("""COMPUTED_VALUE"""),39201)</f>
        <v>39201</v>
      </c>
      <c r="I258" s="13"/>
      <c r="J258" s="14" t="str">
        <f ca="1">IFERROR(__xludf.DUMMYFUNCTION("""COMPUTED_VALUE"""),"Duff, F")</f>
        <v>Duff, F</v>
      </c>
      <c r="K258" s="15" t="str">
        <f ca="1">IFERROR(__xludf.DUMMYFUNCTION("""COMPUTED_VALUE"""),"S Williams")</f>
        <v>S Williams</v>
      </c>
      <c r="L258" s="17" t="str">
        <f ca="1">IFERROR(__xludf.DUMMYFUNCTION("""COMPUTED_VALUE"""),"closed")</f>
        <v>closed</v>
      </c>
      <c r="M258" s="17" t="str">
        <f ca="1">IFERROR(__xludf.DUMMYFUNCTION("""COMPUTED_VALUE"""),"1st U")</f>
        <v>1st U</v>
      </c>
      <c r="N258" s="15" t="str">
        <f ca="1">IFERROR(__xludf.DUMMYFUNCTION("""COMPUTED_VALUE"""),"Accepted")</f>
        <v>Accepted</v>
      </c>
      <c r="O258" s="18"/>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row>
    <row r="259" spans="1:80" ht="12.75" hidden="1" customHeight="1">
      <c r="A259" s="20">
        <f ca="1">IFERROR(__xludf.DUMMYFUNCTION("""COMPUTED_VALUE"""),2007)</f>
        <v>2007</v>
      </c>
      <c r="B259" s="45">
        <f ca="1">IFERROR(__xludf.DUMMYFUNCTION("""COMPUTED_VALUE"""),39468)</f>
        <v>39468</v>
      </c>
      <c r="C259" s="46" t="str">
        <f ca="1">IFERROR(__xludf.DUMMYFUNCTION("""COMPUTED_VALUE"""),"01/01/08")</f>
        <v>01/01/08</v>
      </c>
      <c r="D259" s="47" t="str">
        <f ca="1">IFERROR(__xludf.DUMMYFUNCTION("""COMPUTED_VALUE"""),"Black Kite")</f>
        <v>Black Kite</v>
      </c>
      <c r="E259" s="52">
        <f ca="1">IFERROR(__xludf.DUMMYFUNCTION("""COMPUTED_VALUE"""),1)</f>
        <v>1</v>
      </c>
      <c r="F259" s="25"/>
      <c r="G259" s="48" t="str">
        <f ca="1">IFERROR(__xludf.DUMMYFUNCTION("""COMPUTED_VALUE"""),"A54, Winsford")</f>
        <v>A54, Winsford</v>
      </c>
      <c r="H259" s="22">
        <f ca="1">IFERROR(__xludf.DUMMYFUNCTION("""COMPUTED_VALUE"""),39202)</f>
        <v>39202</v>
      </c>
      <c r="I259" s="22"/>
      <c r="J259" s="24"/>
      <c r="K259" s="25"/>
      <c r="L259" s="27" t="str">
        <f ca="1">IFERROR(__xludf.DUMMYFUNCTION("""COMPUTED_VALUE"""),"closed")</f>
        <v>closed</v>
      </c>
      <c r="M259" s="27" t="str">
        <f ca="1">IFERROR(__xludf.DUMMYFUNCTION("""COMPUTED_VALUE"""),"2nd U ")</f>
        <v xml:space="preserve">2nd U </v>
      </c>
      <c r="N259" s="25" t="str">
        <f ca="1">IFERROR(__xludf.DUMMYFUNCTION("""COMPUTED_VALUE"""),"unproven")</f>
        <v>unproven</v>
      </c>
      <c r="O259" s="28"/>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row>
    <row r="260" spans="1:80" ht="12.75" hidden="1" customHeight="1">
      <c r="A260" s="10">
        <f ca="1">IFERROR(__xludf.DUMMYFUNCTION("""COMPUTED_VALUE"""),2007)</f>
        <v>2007</v>
      </c>
      <c r="B260" s="50">
        <f ca="1">IFERROR(__xludf.DUMMYFUNCTION("""COMPUTED_VALUE"""),39468)</f>
        <v>39468</v>
      </c>
      <c r="C260" s="41" t="str">
        <f ca="1">IFERROR(__xludf.DUMMYFUNCTION("""COMPUTED_VALUE"""),"01/01/08")</f>
        <v>01/01/08</v>
      </c>
      <c r="D260" s="42" t="str">
        <f ca="1">IFERROR(__xludf.DUMMYFUNCTION("""COMPUTED_VALUE"""),"Black Kite")</f>
        <v>Black Kite</v>
      </c>
      <c r="E260" s="53">
        <f ca="1">IFERROR(__xludf.DUMMYFUNCTION("""COMPUTED_VALUE"""),1)</f>
        <v>1</v>
      </c>
      <c r="F260" s="15"/>
      <c r="G260" s="44" t="str">
        <f ca="1">IFERROR(__xludf.DUMMYFUNCTION("""COMPUTED_VALUE"""),"Over Alderley")</f>
        <v>Over Alderley</v>
      </c>
      <c r="H260" s="12">
        <f ca="1">IFERROR(__xludf.DUMMYFUNCTION("""COMPUTED_VALUE"""),39238)</f>
        <v>39238</v>
      </c>
      <c r="I260" s="12"/>
      <c r="J260" s="14"/>
      <c r="K260" s="15"/>
      <c r="L260" s="17" t="str">
        <f ca="1">IFERROR(__xludf.DUMMYFUNCTION("""COMPUTED_VALUE"""),"closed")</f>
        <v>closed</v>
      </c>
      <c r="M260" s="17" t="str">
        <f ca="1">IFERROR(__xludf.DUMMYFUNCTION("""COMPUTED_VALUE"""),"1st U")</f>
        <v>1st U</v>
      </c>
      <c r="N260" s="15" t="str">
        <f ca="1">IFERROR(__xludf.DUMMYFUNCTION("""COMPUTED_VALUE"""),"unproven")</f>
        <v>unproven</v>
      </c>
      <c r="O260" s="18"/>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row>
    <row r="261" spans="1:80" ht="12.75" hidden="1" customHeight="1">
      <c r="A261" s="20">
        <f ca="1">IFERROR(__xludf.DUMMYFUNCTION("""COMPUTED_VALUE"""),2007)</f>
        <v>2007</v>
      </c>
      <c r="B261" s="45">
        <f ca="1">IFERROR(__xludf.DUMMYFUNCTION("""COMPUTED_VALUE"""),39722)</f>
        <v>39722</v>
      </c>
      <c r="C261" s="46">
        <f ca="1">IFERROR(__xludf.DUMMYFUNCTION("""COMPUTED_VALUE"""),39703)</f>
        <v>39703</v>
      </c>
      <c r="D261" s="47" t="str">
        <f ca="1">IFERROR(__xludf.DUMMYFUNCTION("""COMPUTED_VALUE"""),"Goshawk")</f>
        <v>Goshawk</v>
      </c>
      <c r="E261" s="52">
        <f ca="1">IFERROR(__xludf.DUMMYFUNCTION("""COMPUTED_VALUE"""),1)</f>
        <v>1</v>
      </c>
      <c r="F261" s="25"/>
      <c r="G261" s="48" t="str">
        <f ca="1">IFERROR(__xludf.DUMMYFUNCTION("""COMPUTED_VALUE"""),"Rostherne Mere NNR")</f>
        <v>Rostherne Mere NNR</v>
      </c>
      <c r="H261" s="22">
        <f ca="1">IFERROR(__xludf.DUMMYFUNCTION("""COMPUTED_VALUE"""),39362)</f>
        <v>39362</v>
      </c>
      <c r="I261" s="22">
        <f ca="1">IFERROR(__xludf.DUMMYFUNCTION("""COMPUTED_VALUE"""),39362)</f>
        <v>39362</v>
      </c>
      <c r="J261" s="24"/>
      <c r="K261" s="25"/>
      <c r="L261" s="27" t="str">
        <f ca="1">IFERROR(__xludf.DUMMYFUNCTION("""COMPUTED_VALUE"""),"closed")</f>
        <v>closed</v>
      </c>
      <c r="M261" s="27" t="str">
        <f ca="1">IFERROR(__xludf.DUMMYFUNCTION("""COMPUTED_VALUE"""),"1st U")</f>
        <v>1st U</v>
      </c>
      <c r="N261" s="25" t="str">
        <f ca="1">IFERROR(__xludf.DUMMYFUNCTION("""COMPUTED_VALUE"""),"unproven")</f>
        <v>unproven</v>
      </c>
      <c r="O261" s="28"/>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row>
    <row r="262" spans="1:80" ht="12.75" hidden="1" customHeight="1">
      <c r="A262" s="10">
        <f ca="1">IFERROR(__xludf.DUMMYFUNCTION("""COMPUTED_VALUE"""),2007)</f>
        <v>2007</v>
      </c>
      <c r="B262" s="50">
        <f ca="1">IFERROR(__xludf.DUMMYFUNCTION("""COMPUTED_VALUE"""),39722)</f>
        <v>39722</v>
      </c>
      <c r="C262" s="41">
        <f ca="1">IFERROR(__xludf.DUMMYFUNCTION("""COMPUTED_VALUE"""),39703)</f>
        <v>39703</v>
      </c>
      <c r="D262" s="42" t="str">
        <f ca="1">IFERROR(__xludf.DUMMYFUNCTION("""COMPUTED_VALUE"""),"Goshawk")</f>
        <v>Goshawk</v>
      </c>
      <c r="E262" s="53">
        <f ca="1">IFERROR(__xludf.DUMMYFUNCTION("""COMPUTED_VALUE"""),1)</f>
        <v>1</v>
      </c>
      <c r="F262" s="15"/>
      <c r="G262" s="44" t="str">
        <f ca="1">IFERROR(__xludf.DUMMYFUNCTION("""COMPUTED_VALUE"""),"Rostherne Mere NNR")</f>
        <v>Rostherne Mere NNR</v>
      </c>
      <c r="H262" s="12">
        <f ca="1">IFERROR(__xludf.DUMMYFUNCTION("""COMPUTED_VALUE"""),39200)</f>
        <v>39200</v>
      </c>
      <c r="I262" s="12">
        <f ca="1">IFERROR(__xludf.DUMMYFUNCTION("""COMPUTED_VALUE"""),39570)</f>
        <v>39570</v>
      </c>
      <c r="J262" s="14" t="str">
        <f ca="1">IFERROR(__xludf.DUMMYFUNCTION("""COMPUTED_VALUE"""),"Bellamy, W")</f>
        <v>Bellamy, W</v>
      </c>
      <c r="K262" s="15"/>
      <c r="L262" s="17" t="str">
        <f ca="1">IFERROR(__xludf.DUMMYFUNCTION("""COMPUTED_VALUE"""),"closed")</f>
        <v>closed</v>
      </c>
      <c r="M262" s="17" t="str">
        <f ca="1">IFERROR(__xludf.DUMMYFUNCTION("""COMPUTED_VALUE"""),"3rd U")</f>
        <v>3rd U</v>
      </c>
      <c r="N262" s="15" t="str">
        <f ca="1">IFERROR(__xludf.DUMMYFUNCTION("""COMPUTED_VALUE"""),"Accepted")</f>
        <v>Accepted</v>
      </c>
      <c r="O262" s="18"/>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row>
    <row r="263" spans="1:80" ht="12.75" hidden="1" customHeight="1">
      <c r="A263" s="20">
        <f ca="1">IFERROR(__xludf.DUMMYFUNCTION("""COMPUTED_VALUE"""),2007)</f>
        <v>2007</v>
      </c>
      <c r="B263" s="45">
        <f ca="1">IFERROR(__xludf.DUMMYFUNCTION("""COMPUTED_VALUE"""),39468)</f>
        <v>39468</v>
      </c>
      <c r="C263" s="46" t="str">
        <f ca="1">IFERROR(__xludf.DUMMYFUNCTION("""COMPUTED_VALUE"""),"01/01/08")</f>
        <v>01/01/08</v>
      </c>
      <c r="D263" s="47" t="str">
        <f ca="1">IFERROR(__xludf.DUMMYFUNCTION("""COMPUTED_VALUE"""),"Goshawk")</f>
        <v>Goshawk</v>
      </c>
      <c r="E263" s="52">
        <f ca="1">IFERROR(__xludf.DUMMYFUNCTION("""COMPUTED_VALUE"""),1)</f>
        <v>1</v>
      </c>
      <c r="F263" s="25"/>
      <c r="G263" s="48" t="str">
        <f ca="1">IFERROR(__xludf.DUMMYFUNCTION("""COMPUTED_VALUE"""),"Peckforton")</f>
        <v>Peckforton</v>
      </c>
      <c r="H263" s="22">
        <f ca="1">IFERROR(__xludf.DUMMYFUNCTION("""COMPUTED_VALUE"""),39166)</f>
        <v>39166</v>
      </c>
      <c r="I263" s="22"/>
      <c r="J263" s="24" t="str">
        <f ca="1">IFERROR(__xludf.DUMMYFUNCTION("""COMPUTED_VALUE"""),"Fearn,H")</f>
        <v>Fearn,H</v>
      </c>
      <c r="K263" s="25" t="str">
        <f ca="1">IFERROR(__xludf.DUMMYFUNCTION("""COMPUTED_VALUE"""),"AJ Williams")</f>
        <v>AJ Williams</v>
      </c>
      <c r="L263" s="27" t="str">
        <f ca="1">IFERROR(__xludf.DUMMYFUNCTION("""COMPUTED_VALUE"""),"closed")</f>
        <v>closed</v>
      </c>
      <c r="M263" s="27" t="str">
        <f ca="1">IFERROR(__xludf.DUMMYFUNCTION("""COMPUTED_VALUE"""),"1st U")</f>
        <v>1st U</v>
      </c>
      <c r="N263" s="25" t="str">
        <f ca="1">IFERROR(__xludf.DUMMYFUNCTION("""COMPUTED_VALUE"""),"Accepted")</f>
        <v>Accepted</v>
      </c>
      <c r="O263" s="28"/>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row>
    <row r="264" spans="1:80" ht="12.75" hidden="1" customHeight="1">
      <c r="A264" s="10">
        <f ca="1">IFERROR(__xludf.DUMMYFUNCTION("""COMPUTED_VALUE"""),2007)</f>
        <v>2007</v>
      </c>
      <c r="B264" s="50">
        <f ca="1">IFERROR(__xludf.DUMMYFUNCTION("""COMPUTED_VALUE"""),39532)</f>
        <v>39532</v>
      </c>
      <c r="C264" s="41">
        <f ca="1">IFERROR(__xludf.DUMMYFUNCTION("""COMPUTED_VALUE"""),39517)</f>
        <v>39517</v>
      </c>
      <c r="D264" s="42" t="str">
        <f ca="1">IFERROR(__xludf.DUMMYFUNCTION("""COMPUTED_VALUE"""),"Goshawk")</f>
        <v>Goshawk</v>
      </c>
      <c r="E264" s="53">
        <f ca="1">IFERROR(__xludf.DUMMYFUNCTION("""COMPUTED_VALUE"""),1)</f>
        <v>1</v>
      </c>
      <c r="F264" s="15"/>
      <c r="G264" s="44" t="str">
        <f ca="1">IFERROR(__xludf.DUMMYFUNCTION("""COMPUTED_VALUE"""),"Congleton")</f>
        <v>Congleton</v>
      </c>
      <c r="H264" s="12">
        <f ca="1">IFERROR(__xludf.DUMMYFUNCTION("""COMPUTED_VALUE"""),39198)</f>
        <v>39198</v>
      </c>
      <c r="I264" s="13"/>
      <c r="J264" s="14"/>
      <c r="K264" s="15"/>
      <c r="L264" s="17" t="str">
        <f ca="1">IFERROR(__xludf.DUMMYFUNCTION("""COMPUTED_VALUE"""),"closed")</f>
        <v>closed</v>
      </c>
      <c r="M264" s="17" t="str">
        <f ca="1">IFERROR(__xludf.DUMMYFUNCTION("""COMPUTED_VALUE"""),"1st U")</f>
        <v>1st U</v>
      </c>
      <c r="N264" s="15" t="str">
        <f ca="1">IFERROR(__xludf.DUMMYFUNCTION("""COMPUTED_VALUE"""),"unproven")</f>
        <v>unproven</v>
      </c>
      <c r="O264" s="18"/>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row>
    <row r="265" spans="1:80" ht="12.75" hidden="1" customHeight="1">
      <c r="A265" s="20">
        <f ca="1">IFERROR(__xludf.DUMMYFUNCTION("""COMPUTED_VALUE"""),2007)</f>
        <v>2007</v>
      </c>
      <c r="B265" s="45">
        <f ca="1">IFERROR(__xludf.DUMMYFUNCTION("""COMPUTED_VALUE"""),40466)</f>
        <v>40466</v>
      </c>
      <c r="C265" s="46">
        <f ca="1">IFERROR(__xludf.DUMMYFUNCTION("""COMPUTED_VALUE"""),39517)</f>
        <v>39517</v>
      </c>
      <c r="D265" s="47" t="str">
        <f ca="1">IFERROR(__xludf.DUMMYFUNCTION("""COMPUTED_VALUE"""),"Slavonian Grebe")</f>
        <v>Slavonian Grebe</v>
      </c>
      <c r="E265" s="52">
        <f ca="1">IFERROR(__xludf.DUMMYFUNCTION("""COMPUTED_VALUE"""),2)</f>
        <v>2</v>
      </c>
      <c r="F265" s="25"/>
      <c r="G265" s="48" t="str">
        <f ca="1">IFERROR(__xludf.DUMMYFUNCTION("""COMPUTED_VALUE"""),"Hilbre")</f>
        <v>Hilbre</v>
      </c>
      <c r="H265" s="22">
        <f ca="1">IFERROR(__xludf.DUMMYFUNCTION("""COMPUTED_VALUE"""),39381)</f>
        <v>39381</v>
      </c>
      <c r="I265" s="23"/>
      <c r="J265" s="24" t="str">
        <f ca="1">IFERROR(__xludf.DUMMYFUNCTION("""COMPUTED_VALUE"""),"Williams, SR")</f>
        <v>Williams, SR</v>
      </c>
      <c r="K265" s="25" t="str">
        <f ca="1">IFERROR(__xludf.DUMMYFUNCTION("""COMPUTED_VALUE"""),"Williams, SR")</f>
        <v>Williams, SR</v>
      </c>
      <c r="L265" s="27" t="str">
        <f ca="1">IFERROR(__xludf.DUMMYFUNCTION("""COMPUTED_VALUE"""),"closed")</f>
        <v>closed</v>
      </c>
      <c r="M265" s="27" t="str">
        <f ca="1">IFERROR(__xludf.DUMMYFUNCTION("""COMPUTED_VALUE"""),"1st U")</f>
        <v>1st U</v>
      </c>
      <c r="N265" s="25" t="str">
        <f ca="1">IFERROR(__xludf.DUMMYFUNCTION("""COMPUTED_VALUE"""),"Accepted")</f>
        <v>Accepted</v>
      </c>
      <c r="O265" s="28"/>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row>
    <row r="266" spans="1:80" ht="12.75" hidden="1" customHeight="1">
      <c r="A266" s="10">
        <f ca="1">IFERROR(__xludf.DUMMYFUNCTION("""COMPUTED_VALUE"""),2007)</f>
        <v>2007</v>
      </c>
      <c r="B266" s="50">
        <f ca="1">IFERROR(__xludf.DUMMYFUNCTION("""COMPUTED_VALUE"""),39468)</f>
        <v>39468</v>
      </c>
      <c r="C266" s="41" t="str">
        <f ca="1">IFERROR(__xludf.DUMMYFUNCTION("""COMPUTED_VALUE"""),"01/01/08")</f>
        <v>01/01/08</v>
      </c>
      <c r="D266" s="42" t="str">
        <f ca="1">IFERROR(__xludf.DUMMYFUNCTION("""COMPUTED_VALUE"""),"White-rumped sandpiper")</f>
        <v>White-rumped sandpiper</v>
      </c>
      <c r="E266" s="53">
        <f ca="1">IFERROR(__xludf.DUMMYFUNCTION("""COMPUTED_VALUE"""),1)</f>
        <v>1</v>
      </c>
      <c r="F266" s="15"/>
      <c r="G266" s="44" t="str">
        <f ca="1">IFERROR(__xludf.DUMMYFUNCTION("""COMPUTED_VALUE"""),"Frodsham Marsh No6")</f>
        <v>Frodsham Marsh No6</v>
      </c>
      <c r="H266" s="12">
        <f ca="1">IFERROR(__xludf.DUMMYFUNCTION("""COMPUTED_VALUE"""),39302)</f>
        <v>39302</v>
      </c>
      <c r="I266" s="12"/>
      <c r="J266" s="14" t="str">
        <f ca="1">IFERROR(__xludf.DUMMYFUNCTION("""COMPUTED_VALUE"""),"Duff, F")</f>
        <v>Duff, F</v>
      </c>
      <c r="K266" s="15" t="str">
        <f ca="1">IFERROR(__xludf.DUMMYFUNCTION("""COMPUTED_VALUE"""),"M Gibson")</f>
        <v>M Gibson</v>
      </c>
      <c r="L266" s="17" t="str">
        <f ca="1">IFERROR(__xludf.DUMMYFUNCTION("""COMPUTED_VALUE"""),"closed")</f>
        <v>closed</v>
      </c>
      <c r="M266" s="17" t="str">
        <f ca="1">IFERROR(__xludf.DUMMYFUNCTION("""COMPUTED_VALUE"""),"1st M")</f>
        <v>1st M</v>
      </c>
      <c r="N266" s="15" t="str">
        <f ca="1">IFERROR(__xludf.DUMMYFUNCTION("""COMPUTED_VALUE"""),"Accepted")</f>
        <v>Accepted</v>
      </c>
      <c r="O266" s="18"/>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row>
    <row r="267" spans="1:80" ht="12.75" hidden="1" customHeight="1">
      <c r="A267" s="20">
        <f ca="1">IFERROR(__xludf.DUMMYFUNCTION("""COMPUTED_VALUE"""),2007)</f>
        <v>2007</v>
      </c>
      <c r="B267" s="45">
        <f ca="1">IFERROR(__xludf.DUMMYFUNCTION("""COMPUTED_VALUE"""),39468)</f>
        <v>39468</v>
      </c>
      <c r="C267" s="46" t="str">
        <f ca="1">IFERROR(__xludf.DUMMYFUNCTION("""COMPUTED_VALUE"""),"01/01/08")</f>
        <v>01/01/08</v>
      </c>
      <c r="D267" s="47" t="str">
        <f ca="1">IFERROR(__xludf.DUMMYFUNCTION("""COMPUTED_VALUE"""),"Pectoral Sandpiper")</f>
        <v>Pectoral Sandpiper</v>
      </c>
      <c r="E267" s="52">
        <f ca="1">IFERROR(__xludf.DUMMYFUNCTION("""COMPUTED_VALUE"""),1)</f>
        <v>1</v>
      </c>
      <c r="F267" s="25"/>
      <c r="G267" s="48" t="str">
        <f ca="1">IFERROR(__xludf.DUMMYFUNCTION("""COMPUTED_VALUE"""),"Sandbach Elton Hall Flash")</f>
        <v>Sandbach Elton Hall Flash</v>
      </c>
      <c r="H267" s="22">
        <f ca="1">IFERROR(__xludf.DUMMYFUNCTION("""COMPUTED_VALUE"""),39344)</f>
        <v>39344</v>
      </c>
      <c r="I267" s="23"/>
      <c r="J267" s="24" t="str">
        <f ca="1">IFERROR(__xludf.DUMMYFUNCTION("""COMPUTED_VALUE"""),"Firth, AJ")</f>
        <v>Firth, AJ</v>
      </c>
      <c r="K267" s="25" t="str">
        <f ca="1">IFERROR(__xludf.DUMMYFUNCTION("""COMPUTED_VALUE"""),"Firth, AJ")</f>
        <v>Firth, AJ</v>
      </c>
      <c r="L267" s="27" t="str">
        <f ca="1">IFERROR(__xludf.DUMMYFUNCTION("""COMPUTED_VALUE"""),"closed")</f>
        <v>closed</v>
      </c>
      <c r="M267" s="27" t="str">
        <f ca="1">IFERROR(__xludf.DUMMYFUNCTION("""COMPUTED_VALUE"""),"1st U")</f>
        <v>1st U</v>
      </c>
      <c r="N267" s="25" t="str">
        <f ca="1">IFERROR(__xludf.DUMMYFUNCTION("""COMPUTED_VALUE"""),"Accepted")</f>
        <v>Accepted</v>
      </c>
      <c r="O267" s="28"/>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row>
    <row r="268" spans="1:80" ht="12.75" hidden="1" customHeight="1">
      <c r="A268" s="10">
        <f ca="1">IFERROR(__xludf.DUMMYFUNCTION("""COMPUTED_VALUE"""),2007)</f>
        <v>2007</v>
      </c>
      <c r="B268" s="50">
        <f ca="1">IFERROR(__xludf.DUMMYFUNCTION("""COMPUTED_VALUE"""),39722)</f>
        <v>39722</v>
      </c>
      <c r="C268" s="41">
        <f ca="1">IFERROR(__xludf.DUMMYFUNCTION("""COMPUTED_VALUE"""),39703)</f>
        <v>39703</v>
      </c>
      <c r="D268" s="42" t="str">
        <f ca="1">IFERROR(__xludf.DUMMYFUNCTION("""COMPUTED_VALUE"""),"Grey Phalarope")</f>
        <v>Grey Phalarope</v>
      </c>
      <c r="E268" s="53">
        <f ca="1">IFERROR(__xludf.DUMMYFUNCTION("""COMPUTED_VALUE"""),1)</f>
        <v>1</v>
      </c>
      <c r="F268" s="15"/>
      <c r="G268" s="44" t="str">
        <f ca="1">IFERROR(__xludf.DUMMYFUNCTION("""COMPUTED_VALUE"""),"Hilbre")</f>
        <v>Hilbre</v>
      </c>
      <c r="H268" s="12">
        <f ca="1">IFERROR(__xludf.DUMMYFUNCTION("""COMPUTED_VALUE"""),39372)</f>
        <v>39372</v>
      </c>
      <c r="I268" s="12">
        <f ca="1">IFERROR(__xludf.DUMMYFUNCTION("""COMPUTED_VALUE"""),39372)</f>
        <v>39372</v>
      </c>
      <c r="J268" s="14" t="str">
        <f ca="1">IFERROR(__xludf.DUMMYFUNCTION("""COMPUTED_VALUE"""),"Hilbre Bird Observatory")</f>
        <v>Hilbre Bird Observatory</v>
      </c>
      <c r="K268" s="15" t="str">
        <f ca="1">IFERROR(__xludf.DUMMYFUNCTION("""COMPUTED_VALUE"""),"Bates, D")</f>
        <v>Bates, D</v>
      </c>
      <c r="L268" s="17" t="str">
        <f ca="1">IFERROR(__xludf.DUMMYFUNCTION("""COMPUTED_VALUE"""),"closed")</f>
        <v>closed</v>
      </c>
      <c r="M268" s="17" t="str">
        <f ca="1">IFERROR(__xludf.DUMMYFUNCTION("""COMPUTED_VALUE"""),"1st U")</f>
        <v>1st U</v>
      </c>
      <c r="N268" s="15" t="str">
        <f ca="1">IFERROR(__xludf.DUMMYFUNCTION("""COMPUTED_VALUE"""),"Accepted")</f>
        <v>Accepted</v>
      </c>
      <c r="O268" s="18"/>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row>
    <row r="269" spans="1:80" ht="12.75" hidden="1" customHeight="1">
      <c r="A269" s="20">
        <f ca="1">IFERROR(__xludf.DUMMYFUNCTION("""COMPUTED_VALUE"""),2007)</f>
        <v>2007</v>
      </c>
      <c r="B269" s="45">
        <f ca="1">IFERROR(__xludf.DUMMYFUNCTION("""COMPUTED_VALUE"""),39532)</f>
        <v>39532</v>
      </c>
      <c r="C269" s="46">
        <f ca="1">IFERROR(__xludf.DUMMYFUNCTION("""COMPUTED_VALUE"""),39517)</f>
        <v>39517</v>
      </c>
      <c r="D269" s="47" t="str">
        <f ca="1">IFERROR(__xludf.DUMMYFUNCTION("""COMPUTED_VALUE"""),"Grey Phalarope")</f>
        <v>Grey Phalarope</v>
      </c>
      <c r="E269" s="52">
        <f ca="1">IFERROR(__xludf.DUMMYFUNCTION("""COMPUTED_VALUE"""),1)</f>
        <v>1</v>
      </c>
      <c r="F269" s="25"/>
      <c r="G269" s="48" t="str">
        <f ca="1">IFERROR(__xludf.DUMMYFUNCTION("""COMPUTED_VALUE"""),"Hilbre")</f>
        <v>Hilbre</v>
      </c>
      <c r="H269" s="22">
        <f ca="1">IFERROR(__xludf.DUMMYFUNCTION("""COMPUTED_VALUE"""),39353)</f>
        <v>39353</v>
      </c>
      <c r="I269" s="22">
        <f ca="1">IFERROR(__xludf.DUMMYFUNCTION("""COMPUTED_VALUE"""),39355)</f>
        <v>39355</v>
      </c>
      <c r="J269" s="24" t="str">
        <f ca="1">IFERROR(__xludf.DUMMYFUNCTION("""COMPUTED_VALUE"""),"Williams, SR")</f>
        <v>Williams, SR</v>
      </c>
      <c r="K269" s="25" t="str">
        <f ca="1">IFERROR(__xludf.DUMMYFUNCTION("""COMPUTED_VALUE"""),"Mark O'Sullivan")</f>
        <v>Mark O'Sullivan</v>
      </c>
      <c r="L269" s="27" t="str">
        <f ca="1">IFERROR(__xludf.DUMMYFUNCTION("""COMPUTED_VALUE"""),"closed")</f>
        <v>closed</v>
      </c>
      <c r="M269" s="27" t="str">
        <f ca="1">IFERROR(__xludf.DUMMYFUNCTION("""COMPUTED_VALUE"""),"1st U")</f>
        <v>1st U</v>
      </c>
      <c r="N269" s="25" t="str">
        <f ca="1">IFERROR(__xludf.DUMMYFUNCTION("""COMPUTED_VALUE"""),"Accepted")</f>
        <v>Accepted</v>
      </c>
      <c r="O269" s="28"/>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row>
    <row r="270" spans="1:80" ht="12.75" hidden="1" customHeight="1">
      <c r="A270" s="10">
        <f ca="1">IFERROR(__xludf.DUMMYFUNCTION("""COMPUTED_VALUE"""),2007)</f>
        <v>2007</v>
      </c>
      <c r="B270" s="50">
        <f ca="1">IFERROR(__xludf.DUMMYFUNCTION("""COMPUTED_VALUE"""),39468)</f>
        <v>39468</v>
      </c>
      <c r="C270" s="41" t="str">
        <f ca="1">IFERROR(__xludf.DUMMYFUNCTION("""COMPUTED_VALUE"""),"01/01/08")</f>
        <v>01/01/08</v>
      </c>
      <c r="D270" s="42" t="str">
        <f ca="1">IFERROR(__xludf.DUMMYFUNCTION("""COMPUTED_VALUE"""),"Grey Phalarope")</f>
        <v>Grey Phalarope</v>
      </c>
      <c r="E270" s="53">
        <f ca="1">IFERROR(__xludf.DUMMYFUNCTION("""COMPUTED_VALUE"""),1)</f>
        <v>1</v>
      </c>
      <c r="F270" s="15"/>
      <c r="G270" s="44" t="str">
        <f ca="1">IFERROR(__xludf.DUMMYFUNCTION("""COMPUTED_VALUE"""),"Hilbre")</f>
        <v>Hilbre</v>
      </c>
      <c r="H270" s="12">
        <f ca="1">IFERROR(__xludf.DUMMYFUNCTION("""COMPUTED_VALUE"""),39353)</f>
        <v>39353</v>
      </c>
      <c r="I270" s="13"/>
      <c r="J270" s="14" t="str">
        <f ca="1">IFERROR(__xludf.DUMMYFUNCTION("""COMPUTED_VALUE"""),"O'Sullivan, M")</f>
        <v>O'Sullivan, M</v>
      </c>
      <c r="K270" s="15" t="str">
        <f ca="1">IFERROR(__xludf.DUMMYFUNCTION("""COMPUTED_VALUE"""),"O'Sullivan, M")</f>
        <v>O'Sullivan, M</v>
      </c>
      <c r="L270" s="17" t="str">
        <f ca="1">IFERROR(__xludf.DUMMYFUNCTION("""COMPUTED_VALUE"""),"closed")</f>
        <v>closed</v>
      </c>
      <c r="M270" s="17" t="str">
        <f ca="1">IFERROR(__xludf.DUMMYFUNCTION("""COMPUTED_VALUE"""),"1st U")</f>
        <v>1st U</v>
      </c>
      <c r="N270" s="15" t="str">
        <f ca="1">IFERROR(__xludf.DUMMYFUNCTION("""COMPUTED_VALUE"""),"Accepted")</f>
        <v>Accepted</v>
      </c>
      <c r="O270" s="18"/>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row>
    <row r="271" spans="1:80" ht="12.75" hidden="1" customHeight="1">
      <c r="A271" s="20">
        <f ca="1">IFERROR(__xludf.DUMMYFUNCTION("""COMPUTED_VALUE"""),2007)</f>
        <v>2007</v>
      </c>
      <c r="B271" s="45">
        <f ca="1">IFERROR(__xludf.DUMMYFUNCTION("""COMPUTED_VALUE"""),39722)</f>
        <v>39722</v>
      </c>
      <c r="C271" s="46">
        <f ca="1">IFERROR(__xludf.DUMMYFUNCTION("""COMPUTED_VALUE"""),39703)</f>
        <v>39703</v>
      </c>
      <c r="D271" s="47" t="str">
        <f ca="1">IFERROR(__xludf.DUMMYFUNCTION("""COMPUTED_VALUE"""),"Sabine's Gull")</f>
        <v>Sabine's Gull</v>
      </c>
      <c r="E271" s="52">
        <f ca="1">IFERROR(__xludf.DUMMYFUNCTION("""COMPUTED_VALUE"""),1)</f>
        <v>1</v>
      </c>
      <c r="F271" s="25"/>
      <c r="G271" s="48" t="str">
        <f ca="1">IFERROR(__xludf.DUMMYFUNCTION("""COMPUTED_VALUE"""),"Hilbre")</f>
        <v>Hilbre</v>
      </c>
      <c r="H271" s="22">
        <f ca="1">IFERROR(__xludf.DUMMYFUNCTION("""COMPUTED_VALUE"""),39364)</f>
        <v>39364</v>
      </c>
      <c r="I271" s="22">
        <f ca="1">IFERROR(__xludf.DUMMYFUNCTION("""COMPUTED_VALUE"""),39364)</f>
        <v>39364</v>
      </c>
      <c r="J271" s="24" t="str">
        <f ca="1">IFERROR(__xludf.DUMMYFUNCTION("""COMPUTED_VALUE"""),"Hilbre Bird Observatory")</f>
        <v>Hilbre Bird Observatory</v>
      </c>
      <c r="K271" s="25" t="str">
        <f ca="1">IFERROR(__xludf.DUMMYFUNCTION("""COMPUTED_VALUE"""),"Bates, D")</f>
        <v>Bates, D</v>
      </c>
      <c r="L271" s="27" t="str">
        <f ca="1">IFERROR(__xludf.DUMMYFUNCTION("""COMPUTED_VALUE"""),"closed")</f>
        <v>closed</v>
      </c>
      <c r="M271" s="27" t="str">
        <f ca="1">IFERROR(__xludf.DUMMYFUNCTION("""COMPUTED_VALUE"""),"1st U")</f>
        <v>1st U</v>
      </c>
      <c r="N271" s="25" t="str">
        <f ca="1">IFERROR(__xludf.DUMMYFUNCTION("""COMPUTED_VALUE"""),"Accepted")</f>
        <v>Accepted</v>
      </c>
      <c r="O271" s="28"/>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row>
    <row r="272" spans="1:80" ht="12.75" hidden="1" customHeight="1">
      <c r="A272" s="10">
        <f ca="1">IFERROR(__xludf.DUMMYFUNCTION("""COMPUTED_VALUE"""),2007)</f>
        <v>2007</v>
      </c>
      <c r="B272" s="50">
        <f ca="1">IFERROR(__xludf.DUMMYFUNCTION("""COMPUTED_VALUE"""),39468)</f>
        <v>39468</v>
      </c>
      <c r="C272" s="41" t="str">
        <f ca="1">IFERROR(__xludf.DUMMYFUNCTION("""COMPUTED_VALUE"""),"01/01/08")</f>
        <v>01/01/08</v>
      </c>
      <c r="D272" s="42" t="str">
        <f ca="1">IFERROR(__xludf.DUMMYFUNCTION("""COMPUTED_VALUE"""),"Sabine's Gull")</f>
        <v>Sabine's Gull</v>
      </c>
      <c r="E272" s="53">
        <f ca="1">IFERROR(__xludf.DUMMYFUNCTION("""COMPUTED_VALUE"""),1)</f>
        <v>1</v>
      </c>
      <c r="F272" s="15"/>
      <c r="G272" s="44" t="str">
        <f ca="1">IFERROR(__xludf.DUMMYFUNCTION("""COMPUTED_VALUE"""),"Meols")</f>
        <v>Meols</v>
      </c>
      <c r="H272" s="12">
        <f ca="1">IFERROR(__xludf.DUMMYFUNCTION("""COMPUTED_VALUE"""),39326)</f>
        <v>39326</v>
      </c>
      <c r="I272" s="12"/>
      <c r="J272" s="14" t="str">
        <f ca="1">IFERROR(__xludf.DUMMYFUNCTION("""COMPUTED_VALUE"""),"Woollen, P")</f>
        <v>Woollen, P</v>
      </c>
      <c r="K272" s="15" t="str">
        <f ca="1">IFERROR(__xludf.DUMMYFUNCTION("""COMPUTED_VALUE"""),"A Conlin")</f>
        <v>A Conlin</v>
      </c>
      <c r="L272" s="17" t="str">
        <f ca="1">IFERROR(__xludf.DUMMYFUNCTION("""COMPUTED_VALUE"""),"closed")</f>
        <v>closed</v>
      </c>
      <c r="M272" s="17" t="str">
        <f ca="1">IFERROR(__xludf.DUMMYFUNCTION("""COMPUTED_VALUE"""),"1st U")</f>
        <v>1st U</v>
      </c>
      <c r="N272" s="15" t="str">
        <f ca="1">IFERROR(__xludf.DUMMYFUNCTION("""COMPUTED_VALUE"""),"Accepted")</f>
        <v>Accepted</v>
      </c>
      <c r="O272" s="18"/>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row>
    <row r="273" spans="1:80" ht="12.75" hidden="1" customHeight="1">
      <c r="A273" s="20">
        <f ca="1">IFERROR(__xludf.DUMMYFUNCTION("""COMPUTED_VALUE"""),2007)</f>
        <v>2007</v>
      </c>
      <c r="B273" s="45">
        <f ca="1">IFERROR(__xludf.DUMMYFUNCTION("""COMPUTED_VALUE"""),39532)</f>
        <v>39532</v>
      </c>
      <c r="C273" s="46">
        <f ca="1">IFERROR(__xludf.DUMMYFUNCTION("""COMPUTED_VALUE"""),39517)</f>
        <v>39517</v>
      </c>
      <c r="D273" s="47" t="str">
        <f ca="1">IFERROR(__xludf.DUMMYFUNCTION("""COMPUTED_VALUE"""),"Sabine's Gull")</f>
        <v>Sabine's Gull</v>
      </c>
      <c r="E273" s="52">
        <f ca="1">IFERROR(__xludf.DUMMYFUNCTION("""COMPUTED_VALUE"""),1)</f>
        <v>1</v>
      </c>
      <c r="F273" s="25" t="str">
        <f ca="1">IFERROR(__xludf.DUMMYFUNCTION("""COMPUTED_VALUE"""),"juv")</f>
        <v>juv</v>
      </c>
      <c r="G273" s="48" t="str">
        <f ca="1">IFERROR(__xludf.DUMMYFUNCTION("""COMPUTED_VALUE"""),"Hilbre")</f>
        <v>Hilbre</v>
      </c>
      <c r="H273" s="22">
        <f ca="1">IFERROR(__xludf.DUMMYFUNCTION("""COMPUTED_VALUE"""),39350)</f>
        <v>39350</v>
      </c>
      <c r="I273" s="22"/>
      <c r="J273" s="24" t="str">
        <f ca="1">IFERROR(__xludf.DUMMYFUNCTION("""COMPUTED_VALUE"""),"Gibson, M")</f>
        <v>Gibson, M</v>
      </c>
      <c r="K273" s="25" t="str">
        <f ca="1">IFERROR(__xludf.DUMMYFUNCTION("""COMPUTED_VALUE"""),"Gibson, M")</f>
        <v>Gibson, M</v>
      </c>
      <c r="L273" s="27" t="str">
        <f ca="1">IFERROR(__xludf.DUMMYFUNCTION("""COMPUTED_VALUE"""),"closed")</f>
        <v>closed</v>
      </c>
      <c r="M273" s="27" t="str">
        <f ca="1">IFERROR(__xludf.DUMMYFUNCTION("""COMPUTED_VALUE"""),"1st U")</f>
        <v>1st U</v>
      </c>
      <c r="N273" s="25" t="str">
        <f ca="1">IFERROR(__xludf.DUMMYFUNCTION("""COMPUTED_VALUE"""),"Accepted")</f>
        <v>Accepted</v>
      </c>
      <c r="O273" s="28"/>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c r="CA273" s="25"/>
      <c r="CB273" s="25"/>
    </row>
    <row r="274" spans="1:80" ht="12.75" hidden="1" customHeight="1">
      <c r="A274" s="10">
        <f ca="1">IFERROR(__xludf.DUMMYFUNCTION("""COMPUTED_VALUE"""),2007)</f>
        <v>2007</v>
      </c>
      <c r="B274" s="50">
        <f ca="1">IFERROR(__xludf.DUMMYFUNCTION("""COMPUTED_VALUE"""),39468)</f>
        <v>39468</v>
      </c>
      <c r="C274" s="41" t="str">
        <f ca="1">IFERROR(__xludf.DUMMYFUNCTION("""COMPUTED_VALUE"""),"01/01/08")</f>
        <v>01/01/08</v>
      </c>
      <c r="D274" s="42" t="str">
        <f ca="1">IFERROR(__xludf.DUMMYFUNCTION("""COMPUTED_VALUE"""),"Caspian Gull ")</f>
        <v xml:space="preserve">Caspian Gull </v>
      </c>
      <c r="E274" s="53">
        <f ca="1">IFERROR(__xludf.DUMMYFUNCTION("""COMPUTED_VALUE"""),1)</f>
        <v>1</v>
      </c>
      <c r="F274" s="15"/>
      <c r="G274" s="44" t="str">
        <f ca="1">IFERROR(__xludf.DUMMYFUNCTION("""COMPUTED_VALUE"""),"Sandbach Elton Hall Flash")</f>
        <v>Sandbach Elton Hall Flash</v>
      </c>
      <c r="H274" s="12">
        <f ca="1">IFERROR(__xludf.DUMMYFUNCTION("""COMPUTED_VALUE"""),39192)</f>
        <v>39192</v>
      </c>
      <c r="I274" s="12">
        <f ca="1">IFERROR(__xludf.DUMMYFUNCTION("""COMPUTED_VALUE"""),39200)</f>
        <v>39200</v>
      </c>
      <c r="J274" s="14" t="str">
        <f ca="1">IFERROR(__xludf.DUMMYFUNCTION("""COMPUTED_VALUE"""),"Firth, AJ")</f>
        <v>Firth, AJ</v>
      </c>
      <c r="K274" s="15" t="str">
        <f ca="1">IFERROR(__xludf.DUMMYFUNCTION("""COMPUTED_VALUE"""),"D Norbury")</f>
        <v>D Norbury</v>
      </c>
      <c r="L274" s="17" t="str">
        <f ca="1">IFERROR(__xludf.DUMMYFUNCTION("""COMPUTED_VALUE"""),"closed")</f>
        <v>closed</v>
      </c>
      <c r="M274" s="17" t="str">
        <f ca="1">IFERROR(__xludf.DUMMYFUNCTION("""COMPUTED_VALUE"""),"1st M")</f>
        <v>1st M</v>
      </c>
      <c r="N274" s="15" t="str">
        <f ca="1">IFERROR(__xludf.DUMMYFUNCTION("""COMPUTED_VALUE"""),"Accepted")</f>
        <v>Accepted</v>
      </c>
      <c r="O274" s="18"/>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row>
    <row r="275" spans="1:80" ht="12.75" hidden="1" customHeight="1">
      <c r="A275" s="20">
        <f ca="1">IFERROR(__xludf.DUMMYFUNCTION("""COMPUTED_VALUE"""),2007)</f>
        <v>2007</v>
      </c>
      <c r="B275" s="45">
        <f ca="1">IFERROR(__xludf.DUMMYFUNCTION("""COMPUTED_VALUE"""),39468)</f>
        <v>39468</v>
      </c>
      <c r="C275" s="46" t="str">
        <f ca="1">IFERROR(__xludf.DUMMYFUNCTION("""COMPUTED_VALUE"""),"01/01/08")</f>
        <v>01/01/08</v>
      </c>
      <c r="D275" s="47" t="str">
        <f ca="1">IFERROR(__xludf.DUMMYFUNCTION("""COMPUTED_VALUE"""),"Common tern")</f>
        <v>Common tern</v>
      </c>
      <c r="E275" s="52">
        <f ca="1">IFERROR(__xludf.DUMMYFUNCTION("""COMPUTED_VALUE"""),1)</f>
        <v>1</v>
      </c>
      <c r="F275" s="25"/>
      <c r="G275" s="48" t="str">
        <f ca="1">IFERROR(__xludf.DUMMYFUNCTION("""COMPUTED_VALUE"""),"Hilbre")</f>
        <v>Hilbre</v>
      </c>
      <c r="H275" s="22">
        <f ca="1">IFERROR(__xludf.DUMMYFUNCTION("""COMPUTED_VALUE"""),39101)</f>
        <v>39101</v>
      </c>
      <c r="I275" s="22"/>
      <c r="J275" s="24" t="str">
        <f ca="1">IFERROR(__xludf.DUMMYFUNCTION("""COMPUTED_VALUE"""),"Schofield, C")</f>
        <v>Schofield, C</v>
      </c>
      <c r="K275" s="25" t="str">
        <f ca="1">IFERROR(__xludf.DUMMYFUNCTION("""COMPUTED_VALUE"""),"Schofield, C")</f>
        <v>Schofield, C</v>
      </c>
      <c r="L275" s="27" t="str">
        <f ca="1">IFERROR(__xludf.DUMMYFUNCTION("""COMPUTED_VALUE"""),"closed")</f>
        <v>closed</v>
      </c>
      <c r="M275" s="27" t="str">
        <f ca="1">IFERROR(__xludf.DUMMYFUNCTION("""COMPUTED_VALUE"""),"1st U")</f>
        <v>1st U</v>
      </c>
      <c r="N275" s="25" t="str">
        <f ca="1">IFERROR(__xludf.DUMMYFUNCTION("""COMPUTED_VALUE"""),"Accepted")</f>
        <v>Accepted</v>
      </c>
      <c r="O275" s="28"/>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c r="CA275" s="25"/>
      <c r="CB275" s="25"/>
    </row>
    <row r="276" spans="1:80" ht="12.75" hidden="1" customHeight="1">
      <c r="A276" s="10">
        <f ca="1">IFERROR(__xludf.DUMMYFUNCTION("""COMPUTED_VALUE"""),2007)</f>
        <v>2007</v>
      </c>
      <c r="B276" s="50">
        <f ca="1">IFERROR(__xludf.DUMMYFUNCTION("""COMPUTED_VALUE"""),39532)</f>
        <v>39532</v>
      </c>
      <c r="C276" s="41">
        <f ca="1">IFERROR(__xludf.DUMMYFUNCTION("""COMPUTED_VALUE"""),39517)</f>
        <v>39517</v>
      </c>
      <c r="D276" s="42" t="str">
        <f ca="1">IFERROR(__xludf.DUMMYFUNCTION("""COMPUTED_VALUE"""),"Pomarine Skua")</f>
        <v>Pomarine Skua</v>
      </c>
      <c r="E276" s="53">
        <f ca="1">IFERROR(__xludf.DUMMYFUNCTION("""COMPUTED_VALUE"""),1)</f>
        <v>1</v>
      </c>
      <c r="F276" s="15" t="str">
        <f ca="1">IFERROR(__xludf.DUMMYFUNCTION("""COMPUTED_VALUE"""),"juv")</f>
        <v>juv</v>
      </c>
      <c r="G276" s="44" t="str">
        <f ca="1">IFERROR(__xludf.DUMMYFUNCTION("""COMPUTED_VALUE"""),"Hilbre")</f>
        <v>Hilbre</v>
      </c>
      <c r="H276" s="12">
        <f ca="1">IFERROR(__xludf.DUMMYFUNCTION("""COMPUTED_VALUE"""),39397)</f>
        <v>39397</v>
      </c>
      <c r="I276" s="12"/>
      <c r="J276" s="14" t="str">
        <f ca="1">IFERROR(__xludf.DUMMYFUNCTION("""COMPUTED_VALUE"""),"Williams, SR")</f>
        <v>Williams, SR</v>
      </c>
      <c r="K276" s="15" t="str">
        <f ca="1">IFERROR(__xludf.DUMMYFUNCTION("""COMPUTED_VALUE"""),"Williams, SR")</f>
        <v>Williams, SR</v>
      </c>
      <c r="L276" s="17" t="str">
        <f ca="1">IFERROR(__xludf.DUMMYFUNCTION("""COMPUTED_VALUE"""),"closed")</f>
        <v>closed</v>
      </c>
      <c r="M276" s="17" t="str">
        <f ca="1">IFERROR(__xludf.DUMMYFUNCTION("""COMPUTED_VALUE"""),"1st U")</f>
        <v>1st U</v>
      </c>
      <c r="N276" s="15" t="str">
        <f ca="1">IFERROR(__xludf.DUMMYFUNCTION("""COMPUTED_VALUE"""),"Accepted")</f>
        <v>Accepted</v>
      </c>
      <c r="O276" s="18"/>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row>
    <row r="277" spans="1:80" ht="12.75" hidden="1" customHeight="1">
      <c r="A277" s="20">
        <f ca="1">IFERROR(__xludf.DUMMYFUNCTION("""COMPUTED_VALUE"""),2007)</f>
        <v>2007</v>
      </c>
      <c r="B277" s="45"/>
      <c r="C277" s="46">
        <f ca="1">IFERROR(__xludf.DUMMYFUNCTION("""COMPUTED_VALUE"""),39448)</f>
        <v>39448</v>
      </c>
      <c r="D277" s="47" t="str">
        <f ca="1">IFERROR(__xludf.DUMMYFUNCTION("""COMPUTED_VALUE"""),"Pomarine Skua")</f>
        <v>Pomarine Skua</v>
      </c>
      <c r="E277" s="52">
        <f ca="1">IFERROR(__xludf.DUMMYFUNCTION("""COMPUTED_VALUE"""),1)</f>
        <v>1</v>
      </c>
      <c r="F277" s="25"/>
      <c r="G277" s="48" t="str">
        <f ca="1">IFERROR(__xludf.DUMMYFUNCTION("""COMPUTED_VALUE"""),"Hilbre")</f>
        <v>Hilbre</v>
      </c>
      <c r="H277" s="22">
        <f ca="1">IFERROR(__xludf.DUMMYFUNCTION("""COMPUTED_VALUE"""),39394)</f>
        <v>39394</v>
      </c>
      <c r="I277" s="22">
        <f ca="1">IFERROR(__xludf.DUMMYFUNCTION("""COMPUTED_VALUE"""),39394)</f>
        <v>39394</v>
      </c>
      <c r="J277" s="24" t="str">
        <f ca="1">IFERROR(__xludf.DUMMYFUNCTION("""COMPUTED_VALUE"""),"Hilbre Bird Observatory")</f>
        <v>Hilbre Bird Observatory</v>
      </c>
      <c r="K277" s="25"/>
      <c r="L277" s="27" t="str">
        <f ca="1">IFERROR(__xludf.DUMMYFUNCTION("""COMPUTED_VALUE"""),"closed")</f>
        <v>closed</v>
      </c>
      <c r="M277" s="27" t="str">
        <f ca="1">IFERROR(__xludf.DUMMYFUNCTION("""COMPUTED_VALUE"""),"1st U")</f>
        <v>1st U</v>
      </c>
      <c r="N277" s="25" t="str">
        <f ca="1">IFERROR(__xludf.DUMMYFUNCTION("""COMPUTED_VALUE"""),"Accepted")</f>
        <v>Accepted</v>
      </c>
      <c r="O277" s="28"/>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row>
    <row r="278" spans="1:80" ht="12.75" hidden="1" customHeight="1">
      <c r="A278" s="10">
        <f ca="1">IFERROR(__xludf.DUMMYFUNCTION("""COMPUTED_VALUE"""),2007)</f>
        <v>2007</v>
      </c>
      <c r="B278" s="50">
        <f ca="1">IFERROR(__xludf.DUMMYFUNCTION("""COMPUTED_VALUE"""),39468)</f>
        <v>39468</v>
      </c>
      <c r="C278" s="41" t="str">
        <f ca="1">IFERROR(__xludf.DUMMYFUNCTION("""COMPUTED_VALUE"""),"01/01/08")</f>
        <v>01/01/08</v>
      </c>
      <c r="D278" s="42" t="str">
        <f ca="1">IFERROR(__xludf.DUMMYFUNCTION("""COMPUTED_VALUE"""),"Little Auk")</f>
        <v>Little Auk</v>
      </c>
      <c r="E278" s="53">
        <f ca="1">IFERROR(__xludf.DUMMYFUNCTION("""COMPUTED_VALUE"""),1)</f>
        <v>1</v>
      </c>
      <c r="F278" s="15"/>
      <c r="G278" s="44" t="str">
        <f ca="1">IFERROR(__xludf.DUMMYFUNCTION("""COMPUTED_VALUE"""),"Wallasey")</f>
        <v>Wallasey</v>
      </c>
      <c r="H278" s="12">
        <f ca="1">IFERROR(__xludf.DUMMYFUNCTION("""COMPUTED_VALUE"""),39398)</f>
        <v>39398</v>
      </c>
      <c r="I278" s="13"/>
      <c r="J278" s="14" t="str">
        <f ca="1">IFERROR(__xludf.DUMMYFUNCTION("""COMPUTED_VALUE"""),"Woollen, P")</f>
        <v>Woollen, P</v>
      </c>
      <c r="K278" s="15" t="str">
        <f ca="1">IFERROR(__xludf.DUMMYFUNCTION("""COMPUTED_VALUE"""),"R.Bithwell")</f>
        <v>R.Bithwell</v>
      </c>
      <c r="L278" s="17" t="str">
        <f ca="1">IFERROR(__xludf.DUMMYFUNCTION("""COMPUTED_VALUE"""),"closed")</f>
        <v>closed</v>
      </c>
      <c r="M278" s="17" t="str">
        <f ca="1">IFERROR(__xludf.DUMMYFUNCTION("""COMPUTED_VALUE"""),"1st U")</f>
        <v>1st U</v>
      </c>
      <c r="N278" s="15" t="str">
        <f ca="1">IFERROR(__xludf.DUMMYFUNCTION("""COMPUTED_VALUE"""),"Accepted")</f>
        <v>Accepted</v>
      </c>
      <c r="O278" s="18"/>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row>
    <row r="279" spans="1:80" ht="12.75" hidden="1" customHeight="1">
      <c r="A279" s="20">
        <f ca="1">IFERROR(__xludf.DUMMYFUNCTION("""COMPUTED_VALUE"""),2007)</f>
        <v>2007</v>
      </c>
      <c r="B279" s="45">
        <f ca="1">IFERROR(__xludf.DUMMYFUNCTION("""COMPUTED_VALUE"""),39468)</f>
        <v>39468</v>
      </c>
      <c r="C279" s="46" t="str">
        <f ca="1">IFERROR(__xludf.DUMMYFUNCTION("""COMPUTED_VALUE"""),"01/01/08")</f>
        <v>01/01/08</v>
      </c>
      <c r="D279" s="47" t="str">
        <f ca="1">IFERROR(__xludf.DUMMYFUNCTION("""COMPUTED_VALUE"""),"Black Guillemot")</f>
        <v>Black Guillemot</v>
      </c>
      <c r="E279" s="52">
        <f ca="1">IFERROR(__xludf.DUMMYFUNCTION("""COMPUTED_VALUE"""),1)</f>
        <v>1</v>
      </c>
      <c r="F279" s="25"/>
      <c r="G279" s="48" t="str">
        <f ca="1">IFERROR(__xludf.DUMMYFUNCTION("""COMPUTED_VALUE"""),"Hilbre")</f>
        <v>Hilbre</v>
      </c>
      <c r="H279" s="22">
        <f ca="1">IFERROR(__xludf.DUMMYFUNCTION("""COMPUTED_VALUE"""),39290)</f>
        <v>39290</v>
      </c>
      <c r="I279" s="23"/>
      <c r="J279" s="24" t="str">
        <f ca="1">IFERROR(__xludf.DUMMYFUNCTION("""COMPUTED_VALUE"""),"Jones, C (colin)")</f>
        <v>Jones, C (colin)</v>
      </c>
      <c r="K279" s="25" t="str">
        <f ca="1">IFERROR(__xludf.DUMMYFUNCTION("""COMPUTED_VALUE"""),"Jones, C (colin)")</f>
        <v>Jones, C (colin)</v>
      </c>
      <c r="L279" s="27" t="str">
        <f ca="1">IFERROR(__xludf.DUMMYFUNCTION("""COMPUTED_VALUE"""),"closed")</f>
        <v>closed</v>
      </c>
      <c r="M279" s="27" t="str">
        <f ca="1">IFERROR(__xludf.DUMMYFUNCTION("""COMPUTED_VALUE"""),"1st U")</f>
        <v>1st U</v>
      </c>
      <c r="N279" s="25" t="str">
        <f ca="1">IFERROR(__xludf.DUMMYFUNCTION("""COMPUTED_VALUE"""),"Accepted")</f>
        <v>Accepted</v>
      </c>
      <c r="O279" s="28"/>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row>
    <row r="280" spans="1:80" ht="12.75" hidden="1" customHeight="1">
      <c r="A280" s="10">
        <f ca="1">IFERROR(__xludf.DUMMYFUNCTION("""COMPUTED_VALUE"""),2007)</f>
        <v>2007</v>
      </c>
      <c r="B280" s="50">
        <f ca="1">IFERROR(__xludf.DUMMYFUNCTION("""COMPUTED_VALUE"""),44568)</f>
        <v>44568</v>
      </c>
      <c r="C280" s="41"/>
      <c r="D280" s="42" t="str">
        <f ca="1">IFERROR(__xludf.DUMMYFUNCTION("""COMPUTED_VALUE"""),"Glossy Ibis")</f>
        <v>Glossy Ibis</v>
      </c>
      <c r="E280" s="53">
        <f ca="1">IFERROR(__xludf.DUMMYFUNCTION("""COMPUTED_VALUE"""),1)</f>
        <v>1</v>
      </c>
      <c r="F280" s="15"/>
      <c r="G280" s="44" t="str">
        <f ca="1">IFERROR(__xludf.DUMMYFUNCTION("""COMPUTED_VALUE"""),"Neumann's Flash")</f>
        <v>Neumann's Flash</v>
      </c>
      <c r="H280" s="12">
        <f ca="1">IFERROR(__xludf.DUMMYFUNCTION("""COMPUTED_VALUE"""),39207)</f>
        <v>39207</v>
      </c>
      <c r="I280" s="13"/>
      <c r="J280" s="14"/>
      <c r="K280" s="15"/>
      <c r="L280" s="17" t="str">
        <f ca="1">IFERROR(__xludf.DUMMYFUNCTION("""COMPUTED_VALUE"""),"closed")</f>
        <v>closed</v>
      </c>
      <c r="M280" s="17"/>
      <c r="N280" s="15" t="str">
        <f ca="1">IFERROR(__xludf.DUMMYFUNCTION("""COMPUTED_VALUE"""),"BBRC-OK")</f>
        <v>BBRC-OK</v>
      </c>
      <c r="O280" s="18" t="str">
        <f ca="1">IFERROR(__xludf.DUMMYFUNCTION("""COMPUTED_VALUE"""),"Neumann's Flash, seven, 5th May; same as Cornwall.")</f>
        <v>Neumann's Flash, seven, 5th May; same as Cornwall.</v>
      </c>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row>
    <row r="281" spans="1:80" ht="12.75" hidden="1" customHeight="1">
      <c r="A281" s="20">
        <f ca="1">IFERROR(__xludf.DUMMYFUNCTION("""COMPUTED_VALUE"""),2007)</f>
        <v>2007</v>
      </c>
      <c r="B281" s="45"/>
      <c r="C281" s="46">
        <f ca="1">IFERROR(__xludf.DUMMYFUNCTION("""COMPUTED_VALUE"""),39824)</f>
        <v>39824</v>
      </c>
      <c r="D281" s="47" t="str">
        <f ca="1">IFERROR(__xludf.DUMMYFUNCTION("""COMPUTED_VALUE"""),"Great White Egret")</f>
        <v>Great White Egret</v>
      </c>
      <c r="E281" s="52">
        <f ca="1">IFERROR(__xludf.DUMMYFUNCTION("""COMPUTED_VALUE"""),1)</f>
        <v>1</v>
      </c>
      <c r="F281" s="25"/>
      <c r="G281" s="48" t="str">
        <f ca="1">IFERROR(__xludf.DUMMYFUNCTION("""COMPUTED_VALUE"""),"Woolston Eyes NO 3")</f>
        <v>Woolston Eyes NO 3</v>
      </c>
      <c r="H281" s="22">
        <f ca="1">IFERROR(__xludf.DUMMYFUNCTION("""COMPUTED_VALUE"""),39179)</f>
        <v>39179</v>
      </c>
      <c r="I281" s="23"/>
      <c r="J281" s="24" t="str">
        <f ca="1">IFERROR(__xludf.DUMMYFUNCTION("""COMPUTED_VALUE"""),"Riley, D")</f>
        <v>Riley, D</v>
      </c>
      <c r="K281" s="25" t="str">
        <f ca="1">IFERROR(__xludf.DUMMYFUNCTION("""COMPUTED_VALUE"""),"Tom Westhead")</f>
        <v>Tom Westhead</v>
      </c>
      <c r="L281" s="27" t="str">
        <f ca="1">IFERROR(__xludf.DUMMYFUNCTION("""COMPUTED_VALUE"""),"closed")</f>
        <v>closed</v>
      </c>
      <c r="M281" s="27" t="str">
        <f ca="1">IFERROR(__xludf.DUMMYFUNCTION("""COMPUTED_VALUE"""),"1st M")</f>
        <v>1st M</v>
      </c>
      <c r="N281" s="25" t="str">
        <f ca="1">IFERROR(__xludf.DUMMYFUNCTION("""COMPUTED_VALUE"""),"Accepted")</f>
        <v>Accepted</v>
      </c>
      <c r="O281" s="28"/>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row>
    <row r="282" spans="1:80" ht="12.75" hidden="1" customHeight="1">
      <c r="A282" s="10">
        <f ca="1">IFERROR(__xludf.DUMMYFUNCTION("""COMPUTED_VALUE"""),2007)</f>
        <v>2007</v>
      </c>
      <c r="B282" s="50">
        <f ca="1">IFERROR(__xludf.DUMMYFUNCTION("""COMPUTED_VALUE"""),39468)</f>
        <v>39468</v>
      </c>
      <c r="C282" s="41" t="str">
        <f ca="1">IFERROR(__xludf.DUMMYFUNCTION("""COMPUTED_VALUE"""),"01/01/08")</f>
        <v>01/01/08</v>
      </c>
      <c r="D282" s="42" t="str">
        <f ca="1">IFERROR(__xludf.DUMMYFUNCTION("""COMPUTED_VALUE"""),"Great White Egret")</f>
        <v>Great White Egret</v>
      </c>
      <c r="E282" s="53">
        <f ca="1">IFERROR(__xludf.DUMMYFUNCTION("""COMPUTED_VALUE"""),1)</f>
        <v>1</v>
      </c>
      <c r="F282" s="15"/>
      <c r="G282" s="44" t="str">
        <f ca="1">IFERROR(__xludf.DUMMYFUNCTION("""COMPUTED_VALUE"""),"Denhall Lane")</f>
        <v>Denhall Lane</v>
      </c>
      <c r="H282" s="12">
        <f ca="1">IFERROR(__xludf.DUMMYFUNCTION("""COMPUTED_VALUE"""),39234)</f>
        <v>39234</v>
      </c>
      <c r="I282" s="13"/>
      <c r="J282" s="14" t="str">
        <f ca="1">IFERROR(__xludf.DUMMYFUNCTION("""COMPUTED_VALUE"""),"Graves, R")</f>
        <v>Graves, R</v>
      </c>
      <c r="K282" s="15" t="str">
        <f ca="1">IFERROR(__xludf.DUMMYFUNCTION("""COMPUTED_VALUE"""),"Graves, R")</f>
        <v>Graves, R</v>
      </c>
      <c r="L282" s="17" t="str">
        <f ca="1">IFERROR(__xludf.DUMMYFUNCTION("""COMPUTED_VALUE"""),"closed")</f>
        <v>closed</v>
      </c>
      <c r="M282" s="17" t="str">
        <f ca="1">IFERROR(__xludf.DUMMYFUNCTION("""COMPUTED_VALUE"""),"2nd m")</f>
        <v>2nd m</v>
      </c>
      <c r="N282" s="15" t="str">
        <f ca="1">IFERROR(__xludf.DUMMYFUNCTION("""COMPUTED_VALUE"""),"Accepted")</f>
        <v>Accepted</v>
      </c>
      <c r="O282" s="18"/>
      <c r="P282" s="15"/>
      <c r="Q282" s="58"/>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row>
    <row r="283" spans="1:80" ht="12.75" hidden="1" customHeight="1">
      <c r="A283" s="20">
        <f ca="1">IFERROR(__xludf.DUMMYFUNCTION("""COMPUTED_VALUE"""),2007)</f>
        <v>2007</v>
      </c>
      <c r="B283" s="45"/>
      <c r="C283" s="46">
        <f ca="1">IFERROR(__xludf.DUMMYFUNCTION("""COMPUTED_VALUE"""),39448)</f>
        <v>39448</v>
      </c>
      <c r="D283" s="47" t="str">
        <f ca="1">IFERROR(__xludf.DUMMYFUNCTION("""COMPUTED_VALUE"""),"Great White Egret")</f>
        <v>Great White Egret</v>
      </c>
      <c r="E283" s="52">
        <f ca="1">IFERROR(__xludf.DUMMYFUNCTION("""COMPUTED_VALUE"""),1)</f>
        <v>1</v>
      </c>
      <c r="F283" s="25"/>
      <c r="G283" s="48" t="str">
        <f ca="1">IFERROR(__xludf.DUMMYFUNCTION("""COMPUTED_VALUE"""),"Inner Marsh Farm RSPB")</f>
        <v>Inner Marsh Farm RSPB</v>
      </c>
      <c r="H283" s="22">
        <f ca="1">IFERROR(__xludf.DUMMYFUNCTION("""COMPUTED_VALUE"""),39359)</f>
        <v>39359</v>
      </c>
      <c r="I283" s="22">
        <f ca="1">IFERROR(__xludf.DUMMYFUNCTION("""COMPUTED_VALUE"""),39359)</f>
        <v>39359</v>
      </c>
      <c r="J283" s="24" t="str">
        <f ca="1">IFERROR(__xludf.DUMMYFUNCTION("""COMPUTED_VALUE"""),"Taylor, S")</f>
        <v>Taylor, S</v>
      </c>
      <c r="K283" s="25"/>
      <c r="L283" s="27" t="str">
        <f ca="1">IFERROR(__xludf.DUMMYFUNCTION("""COMPUTED_VALUE"""),"closed")</f>
        <v>closed</v>
      </c>
      <c r="M283" s="27" t="str">
        <f ca="1">IFERROR(__xludf.DUMMYFUNCTION("""COMPUTED_VALUE"""),"1st U")</f>
        <v>1st U</v>
      </c>
      <c r="N283" s="25" t="str">
        <f ca="1">IFERROR(__xludf.DUMMYFUNCTION("""COMPUTED_VALUE"""),"Accepted")</f>
        <v>Accepted</v>
      </c>
      <c r="O283" s="28"/>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row>
    <row r="284" spans="1:80" ht="12.75" hidden="1" customHeight="1">
      <c r="A284" s="10">
        <f ca="1">IFERROR(__xludf.DUMMYFUNCTION("""COMPUTED_VALUE"""),2007)</f>
        <v>2007</v>
      </c>
      <c r="B284" s="50">
        <f ca="1">IFERROR(__xludf.DUMMYFUNCTION("""COMPUTED_VALUE"""),39468)</f>
        <v>39468</v>
      </c>
      <c r="C284" s="41" t="str">
        <f ca="1">IFERROR(__xludf.DUMMYFUNCTION("""COMPUTED_VALUE"""),"01/01/08")</f>
        <v>01/01/08</v>
      </c>
      <c r="D284" s="42" t="str">
        <f ca="1">IFERROR(__xludf.DUMMYFUNCTION("""COMPUTED_VALUE"""),"Honey-Buzzard")</f>
        <v>Honey-Buzzard</v>
      </c>
      <c r="E284" s="53">
        <f ca="1">IFERROR(__xludf.DUMMYFUNCTION("""COMPUTED_VALUE"""),1)</f>
        <v>1</v>
      </c>
      <c r="F284" s="15"/>
      <c r="G284" s="44" t="str">
        <f ca="1">IFERROR(__xludf.DUMMYFUNCTION("""COMPUTED_VALUE"""),"Risley Moss LNR")</f>
        <v>Risley Moss LNR</v>
      </c>
      <c r="H284" s="12">
        <f ca="1">IFERROR(__xludf.DUMMYFUNCTION("""COMPUTED_VALUE"""),39210)</f>
        <v>39210</v>
      </c>
      <c r="I284" s="13"/>
      <c r="J284" s="14"/>
      <c r="K284" s="15"/>
      <c r="L284" s="17" t="str">
        <f ca="1">IFERROR(__xludf.DUMMYFUNCTION("""COMPUTED_VALUE"""),"closed")</f>
        <v>closed</v>
      </c>
      <c r="M284" s="17" t="str">
        <f ca="1">IFERROR(__xludf.DUMMYFUNCTION("""COMPUTED_VALUE"""),"1st U")</f>
        <v>1st U</v>
      </c>
      <c r="N284" s="15" t="str">
        <f ca="1">IFERROR(__xludf.DUMMYFUNCTION("""COMPUTED_VALUE"""),"unproven")</f>
        <v>unproven</v>
      </c>
      <c r="O284" s="18"/>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row>
    <row r="285" spans="1:80" ht="12.75" hidden="1" customHeight="1">
      <c r="A285" s="20">
        <f ca="1">IFERROR(__xludf.DUMMYFUNCTION("""COMPUTED_VALUE"""),2007)</f>
        <v>2007</v>
      </c>
      <c r="B285" s="45">
        <f ca="1">IFERROR(__xludf.DUMMYFUNCTION("""COMPUTED_VALUE"""),39468)</f>
        <v>39468</v>
      </c>
      <c r="C285" s="46" t="str">
        <f ca="1">IFERROR(__xludf.DUMMYFUNCTION("""COMPUTED_VALUE"""),"01/01/08")</f>
        <v>01/01/08</v>
      </c>
      <c r="D285" s="47" t="str">
        <f ca="1">IFERROR(__xludf.DUMMYFUNCTION("""COMPUTED_VALUE"""),"Honey-Buzzard")</f>
        <v>Honey-Buzzard</v>
      </c>
      <c r="E285" s="52">
        <f ca="1">IFERROR(__xludf.DUMMYFUNCTION("""COMPUTED_VALUE"""),1)</f>
        <v>1</v>
      </c>
      <c r="F285" s="25"/>
      <c r="G285" s="48" t="str">
        <f ca="1">IFERROR(__xludf.DUMMYFUNCTION("""COMPUTED_VALUE"""),"Risley Moss LNR")</f>
        <v>Risley Moss LNR</v>
      </c>
      <c r="H285" s="22">
        <f ca="1">IFERROR(__xludf.DUMMYFUNCTION("""COMPUTED_VALUE"""),39215)</f>
        <v>39215</v>
      </c>
      <c r="I285" s="22"/>
      <c r="J285" s="24"/>
      <c r="K285" s="25"/>
      <c r="L285" s="27" t="str">
        <f ca="1">IFERROR(__xludf.DUMMYFUNCTION("""COMPUTED_VALUE"""),"closed")</f>
        <v>closed</v>
      </c>
      <c r="M285" s="27" t="str">
        <f ca="1">IFERROR(__xludf.DUMMYFUNCTION("""COMPUTED_VALUE"""),"1st U")</f>
        <v>1st U</v>
      </c>
      <c r="N285" s="25" t="str">
        <f ca="1">IFERROR(__xludf.DUMMYFUNCTION("""COMPUTED_VALUE"""),"unproven")</f>
        <v>unproven</v>
      </c>
      <c r="O285" s="28"/>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row>
    <row r="286" spans="1:80" ht="12.75" hidden="1" customHeight="1">
      <c r="A286" s="10">
        <f ca="1">IFERROR(__xludf.DUMMYFUNCTION("""COMPUTED_VALUE"""),2007)</f>
        <v>2007</v>
      </c>
      <c r="B286" s="50">
        <f ca="1">IFERROR(__xludf.DUMMYFUNCTION("""COMPUTED_VALUE"""),39468)</f>
        <v>39468</v>
      </c>
      <c r="C286" s="41" t="str">
        <f ca="1">IFERROR(__xludf.DUMMYFUNCTION("""COMPUTED_VALUE"""),"01/01/08")</f>
        <v>01/01/08</v>
      </c>
      <c r="D286" s="42" t="str">
        <f ca="1">IFERROR(__xludf.DUMMYFUNCTION("""COMPUTED_VALUE"""),"Montagu's harrier")</f>
        <v>Montagu's harrier</v>
      </c>
      <c r="E286" s="53">
        <f ca="1">IFERROR(__xludf.DUMMYFUNCTION("""COMPUTED_VALUE"""),1)</f>
        <v>1</v>
      </c>
      <c r="F286" s="15"/>
      <c r="G286" s="44" t="str">
        <f ca="1">IFERROR(__xludf.DUMMYFUNCTION("""COMPUTED_VALUE"""),"Leasowe Lighthouse")</f>
        <v>Leasowe Lighthouse</v>
      </c>
      <c r="H286" s="12">
        <f ca="1">IFERROR(__xludf.DUMMYFUNCTION("""COMPUTED_VALUE"""),39193)</f>
        <v>39193</v>
      </c>
      <c r="I286" s="13"/>
      <c r="J286" s="14" t="str">
        <f ca="1">IFERROR(__xludf.DUMMYFUNCTION("""COMPUTED_VALUE"""),"Tubb, J E ")</f>
        <v xml:space="preserve">Tubb, J E </v>
      </c>
      <c r="K286" s="15" t="str">
        <f ca="1">IFERROR(__xludf.DUMMYFUNCTION("""COMPUTED_VALUE"""),"Tubb, J E ")</f>
        <v xml:space="preserve">Tubb, J E </v>
      </c>
      <c r="L286" s="17" t="str">
        <f ca="1">IFERROR(__xludf.DUMMYFUNCTION("""COMPUTED_VALUE"""),"closed")</f>
        <v>closed</v>
      </c>
      <c r="M286" s="17" t="str">
        <f ca="1">IFERROR(__xludf.DUMMYFUNCTION("""COMPUTED_VALUE"""),"1st M")</f>
        <v>1st M</v>
      </c>
      <c r="N286" s="15" t="str">
        <f ca="1">IFERROR(__xludf.DUMMYFUNCTION("""COMPUTED_VALUE"""),"Accepted")</f>
        <v>Accepted</v>
      </c>
      <c r="O286" s="18"/>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row>
    <row r="287" spans="1:80" ht="12.75" hidden="1" customHeight="1">
      <c r="A287" s="20">
        <f ca="1">IFERROR(__xludf.DUMMYFUNCTION("""COMPUTED_VALUE"""),2007)</f>
        <v>2007</v>
      </c>
      <c r="B287" s="45">
        <f ca="1">IFERROR(__xludf.DUMMYFUNCTION("""COMPUTED_VALUE"""),39468)</f>
        <v>39468</v>
      </c>
      <c r="C287" s="46" t="str">
        <f ca="1">IFERROR(__xludf.DUMMYFUNCTION("""COMPUTED_VALUE"""),"01/01/08")</f>
        <v>01/01/08</v>
      </c>
      <c r="D287" s="47" t="str">
        <f ca="1">IFERROR(__xludf.DUMMYFUNCTION("""COMPUTED_VALUE"""),"Red Kite")</f>
        <v>Red Kite</v>
      </c>
      <c r="E287" s="52">
        <f ca="1">IFERROR(__xludf.DUMMYFUNCTION("""COMPUTED_VALUE"""),1)</f>
        <v>1</v>
      </c>
      <c r="F287" s="25"/>
      <c r="G287" s="48" t="str">
        <f ca="1">IFERROR(__xludf.DUMMYFUNCTION("""COMPUTED_VALUE"""),"Newbold Astbury")</f>
        <v>Newbold Astbury</v>
      </c>
      <c r="H287" s="22">
        <f ca="1">IFERROR(__xludf.DUMMYFUNCTION("""COMPUTED_VALUE"""),39300)</f>
        <v>39300</v>
      </c>
      <c r="I287" s="22">
        <f ca="1">IFERROR(__xludf.DUMMYFUNCTION("""COMPUTED_VALUE"""),39303)</f>
        <v>39303</v>
      </c>
      <c r="J287" s="24" t="str">
        <f ca="1">IFERROR(__xludf.DUMMYFUNCTION("""COMPUTED_VALUE"""),"Straw J")</f>
        <v>Straw J</v>
      </c>
      <c r="K287" s="25" t="str">
        <f ca="1">IFERROR(__xludf.DUMMYFUNCTION("""COMPUTED_VALUE"""),"A Straw")</f>
        <v>A Straw</v>
      </c>
      <c r="L287" s="27" t="str">
        <f ca="1">IFERROR(__xludf.DUMMYFUNCTION("""COMPUTED_VALUE"""),"closed")</f>
        <v>closed</v>
      </c>
      <c r="M287" s="27" t="str">
        <f ca="1">IFERROR(__xludf.DUMMYFUNCTION("""COMPUTED_VALUE"""),"1st U")</f>
        <v>1st U</v>
      </c>
      <c r="N287" s="25" t="str">
        <f ca="1">IFERROR(__xludf.DUMMYFUNCTION("""COMPUTED_VALUE"""),"Accepted")</f>
        <v>Accepted</v>
      </c>
      <c r="O287" s="28"/>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row>
    <row r="288" spans="1:80" ht="12.75" hidden="1" customHeight="1">
      <c r="A288" s="10">
        <f ca="1">IFERROR(__xludf.DUMMYFUNCTION("""COMPUTED_VALUE"""),2007)</f>
        <v>2007</v>
      </c>
      <c r="B288" s="50">
        <f ca="1">IFERROR(__xludf.DUMMYFUNCTION("""COMPUTED_VALUE"""),39468)</f>
        <v>39468</v>
      </c>
      <c r="C288" s="41" t="str">
        <f ca="1">IFERROR(__xludf.DUMMYFUNCTION("""COMPUTED_VALUE"""),"01/01/08")</f>
        <v>01/01/08</v>
      </c>
      <c r="D288" s="42" t="str">
        <f ca="1">IFERROR(__xludf.DUMMYFUNCTION("""COMPUTED_VALUE"""),"Red Kite")</f>
        <v>Red Kite</v>
      </c>
      <c r="E288" s="53">
        <f ca="1">IFERROR(__xludf.DUMMYFUNCTION("""COMPUTED_VALUE"""),1)</f>
        <v>1</v>
      </c>
      <c r="F288" s="15"/>
      <c r="G288" s="44" t="str">
        <f ca="1">IFERROR(__xludf.DUMMYFUNCTION("""COMPUTED_VALUE"""),"Great Sutton")</f>
        <v>Great Sutton</v>
      </c>
      <c r="H288" s="12">
        <f ca="1">IFERROR(__xludf.DUMMYFUNCTION("""COMPUTED_VALUE"""),39156)</f>
        <v>39156</v>
      </c>
      <c r="I288" s="12"/>
      <c r="J288" s="14" t="str">
        <f ca="1">IFERROR(__xludf.DUMMYFUNCTION("""COMPUTED_VALUE"""),"Gough, MR")</f>
        <v>Gough, MR</v>
      </c>
      <c r="K288" s="15" t="str">
        <f ca="1">IFERROR(__xludf.DUMMYFUNCTION("""COMPUTED_VALUE"""),"Gough, MR")</f>
        <v>Gough, MR</v>
      </c>
      <c r="L288" s="17" t="str">
        <f ca="1">IFERROR(__xludf.DUMMYFUNCTION("""COMPUTED_VALUE"""),"closed")</f>
        <v>closed</v>
      </c>
      <c r="M288" s="17" t="str">
        <f ca="1">IFERROR(__xludf.DUMMYFUNCTION("""COMPUTED_VALUE"""),"1st U")</f>
        <v>1st U</v>
      </c>
      <c r="N288" s="15" t="str">
        <f ca="1">IFERROR(__xludf.DUMMYFUNCTION("""COMPUTED_VALUE"""),"Accepted")</f>
        <v>Accepted</v>
      </c>
      <c r="O288" s="18"/>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row>
    <row r="289" spans="1:80" ht="12.75" hidden="1" customHeight="1">
      <c r="A289" s="20">
        <f ca="1">IFERROR(__xludf.DUMMYFUNCTION("""COMPUTED_VALUE"""),2007)</f>
        <v>2007</v>
      </c>
      <c r="B289" s="45">
        <f ca="1">IFERROR(__xludf.DUMMYFUNCTION("""COMPUTED_VALUE"""),39468)</f>
        <v>39468</v>
      </c>
      <c r="C289" s="46" t="str">
        <f ca="1">IFERROR(__xludf.DUMMYFUNCTION("""COMPUTED_VALUE"""),"01/01/08")</f>
        <v>01/01/08</v>
      </c>
      <c r="D289" s="47" t="str">
        <f ca="1">IFERROR(__xludf.DUMMYFUNCTION("""COMPUTED_VALUE"""),"Red Kite")</f>
        <v>Red Kite</v>
      </c>
      <c r="E289" s="52">
        <f ca="1">IFERROR(__xludf.DUMMYFUNCTION("""COMPUTED_VALUE"""),1)</f>
        <v>1</v>
      </c>
      <c r="F289" s="25"/>
      <c r="G289" s="48" t="str">
        <f ca="1">IFERROR(__xludf.DUMMYFUNCTION("""COMPUTED_VALUE"""),"Red Rocks, Hoylake")</f>
        <v>Red Rocks, Hoylake</v>
      </c>
      <c r="H289" s="22">
        <f ca="1">IFERROR(__xludf.DUMMYFUNCTION("""COMPUTED_VALUE"""),39191)</f>
        <v>39191</v>
      </c>
      <c r="I289" s="22"/>
      <c r="J289" s="24" t="str">
        <f ca="1">IFERROR(__xludf.DUMMYFUNCTION("""COMPUTED_VALUE"""),"Haigh, D")</f>
        <v>Haigh, D</v>
      </c>
      <c r="K289" s="25" t="str">
        <f ca="1">IFERROR(__xludf.DUMMYFUNCTION("""COMPUTED_VALUE"""),"Haigh, D")</f>
        <v>Haigh, D</v>
      </c>
      <c r="L289" s="27" t="str">
        <f ca="1">IFERROR(__xludf.DUMMYFUNCTION("""COMPUTED_VALUE"""),"closed")</f>
        <v>closed</v>
      </c>
      <c r="M289" s="27" t="str">
        <f ca="1">IFERROR(__xludf.DUMMYFUNCTION("""COMPUTED_VALUE"""),"1st U")</f>
        <v>1st U</v>
      </c>
      <c r="N289" s="25" t="str">
        <f ca="1">IFERROR(__xludf.DUMMYFUNCTION("""COMPUTED_VALUE"""),"Accepted")</f>
        <v>Accepted</v>
      </c>
      <c r="O289" s="28"/>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c r="CA289" s="25"/>
      <c r="CB289" s="25"/>
    </row>
    <row r="290" spans="1:80" ht="12.75" hidden="1" customHeight="1">
      <c r="A290" s="10">
        <f ca="1">IFERROR(__xludf.DUMMYFUNCTION("""COMPUTED_VALUE"""),2007)</f>
        <v>2007</v>
      </c>
      <c r="B290" s="50">
        <f ca="1">IFERROR(__xludf.DUMMYFUNCTION("""COMPUTED_VALUE"""),39468)</f>
        <v>39468</v>
      </c>
      <c r="C290" s="41" t="str">
        <f ca="1">IFERROR(__xludf.DUMMYFUNCTION("""COMPUTED_VALUE"""),"01/01/08")</f>
        <v>01/01/08</v>
      </c>
      <c r="D290" s="42" t="str">
        <f ca="1">IFERROR(__xludf.DUMMYFUNCTION("""COMPUTED_VALUE"""),"Red Kite")</f>
        <v>Red Kite</v>
      </c>
      <c r="E290" s="53">
        <f ca="1">IFERROR(__xludf.DUMMYFUNCTION("""COMPUTED_VALUE"""),1)</f>
        <v>1</v>
      </c>
      <c r="F290" s="15"/>
      <c r="G290" s="44" t="str">
        <f ca="1">IFERROR(__xludf.DUMMYFUNCTION("""COMPUTED_VALUE"""),"Higher Poynton")</f>
        <v>Higher Poynton</v>
      </c>
      <c r="H290" s="12">
        <f ca="1">IFERROR(__xludf.DUMMYFUNCTION("""COMPUTED_VALUE"""),39192)</f>
        <v>39192</v>
      </c>
      <c r="I290" s="12"/>
      <c r="J290" s="14" t="str">
        <f ca="1">IFERROR(__xludf.DUMMYFUNCTION("""COMPUTED_VALUE"""),"Hind, S")</f>
        <v>Hind, S</v>
      </c>
      <c r="K290" s="15" t="str">
        <f ca="1">IFERROR(__xludf.DUMMYFUNCTION("""COMPUTED_VALUE"""),"Hind, S")</f>
        <v>Hind, S</v>
      </c>
      <c r="L290" s="17" t="str">
        <f ca="1">IFERROR(__xludf.DUMMYFUNCTION("""COMPUTED_VALUE"""),"closed")</f>
        <v>closed</v>
      </c>
      <c r="M290" s="17" t="str">
        <f ca="1">IFERROR(__xludf.DUMMYFUNCTION("""COMPUTED_VALUE"""),"1st U")</f>
        <v>1st U</v>
      </c>
      <c r="N290" s="15" t="str">
        <f ca="1">IFERROR(__xludf.DUMMYFUNCTION("""COMPUTED_VALUE"""),"Accepted")</f>
        <v>Accepted</v>
      </c>
      <c r="O290" s="18"/>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row>
    <row r="291" spans="1:80" ht="12.75" hidden="1" customHeight="1">
      <c r="A291" s="20">
        <f ca="1">IFERROR(__xludf.DUMMYFUNCTION("""COMPUTED_VALUE"""),2007)</f>
        <v>2007</v>
      </c>
      <c r="B291" s="45">
        <f ca="1">IFERROR(__xludf.DUMMYFUNCTION("""COMPUTED_VALUE"""),39468)</f>
        <v>39468</v>
      </c>
      <c r="C291" s="46" t="str">
        <f ca="1">IFERROR(__xludf.DUMMYFUNCTION("""COMPUTED_VALUE"""),"01/01/08")</f>
        <v>01/01/08</v>
      </c>
      <c r="D291" s="47" t="str">
        <f ca="1">IFERROR(__xludf.DUMMYFUNCTION("""COMPUTED_VALUE"""),"Red Kite")</f>
        <v>Red Kite</v>
      </c>
      <c r="E291" s="52">
        <f ca="1">IFERROR(__xludf.DUMMYFUNCTION("""COMPUTED_VALUE"""),1)</f>
        <v>1</v>
      </c>
      <c r="F291" s="25"/>
      <c r="G291" s="48" t="str">
        <f ca="1">IFERROR(__xludf.DUMMYFUNCTION("""COMPUTED_VALUE"""),"A54 nr Holmes Chapel")</f>
        <v>A54 nr Holmes Chapel</v>
      </c>
      <c r="H291" s="22">
        <f ca="1">IFERROR(__xludf.DUMMYFUNCTION("""COMPUTED_VALUE"""),39238)</f>
        <v>39238</v>
      </c>
      <c r="I291" s="22"/>
      <c r="J291" s="24" t="str">
        <f ca="1">IFERROR(__xludf.DUMMYFUNCTION("""COMPUTED_VALUE"""),"Pym, A")</f>
        <v>Pym, A</v>
      </c>
      <c r="K291" s="25" t="str">
        <f ca="1">IFERROR(__xludf.DUMMYFUNCTION("""COMPUTED_VALUE"""),"Pym, A")</f>
        <v>Pym, A</v>
      </c>
      <c r="L291" s="27" t="str">
        <f ca="1">IFERROR(__xludf.DUMMYFUNCTION("""COMPUTED_VALUE"""),"closed")</f>
        <v>closed</v>
      </c>
      <c r="M291" s="27" t="str">
        <f ca="1">IFERROR(__xludf.DUMMYFUNCTION("""COMPUTED_VALUE"""),"1st U")</f>
        <v>1st U</v>
      </c>
      <c r="N291" s="25" t="str">
        <f ca="1">IFERROR(__xludf.DUMMYFUNCTION("""COMPUTED_VALUE"""),"Accepted")</f>
        <v>Accepted</v>
      </c>
      <c r="O291" s="28"/>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c r="CA291" s="25"/>
      <c r="CB291" s="25"/>
    </row>
    <row r="292" spans="1:80" ht="12.75" hidden="1" customHeight="1">
      <c r="A292" s="10">
        <f ca="1">IFERROR(__xludf.DUMMYFUNCTION("""COMPUTED_VALUE"""),2007)</f>
        <v>2007</v>
      </c>
      <c r="B292" s="50">
        <f ca="1">IFERROR(__xludf.DUMMYFUNCTION("""COMPUTED_VALUE"""),39468)</f>
        <v>39468</v>
      </c>
      <c r="C292" s="41" t="str">
        <f ca="1">IFERROR(__xludf.DUMMYFUNCTION("""COMPUTED_VALUE"""),"01/01/08")</f>
        <v>01/01/08</v>
      </c>
      <c r="D292" s="42" t="str">
        <f ca="1">IFERROR(__xludf.DUMMYFUNCTION("""COMPUTED_VALUE"""),"Red Kite")</f>
        <v>Red Kite</v>
      </c>
      <c r="E292" s="53">
        <f ca="1">IFERROR(__xludf.DUMMYFUNCTION("""COMPUTED_VALUE"""),1)</f>
        <v>1</v>
      </c>
      <c r="F292" s="15"/>
      <c r="G292" s="44" t="str">
        <f ca="1">IFERROR(__xludf.DUMMYFUNCTION("""COMPUTED_VALUE"""),"Crewe Green / Stowford")</f>
        <v>Crewe Green / Stowford</v>
      </c>
      <c r="H292" s="12">
        <f ca="1">IFERROR(__xludf.DUMMYFUNCTION("""COMPUTED_VALUE"""),39319)</f>
        <v>39319</v>
      </c>
      <c r="I292" s="13"/>
      <c r="J292" s="14" t="str">
        <f ca="1">IFERROR(__xludf.DUMMYFUNCTION("""COMPUTED_VALUE"""),"Stubbs, M")</f>
        <v>Stubbs, M</v>
      </c>
      <c r="K292" s="15" t="str">
        <f ca="1">IFERROR(__xludf.DUMMYFUNCTION("""COMPUTED_VALUE"""),"A Bridges")</f>
        <v>A Bridges</v>
      </c>
      <c r="L292" s="17" t="str">
        <f ca="1">IFERROR(__xludf.DUMMYFUNCTION("""COMPUTED_VALUE"""),"closed")</f>
        <v>closed</v>
      </c>
      <c r="M292" s="17" t="str">
        <f ca="1">IFERROR(__xludf.DUMMYFUNCTION("""COMPUTED_VALUE"""),"1st U")</f>
        <v>1st U</v>
      </c>
      <c r="N292" s="15" t="str">
        <f ca="1">IFERROR(__xludf.DUMMYFUNCTION("""COMPUTED_VALUE"""),"Accepted")</f>
        <v>Accepted</v>
      </c>
      <c r="O292" s="18"/>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row>
    <row r="293" spans="1:80" ht="12.75" hidden="1" customHeight="1">
      <c r="A293" s="20">
        <f ca="1">IFERROR(__xludf.DUMMYFUNCTION("""COMPUTED_VALUE"""),2007)</f>
        <v>2007</v>
      </c>
      <c r="B293" s="45">
        <f ca="1">IFERROR(__xludf.DUMMYFUNCTION("""COMPUTED_VALUE"""),39468)</f>
        <v>39468</v>
      </c>
      <c r="C293" s="46" t="str">
        <f ca="1">IFERROR(__xludf.DUMMYFUNCTION("""COMPUTED_VALUE"""),"01/01/08")</f>
        <v>01/01/08</v>
      </c>
      <c r="D293" s="47" t="str">
        <f ca="1">IFERROR(__xludf.DUMMYFUNCTION("""COMPUTED_VALUE"""),"Red Kite")</f>
        <v>Red Kite</v>
      </c>
      <c r="E293" s="52">
        <f ca="1">IFERROR(__xludf.DUMMYFUNCTION("""COMPUTED_VALUE"""),1)</f>
        <v>1</v>
      </c>
      <c r="F293" s="25"/>
      <c r="G293" s="48" t="str">
        <f ca="1">IFERROR(__xludf.DUMMYFUNCTION("""COMPUTED_VALUE"""),"Barthomley")</f>
        <v>Barthomley</v>
      </c>
      <c r="H293" s="22">
        <f ca="1">IFERROR(__xludf.DUMMYFUNCTION("""COMPUTED_VALUE"""),39322)</f>
        <v>39322</v>
      </c>
      <c r="I293" s="22"/>
      <c r="J293" s="24" t="str">
        <f ca="1">IFERROR(__xludf.DUMMYFUNCTION("""COMPUTED_VALUE"""),"Woollen, P")</f>
        <v>Woollen, P</v>
      </c>
      <c r="K293" s="25" t="str">
        <f ca="1">IFERROR(__xludf.DUMMYFUNCTION("""COMPUTED_VALUE"""),"unknown")</f>
        <v>unknown</v>
      </c>
      <c r="L293" s="27" t="str">
        <f ca="1">IFERROR(__xludf.DUMMYFUNCTION("""COMPUTED_VALUE"""),"closed")</f>
        <v>closed</v>
      </c>
      <c r="M293" s="27" t="str">
        <f ca="1">IFERROR(__xludf.DUMMYFUNCTION("""COMPUTED_VALUE"""),"1st U")</f>
        <v>1st U</v>
      </c>
      <c r="N293" s="25" t="str">
        <f ca="1">IFERROR(__xludf.DUMMYFUNCTION("""COMPUTED_VALUE"""),"Accepted")</f>
        <v>Accepted</v>
      </c>
      <c r="O293" s="28"/>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c r="CA293" s="25"/>
      <c r="CB293" s="25"/>
    </row>
    <row r="294" spans="1:80" ht="12.75" hidden="1" customHeight="1">
      <c r="A294" s="10">
        <f ca="1">IFERROR(__xludf.DUMMYFUNCTION("""COMPUTED_VALUE"""),2007)</f>
        <v>2007</v>
      </c>
      <c r="B294" s="50">
        <f ca="1">IFERROR(__xludf.DUMMYFUNCTION("""COMPUTED_VALUE"""),39468)</f>
        <v>39468</v>
      </c>
      <c r="C294" s="41" t="str">
        <f ca="1">IFERROR(__xludf.DUMMYFUNCTION("""COMPUTED_VALUE"""),"01/01/08")</f>
        <v>01/01/08</v>
      </c>
      <c r="D294" s="42" t="str">
        <f ca="1">IFERROR(__xludf.DUMMYFUNCTION("""COMPUTED_VALUE"""),"Red Kite")</f>
        <v>Red Kite</v>
      </c>
      <c r="E294" s="53">
        <f ca="1">IFERROR(__xludf.DUMMYFUNCTION("""COMPUTED_VALUE"""),1)</f>
        <v>1</v>
      </c>
      <c r="F294" s="15"/>
      <c r="G294" s="44" t="str">
        <f ca="1">IFERROR(__xludf.DUMMYFUNCTION("""COMPUTED_VALUE"""),"Conglton Edge")</f>
        <v>Conglton Edge</v>
      </c>
      <c r="H294" s="12">
        <f ca="1">IFERROR(__xludf.DUMMYFUNCTION("""COMPUTED_VALUE"""),39300)</f>
        <v>39300</v>
      </c>
      <c r="I294" s="12">
        <f ca="1">IFERROR(__xludf.DUMMYFUNCTION("""COMPUTED_VALUE"""),39303)</f>
        <v>39303</v>
      </c>
      <c r="J294" s="14" t="str">
        <f ca="1">IFERROR(__xludf.DUMMYFUNCTION("""COMPUTED_VALUE"""),"Straw,A")</f>
        <v>Straw,A</v>
      </c>
      <c r="K294" s="15" t="str">
        <f ca="1">IFERROR(__xludf.DUMMYFUNCTION("""COMPUTED_VALUE"""),"Straw,A")</f>
        <v>Straw,A</v>
      </c>
      <c r="L294" s="17" t="str">
        <f ca="1">IFERROR(__xludf.DUMMYFUNCTION("""COMPUTED_VALUE"""),"closed")</f>
        <v>closed</v>
      </c>
      <c r="M294" s="17" t="str">
        <f ca="1">IFERROR(__xludf.DUMMYFUNCTION("""COMPUTED_VALUE"""),"1st U")</f>
        <v>1st U</v>
      </c>
      <c r="N294" s="15" t="str">
        <f ca="1">IFERROR(__xludf.DUMMYFUNCTION("""COMPUTED_VALUE"""),"Accepted")</f>
        <v>Accepted</v>
      </c>
      <c r="O294" s="18"/>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row>
    <row r="295" spans="1:80" ht="12.75" hidden="1" customHeight="1">
      <c r="A295" s="20">
        <f ca="1">IFERROR(__xludf.DUMMYFUNCTION("""COMPUTED_VALUE"""),2007)</f>
        <v>2007</v>
      </c>
      <c r="B295" s="45">
        <f ca="1">IFERROR(__xludf.DUMMYFUNCTION("""COMPUTED_VALUE"""),39468)</f>
        <v>39468</v>
      </c>
      <c r="C295" s="46" t="str">
        <f ca="1">IFERROR(__xludf.DUMMYFUNCTION("""COMPUTED_VALUE"""),"01/01/08")</f>
        <v>01/01/08</v>
      </c>
      <c r="D295" s="47" t="str">
        <f ca="1">IFERROR(__xludf.DUMMYFUNCTION("""COMPUTED_VALUE"""),"Red Kite")</f>
        <v>Red Kite</v>
      </c>
      <c r="E295" s="52">
        <f ca="1">IFERROR(__xludf.DUMMYFUNCTION("""COMPUTED_VALUE"""),1)</f>
        <v>1</v>
      </c>
      <c r="F295" s="25"/>
      <c r="G295" s="48" t="str">
        <f ca="1">IFERROR(__xludf.DUMMYFUNCTION("""COMPUTED_VALUE"""),"Hatherton")</f>
        <v>Hatherton</v>
      </c>
      <c r="H295" s="22">
        <f ca="1">IFERROR(__xludf.DUMMYFUNCTION("""COMPUTED_VALUE"""),39335)</f>
        <v>39335</v>
      </c>
      <c r="I295" s="23"/>
      <c r="J295" s="24" t="str">
        <f ca="1">IFERROR(__xludf.DUMMYFUNCTION("""COMPUTED_VALUE"""),"Stubbs, M")</f>
        <v>Stubbs, M</v>
      </c>
      <c r="K295" s="25" t="str">
        <f ca="1">IFERROR(__xludf.DUMMYFUNCTION("""COMPUTED_VALUE"""),"?")</f>
        <v>?</v>
      </c>
      <c r="L295" s="27" t="str">
        <f ca="1">IFERROR(__xludf.DUMMYFUNCTION("""COMPUTED_VALUE"""),"closed")</f>
        <v>closed</v>
      </c>
      <c r="M295" s="27" t="str">
        <f ca="1">IFERROR(__xludf.DUMMYFUNCTION("""COMPUTED_VALUE"""),"1st U")</f>
        <v>1st U</v>
      </c>
      <c r="N295" s="25" t="str">
        <f ca="1">IFERROR(__xludf.DUMMYFUNCTION("""COMPUTED_VALUE"""),"Accepted")</f>
        <v>Accepted</v>
      </c>
      <c r="O295" s="28"/>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c r="CA295" s="25"/>
      <c r="CB295" s="25"/>
    </row>
    <row r="296" spans="1:80" ht="12.75" hidden="1" customHeight="1">
      <c r="A296" s="10">
        <f ca="1">IFERROR(__xludf.DUMMYFUNCTION("""COMPUTED_VALUE"""),2007)</f>
        <v>2007</v>
      </c>
      <c r="B296" s="50"/>
      <c r="C296" s="41"/>
      <c r="D296" s="42" t="str">
        <f ca="1">IFERROR(__xludf.DUMMYFUNCTION("""COMPUTED_VALUE"""),"Red Kite")</f>
        <v>Red Kite</v>
      </c>
      <c r="E296" s="53">
        <f ca="1">IFERROR(__xludf.DUMMYFUNCTION("""COMPUTED_VALUE"""),1)</f>
        <v>1</v>
      </c>
      <c r="F296" s="15"/>
      <c r="G296" s="44" t="str">
        <f ca="1">IFERROR(__xludf.DUMMYFUNCTION("""COMPUTED_VALUE"""),"Cat &amp; Fiddle Moors")</f>
        <v>Cat &amp; Fiddle Moors</v>
      </c>
      <c r="H296" s="12">
        <f ca="1">IFERROR(__xludf.DUMMYFUNCTION("""COMPUTED_VALUE"""),39193)</f>
        <v>39193</v>
      </c>
      <c r="I296" s="13"/>
      <c r="J296" s="14"/>
      <c r="K296" s="15"/>
      <c r="L296" s="17" t="str">
        <f ca="1">IFERROR(__xludf.DUMMYFUNCTION("""COMPUTED_VALUE"""),"closed")</f>
        <v>closed</v>
      </c>
      <c r="M296" s="17" t="str">
        <f ca="1">IFERROR(__xludf.DUMMYFUNCTION("""COMPUTED_VALUE"""),"1st U")</f>
        <v>1st U</v>
      </c>
      <c r="N296" s="15" t="str">
        <f ca="1">IFERROR(__xludf.DUMMYFUNCTION("""COMPUTED_VALUE"""),"unproven")</f>
        <v>unproven</v>
      </c>
      <c r="O296" s="18"/>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row>
    <row r="297" spans="1:80" ht="12.75" hidden="1" customHeight="1">
      <c r="A297" s="20">
        <f ca="1">IFERROR(__xludf.DUMMYFUNCTION("""COMPUTED_VALUE"""),2007)</f>
        <v>2007</v>
      </c>
      <c r="B297" s="45">
        <f ca="1">IFERROR(__xludf.DUMMYFUNCTION("""COMPUTED_VALUE"""),39532)</f>
        <v>39532</v>
      </c>
      <c r="C297" s="46">
        <f ca="1">IFERROR(__xludf.DUMMYFUNCTION("""COMPUTED_VALUE"""),39517)</f>
        <v>39517</v>
      </c>
      <c r="D297" s="47" t="str">
        <f ca="1">IFERROR(__xludf.DUMMYFUNCTION("""COMPUTED_VALUE"""),"Red Kite")</f>
        <v>Red Kite</v>
      </c>
      <c r="E297" s="52">
        <f ca="1">IFERROR(__xludf.DUMMYFUNCTION("""COMPUTED_VALUE"""),1)</f>
        <v>1</v>
      </c>
      <c r="F297" s="25"/>
      <c r="G297" s="48" t="str">
        <f ca="1">IFERROR(__xludf.DUMMYFUNCTION("""COMPUTED_VALUE"""),"Cumberland Brook")</f>
        <v>Cumberland Brook</v>
      </c>
      <c r="H297" s="22">
        <f ca="1">IFERROR(__xludf.DUMMYFUNCTION("""COMPUTED_VALUE"""),39222)</f>
        <v>39222</v>
      </c>
      <c r="I297" s="23"/>
      <c r="J297" s="24" t="str">
        <f ca="1">IFERROR(__xludf.DUMMYFUNCTION("""COMPUTED_VALUE"""),"Honer, C")</f>
        <v>Honer, C</v>
      </c>
      <c r="K297" s="25" t="str">
        <f ca="1">IFERROR(__xludf.DUMMYFUNCTION("""COMPUTED_VALUE"""),"Honer, C")</f>
        <v>Honer, C</v>
      </c>
      <c r="L297" s="27" t="str">
        <f ca="1">IFERROR(__xludf.DUMMYFUNCTION("""COMPUTED_VALUE"""),"closed")</f>
        <v>closed</v>
      </c>
      <c r="M297" s="27" t="str">
        <f ca="1">IFERROR(__xludf.DUMMYFUNCTION("""COMPUTED_VALUE"""),"1st M")</f>
        <v>1st M</v>
      </c>
      <c r="N297" s="25" t="str">
        <f ca="1">IFERROR(__xludf.DUMMYFUNCTION("""COMPUTED_VALUE"""),"Accepted")</f>
        <v>Accepted</v>
      </c>
      <c r="O297" s="28"/>
      <c r="P297" s="59"/>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c r="CA297" s="25"/>
      <c r="CB297" s="25"/>
    </row>
    <row r="298" spans="1:80" ht="12.75" hidden="1" customHeight="1">
      <c r="A298" s="10">
        <f ca="1">IFERROR(__xludf.DUMMYFUNCTION("""COMPUTED_VALUE"""),2007)</f>
        <v>2007</v>
      </c>
      <c r="B298" s="50">
        <f ca="1">IFERROR(__xludf.DUMMYFUNCTION("""COMPUTED_VALUE"""),39722)</f>
        <v>39722</v>
      </c>
      <c r="C298" s="41">
        <f ca="1">IFERROR(__xludf.DUMMYFUNCTION("""COMPUTED_VALUE"""),39703)</f>
        <v>39703</v>
      </c>
      <c r="D298" s="42" t="str">
        <f ca="1">IFERROR(__xludf.DUMMYFUNCTION("""COMPUTED_VALUE"""),"Red Kite")</f>
        <v>Red Kite</v>
      </c>
      <c r="E298" s="53">
        <f ca="1">IFERROR(__xludf.DUMMYFUNCTION("""COMPUTED_VALUE"""),1)</f>
        <v>1</v>
      </c>
      <c r="F298" s="15"/>
      <c r="G298" s="44" t="str">
        <f ca="1">IFERROR(__xludf.DUMMYFUNCTION("""COMPUTED_VALUE"""),"Crewe, Oakhanger (Oakhanger)")</f>
        <v>Crewe, Oakhanger (Oakhanger)</v>
      </c>
      <c r="H298" s="12">
        <f ca="1">IFERROR(__xludf.DUMMYFUNCTION("""COMPUTED_VALUE"""),39345)</f>
        <v>39345</v>
      </c>
      <c r="I298" s="12"/>
      <c r="J298" s="14" t="str">
        <f ca="1">IFERROR(__xludf.DUMMYFUNCTION("""COMPUTED_VALUE"""),"Woollen, P")</f>
        <v>Woollen, P</v>
      </c>
      <c r="K298" s="15"/>
      <c r="L298" s="17" t="str">
        <f ca="1">IFERROR(__xludf.DUMMYFUNCTION("""COMPUTED_VALUE"""),"closed")</f>
        <v>closed</v>
      </c>
      <c r="M298" s="17" t="str">
        <f ca="1">IFERROR(__xludf.DUMMYFUNCTION("""COMPUTED_VALUE"""),"1st U")</f>
        <v>1st U</v>
      </c>
      <c r="N298" s="15" t="str">
        <f ca="1">IFERROR(__xludf.DUMMYFUNCTION("""COMPUTED_VALUE"""),"Accepted")</f>
        <v>Accepted</v>
      </c>
      <c r="O298" s="18"/>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row>
    <row r="299" spans="1:80" ht="12.75" hidden="1" customHeight="1">
      <c r="A299" s="20">
        <f ca="1">IFERROR(__xludf.DUMMYFUNCTION("""COMPUTED_VALUE"""),2007)</f>
        <v>2007</v>
      </c>
      <c r="B299" s="45">
        <f ca="1">IFERROR(__xludf.DUMMYFUNCTION("""COMPUTED_VALUE"""),39468)</f>
        <v>39468</v>
      </c>
      <c r="C299" s="46" t="str">
        <f ca="1">IFERROR(__xludf.DUMMYFUNCTION("""COMPUTED_VALUE"""),"01/01/08")</f>
        <v>01/01/08</v>
      </c>
      <c r="D299" s="47" t="str">
        <f ca="1">IFERROR(__xludf.DUMMYFUNCTION("""COMPUTED_VALUE"""),"White-tailed eagle")</f>
        <v>White-tailed eagle</v>
      </c>
      <c r="E299" s="52">
        <f ca="1">IFERROR(__xludf.DUMMYFUNCTION("""COMPUTED_VALUE"""),1)</f>
        <v>1</v>
      </c>
      <c r="F299" s="25"/>
      <c r="G299" s="48" t="str">
        <f ca="1">IFERROR(__xludf.DUMMYFUNCTION("""COMPUTED_VALUE"""),"Heswall/Bidston")</f>
        <v>Heswall/Bidston</v>
      </c>
      <c r="H299" s="22">
        <f ca="1">IFERROR(__xludf.DUMMYFUNCTION("""COMPUTED_VALUE"""),39178)</f>
        <v>39178</v>
      </c>
      <c r="I299" s="23"/>
      <c r="J299" s="24" t="str">
        <f ca="1">IFERROR(__xludf.DUMMYFUNCTION("""COMPUTED_VALUE"""),"Woollen, P")</f>
        <v>Woollen, P</v>
      </c>
      <c r="K299" s="25" t="str">
        <f ca="1">IFERROR(__xludf.DUMMYFUNCTION("""COMPUTED_VALUE"""),"CE Wells")</f>
        <v>CE Wells</v>
      </c>
      <c r="L299" s="27" t="str">
        <f ca="1">IFERROR(__xludf.DUMMYFUNCTION("""COMPUTED_VALUE"""),"closed")</f>
        <v>closed</v>
      </c>
      <c r="M299" s="27" t="str">
        <f ca="1">IFERROR(__xludf.DUMMYFUNCTION("""COMPUTED_VALUE"""),"1st U")</f>
        <v>1st U</v>
      </c>
      <c r="N299" s="25" t="str">
        <f ca="1">IFERROR(__xludf.DUMMYFUNCTION("""COMPUTED_VALUE"""),"Accepted")</f>
        <v>Accepted</v>
      </c>
      <c r="O299" s="28"/>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c r="CA299" s="25"/>
      <c r="CB299" s="25"/>
    </row>
    <row r="300" spans="1:80" ht="12.75" hidden="1" customHeight="1">
      <c r="A300" s="10">
        <f ca="1">IFERROR(__xludf.DUMMYFUNCTION("""COMPUTED_VALUE"""),2007)</f>
        <v>2007</v>
      </c>
      <c r="B300" s="50">
        <f ca="1">IFERROR(__xludf.DUMMYFUNCTION("""COMPUTED_VALUE"""),39468)</f>
        <v>39468</v>
      </c>
      <c r="C300" s="41" t="str">
        <f ca="1">IFERROR(__xludf.DUMMYFUNCTION("""COMPUTED_VALUE"""),"01/01/08")</f>
        <v>01/01/08</v>
      </c>
      <c r="D300" s="42" t="str">
        <f ca="1">IFERROR(__xludf.DUMMYFUNCTION("""COMPUTED_VALUE"""),"White-tailed eagle")</f>
        <v>White-tailed eagle</v>
      </c>
      <c r="E300" s="53">
        <f ca="1">IFERROR(__xludf.DUMMYFUNCTION("""COMPUTED_VALUE"""),1)</f>
        <v>1</v>
      </c>
      <c r="F300" s="15"/>
      <c r="G300" s="44" t="str">
        <f ca="1">IFERROR(__xludf.DUMMYFUNCTION("""COMPUTED_VALUE"""),"Parkgate/Heswall")</f>
        <v>Parkgate/Heswall</v>
      </c>
      <c r="H300" s="12">
        <f ca="1">IFERROR(__xludf.DUMMYFUNCTION("""COMPUTED_VALUE"""),39178)</f>
        <v>39178</v>
      </c>
      <c r="I300" s="60"/>
      <c r="J300" s="14" t="str">
        <f ca="1">IFERROR(__xludf.DUMMYFUNCTION("""COMPUTED_VALUE"""),"Wells, CE")</f>
        <v>Wells, CE</v>
      </c>
      <c r="K300" s="15" t="str">
        <f ca="1">IFERROR(__xludf.DUMMYFUNCTION("""COMPUTED_VALUE"""),"Wells, CE")</f>
        <v>Wells, CE</v>
      </c>
      <c r="L300" s="17" t="str">
        <f ca="1">IFERROR(__xludf.DUMMYFUNCTION("""COMPUTED_VALUE"""),"closed")</f>
        <v>closed</v>
      </c>
      <c r="M300" s="17" t="str">
        <f ca="1">IFERROR(__xludf.DUMMYFUNCTION("""COMPUTED_VALUE"""),"1st U")</f>
        <v>1st U</v>
      </c>
      <c r="N300" s="15" t="str">
        <f ca="1">IFERROR(__xludf.DUMMYFUNCTION("""COMPUTED_VALUE"""),"Accepted")</f>
        <v>Accepted</v>
      </c>
      <c r="O300" s="18"/>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row>
    <row r="301" spans="1:80" ht="12.75" hidden="1" customHeight="1">
      <c r="A301" s="20">
        <f ca="1">IFERROR(__xludf.DUMMYFUNCTION("""COMPUTED_VALUE"""),2007)</f>
        <v>2007</v>
      </c>
      <c r="B301" s="45">
        <f ca="1">IFERROR(__xludf.DUMMYFUNCTION("""COMPUTED_VALUE"""),40239)</f>
        <v>40239</v>
      </c>
      <c r="C301" s="46">
        <f ca="1">IFERROR(__xludf.DUMMYFUNCTION("""COMPUTED_VALUE"""),40205)</f>
        <v>40205</v>
      </c>
      <c r="D301" s="47" t="str">
        <f ca="1">IFERROR(__xludf.DUMMYFUNCTION("""COMPUTED_VALUE"""),"White-tailed Eagle")</f>
        <v>White-tailed Eagle</v>
      </c>
      <c r="E301" s="52">
        <f ca="1">IFERROR(__xludf.DUMMYFUNCTION("""COMPUTED_VALUE"""),1)</f>
        <v>1</v>
      </c>
      <c r="F301" s="25"/>
      <c r="G301" s="48" t="str">
        <f ca="1">IFERROR(__xludf.DUMMYFUNCTION("""COMPUTED_VALUE"""),"Heswall")</f>
        <v>Heswall</v>
      </c>
      <c r="H301" s="22">
        <f ca="1">IFERROR(__xludf.DUMMYFUNCTION("""COMPUTED_VALUE"""),39178)</f>
        <v>39178</v>
      </c>
      <c r="I301" s="57"/>
      <c r="J301" s="24" t="str">
        <f ca="1">IFERROR(__xludf.DUMMYFUNCTION("""COMPUTED_VALUE"""),"Williams, SR")</f>
        <v>Williams, SR</v>
      </c>
      <c r="K301" s="25" t="str">
        <f ca="1">IFERROR(__xludf.DUMMYFUNCTION("""COMPUTED_VALUE"""),"CE Wells")</f>
        <v>CE Wells</v>
      </c>
      <c r="L301" s="27" t="str">
        <f ca="1">IFERROR(__xludf.DUMMYFUNCTION("""COMPUTED_VALUE"""),"closed")</f>
        <v>closed</v>
      </c>
      <c r="M301" s="27" t="str">
        <f ca="1">IFERROR(__xludf.DUMMYFUNCTION("""COMPUTED_VALUE"""),"1st U")</f>
        <v>1st U</v>
      </c>
      <c r="N301" s="25" t="str">
        <f ca="1">IFERROR(__xludf.DUMMYFUNCTION("""COMPUTED_VALUE"""),"Accepted")</f>
        <v>Accepted</v>
      </c>
      <c r="O301" s="28"/>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25"/>
      <c r="CA301" s="25"/>
      <c r="CB301" s="25"/>
    </row>
    <row r="302" spans="1:80" ht="12.75" hidden="1" customHeight="1">
      <c r="A302" s="10">
        <f ca="1">IFERROR(__xludf.DUMMYFUNCTION("""COMPUTED_VALUE"""),2007)</f>
        <v>2007</v>
      </c>
      <c r="B302" s="50">
        <f ca="1">IFERROR(__xludf.DUMMYFUNCTION("""COMPUTED_VALUE"""),39468)</f>
        <v>39468</v>
      </c>
      <c r="C302" s="41" t="str">
        <f ca="1">IFERROR(__xludf.DUMMYFUNCTION("""COMPUTED_VALUE"""),"01/01/08")</f>
        <v>01/01/08</v>
      </c>
      <c r="D302" s="42" t="str">
        <f ca="1">IFERROR(__xludf.DUMMYFUNCTION("""COMPUTED_VALUE"""),"Red-backed Shrike")</f>
        <v>Red-backed Shrike</v>
      </c>
      <c r="E302" s="53">
        <f ca="1">IFERROR(__xludf.DUMMYFUNCTION("""COMPUTED_VALUE"""),1)</f>
        <v>1</v>
      </c>
      <c r="F302" s="15"/>
      <c r="G302" s="44" t="str">
        <f ca="1">IFERROR(__xludf.DUMMYFUNCTION("""COMPUTED_VALUE"""),"Denhall Lane")</f>
        <v>Denhall Lane</v>
      </c>
      <c r="H302" s="12">
        <f ca="1">IFERROR(__xludf.DUMMYFUNCTION("""COMPUTED_VALUE"""),39257)</f>
        <v>39257</v>
      </c>
      <c r="I302" s="13"/>
      <c r="J302" s="14" t="str">
        <f ca="1">IFERROR(__xludf.DUMMYFUNCTION("""COMPUTED_VALUE"""),"Miles, MR")</f>
        <v>Miles, MR</v>
      </c>
      <c r="K302" s="15" t="str">
        <f ca="1">IFERROR(__xludf.DUMMYFUNCTION("""COMPUTED_VALUE"""),"unknown")</f>
        <v>unknown</v>
      </c>
      <c r="L302" s="17" t="str">
        <f ca="1">IFERROR(__xludf.DUMMYFUNCTION("""COMPUTED_VALUE"""),"closed")</f>
        <v>closed</v>
      </c>
      <c r="M302" s="17" t="str">
        <f ca="1">IFERROR(__xludf.DUMMYFUNCTION("""COMPUTED_VALUE"""),"1st U")</f>
        <v>1st U</v>
      </c>
      <c r="N302" s="15" t="str">
        <f ca="1">IFERROR(__xludf.DUMMYFUNCTION("""COMPUTED_VALUE"""),"Accepted")</f>
        <v>Accepted</v>
      </c>
      <c r="O302" s="18"/>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row>
    <row r="303" spans="1:80" ht="12.75" hidden="1" customHeight="1">
      <c r="A303" s="20">
        <f ca="1">IFERROR(__xludf.DUMMYFUNCTION("""COMPUTED_VALUE"""),2007)</f>
        <v>2007</v>
      </c>
      <c r="B303" s="45">
        <f ca="1">IFERROR(__xludf.DUMMYFUNCTION("""COMPUTED_VALUE"""),39865)</f>
        <v>39865</v>
      </c>
      <c r="C303" s="46">
        <f ca="1">IFERROR(__xludf.DUMMYFUNCTION("""COMPUTED_VALUE"""),39814)</f>
        <v>39814</v>
      </c>
      <c r="D303" s="47" t="str">
        <f ca="1">IFERROR(__xludf.DUMMYFUNCTION("""COMPUTED_VALUE"""),"Great Grey Shrike")</f>
        <v>Great Grey Shrike</v>
      </c>
      <c r="E303" s="52">
        <f ca="1">IFERROR(__xludf.DUMMYFUNCTION("""COMPUTED_VALUE"""),1)</f>
        <v>1</v>
      </c>
      <c r="F303" s="25"/>
      <c r="G303" s="48" t="str">
        <f ca="1">IFERROR(__xludf.DUMMYFUNCTION("""COMPUTED_VALUE"""),"Carr Lane, Hoylake (Hoylake)")</f>
        <v>Carr Lane, Hoylake (Hoylake)</v>
      </c>
      <c r="H303" s="22">
        <f ca="1">IFERROR(__xludf.DUMMYFUNCTION("""COMPUTED_VALUE"""),39376)</f>
        <v>39376</v>
      </c>
      <c r="I303" s="22">
        <f ca="1">IFERROR(__xludf.DUMMYFUNCTION("""COMPUTED_VALUE"""),39376)</f>
        <v>39376</v>
      </c>
      <c r="J303" s="24" t="str">
        <f ca="1">IFERROR(__xludf.DUMMYFUNCTION("""COMPUTED_VALUE"""),"Woollen, P")</f>
        <v>Woollen, P</v>
      </c>
      <c r="K303" s="25" t="str">
        <f ca="1">IFERROR(__xludf.DUMMYFUNCTION("""COMPUTED_VALUE"""),"Jon Greep")</f>
        <v>Jon Greep</v>
      </c>
      <c r="L303" s="27" t="str">
        <f ca="1">IFERROR(__xludf.DUMMYFUNCTION("""COMPUTED_VALUE"""),"closed")</f>
        <v>closed</v>
      </c>
      <c r="M303" s="27" t="str">
        <f ca="1">IFERROR(__xludf.DUMMYFUNCTION("""COMPUTED_VALUE"""),"1st U")</f>
        <v>1st U</v>
      </c>
      <c r="N303" s="25" t="str">
        <f ca="1">IFERROR(__xludf.DUMMYFUNCTION("""COMPUTED_VALUE"""),"Accepted")</f>
        <v>Accepted</v>
      </c>
      <c r="O303" s="28"/>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25"/>
      <c r="CA303" s="25"/>
      <c r="CB303" s="25"/>
    </row>
    <row r="304" spans="1:80" ht="12.75" hidden="1" customHeight="1">
      <c r="A304" s="10">
        <f ca="1">IFERROR(__xludf.DUMMYFUNCTION("""COMPUTED_VALUE"""),2007)</f>
        <v>2007</v>
      </c>
      <c r="B304" s="50">
        <f ca="1">IFERROR(__xludf.DUMMYFUNCTION("""COMPUTED_VALUE"""),40239)</f>
        <v>40239</v>
      </c>
      <c r="C304" s="41">
        <f ca="1">IFERROR(__xludf.DUMMYFUNCTION("""COMPUTED_VALUE"""),40205)</f>
        <v>40205</v>
      </c>
      <c r="D304" s="42" t="str">
        <f ca="1">IFERROR(__xludf.DUMMYFUNCTION("""COMPUTED_VALUE"""),"Great Grey Shrike")</f>
        <v>Great Grey Shrike</v>
      </c>
      <c r="E304" s="53">
        <f ca="1">IFERROR(__xludf.DUMMYFUNCTION("""COMPUTED_VALUE"""),1)</f>
        <v>1</v>
      </c>
      <c r="F304" s="15"/>
      <c r="G304" s="44" t="str">
        <f ca="1">IFERROR(__xludf.DUMMYFUNCTION("""COMPUTED_VALUE"""),"Hoylake Langfields")</f>
        <v>Hoylake Langfields</v>
      </c>
      <c r="H304" s="12">
        <f ca="1">IFERROR(__xludf.DUMMYFUNCTION("""COMPUTED_VALUE"""),39376)</f>
        <v>39376</v>
      </c>
      <c r="I304" s="13"/>
      <c r="J304" s="14" t="str">
        <f ca="1">IFERROR(__xludf.DUMMYFUNCTION("""COMPUTED_VALUE"""),"Williams, PG")</f>
        <v>Williams, PG</v>
      </c>
      <c r="K304" s="15" t="str">
        <f ca="1">IFERROR(__xludf.DUMMYFUNCTION("""COMPUTED_VALUE"""),"Jon Greep")</f>
        <v>Jon Greep</v>
      </c>
      <c r="L304" s="17" t="str">
        <f ca="1">IFERROR(__xludf.DUMMYFUNCTION("""COMPUTED_VALUE"""),"closed")</f>
        <v>closed</v>
      </c>
      <c r="M304" s="17" t="str">
        <f ca="1">IFERROR(__xludf.DUMMYFUNCTION("""COMPUTED_VALUE"""),"1st U")</f>
        <v>1st U</v>
      </c>
      <c r="N304" s="15" t="str">
        <f ca="1">IFERROR(__xludf.DUMMYFUNCTION("""COMPUTED_VALUE"""),"accepted")</f>
        <v>accepted</v>
      </c>
      <c r="O304" s="18"/>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row>
    <row r="305" spans="1:80" ht="12.75" hidden="1" customHeight="1">
      <c r="A305" s="20">
        <f ca="1">IFERROR(__xludf.DUMMYFUNCTION("""COMPUTED_VALUE"""),2007)</f>
        <v>2007</v>
      </c>
      <c r="B305" s="45">
        <f ca="1">IFERROR(__xludf.DUMMYFUNCTION("""COMPUTED_VALUE"""),39866)</f>
        <v>39866</v>
      </c>
      <c r="C305" s="46">
        <f ca="1">IFERROR(__xludf.DUMMYFUNCTION("""COMPUTED_VALUE"""),39824)</f>
        <v>39824</v>
      </c>
      <c r="D305" s="47" t="str">
        <f ca="1">IFERROR(__xludf.DUMMYFUNCTION("""COMPUTED_VALUE"""),"Yellow-browed Warbler")</f>
        <v>Yellow-browed Warbler</v>
      </c>
      <c r="E305" s="52">
        <f ca="1">IFERROR(__xludf.DUMMYFUNCTION("""COMPUTED_VALUE"""),2)</f>
        <v>2</v>
      </c>
      <c r="F305" s="25" t="str">
        <f ca="1">IFERROR(__xludf.DUMMYFUNCTION("""COMPUTED_VALUE"""),"one male")</f>
        <v>one male</v>
      </c>
      <c r="G305" s="48" t="str">
        <f ca="1">IFERROR(__xludf.DUMMYFUNCTION("""COMPUTED_VALUE"""),"Woolston Eyes")</f>
        <v>Woolston Eyes</v>
      </c>
      <c r="H305" s="22">
        <f ca="1">IFERROR(__xludf.DUMMYFUNCTION("""COMPUTED_VALUE"""),39360)</f>
        <v>39360</v>
      </c>
      <c r="I305" s="22" t="str">
        <f ca="1">IFERROR(__xludf.DUMMYFUNCTION("""COMPUTED_VALUE"""),"nb desc date is WRONG")</f>
        <v>nb desc date is WRONG</v>
      </c>
      <c r="J305" s="24" t="str">
        <f ca="1">IFERROR(__xludf.DUMMYFUNCTION("""COMPUTED_VALUE"""),"Riley, D")</f>
        <v>Riley, D</v>
      </c>
      <c r="K305" s="25"/>
      <c r="L305" s="27" t="str">
        <f ca="1">IFERROR(__xludf.DUMMYFUNCTION("""COMPUTED_VALUE"""),"closed")</f>
        <v>closed</v>
      </c>
      <c r="M305" s="27" t="str">
        <f ca="1">IFERROR(__xludf.DUMMYFUNCTION("""COMPUTED_VALUE"""),"1st U")</f>
        <v>1st U</v>
      </c>
      <c r="N305" s="25" t="str">
        <f ca="1">IFERROR(__xludf.DUMMYFUNCTION("""COMPUTED_VALUE"""),"Accepted")</f>
        <v>Accepted</v>
      </c>
      <c r="O305" s="28"/>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25"/>
      <c r="CA305" s="25"/>
      <c r="CB305" s="25"/>
    </row>
    <row r="306" spans="1:80" ht="12.75" hidden="1" customHeight="1">
      <c r="A306" s="10">
        <f ca="1">IFERROR(__xludf.DUMMYFUNCTION("""COMPUTED_VALUE"""),2007)</f>
        <v>2007</v>
      </c>
      <c r="B306" s="50">
        <f ca="1">IFERROR(__xludf.DUMMYFUNCTION("""COMPUTED_VALUE"""),39468)</f>
        <v>39468</v>
      </c>
      <c r="C306" s="41" t="str">
        <f ca="1">IFERROR(__xludf.DUMMYFUNCTION("""COMPUTED_VALUE"""),"01/01/08")</f>
        <v>01/01/08</v>
      </c>
      <c r="D306" s="42" t="str">
        <f ca="1">IFERROR(__xludf.DUMMYFUNCTION("""COMPUTED_VALUE"""),"Yellow-browed warbler")</f>
        <v>Yellow-browed warbler</v>
      </c>
      <c r="E306" s="53">
        <f ca="1">IFERROR(__xludf.DUMMYFUNCTION("""COMPUTED_VALUE"""),1)</f>
        <v>1</v>
      </c>
      <c r="F306" s="15"/>
      <c r="G306" s="44" t="str">
        <f ca="1">IFERROR(__xludf.DUMMYFUNCTION("""COMPUTED_VALUE"""),"Crewe")</f>
        <v>Crewe</v>
      </c>
      <c r="H306" s="12">
        <f ca="1">IFERROR(__xludf.DUMMYFUNCTION("""COMPUTED_VALUE"""),39140)</f>
        <v>39140</v>
      </c>
      <c r="I306" s="13"/>
      <c r="J306" s="14" t="str">
        <f ca="1">IFERROR(__xludf.DUMMYFUNCTION("""COMPUTED_VALUE"""),"Stubbs, M")</f>
        <v>Stubbs, M</v>
      </c>
      <c r="K306" s="15" t="str">
        <f ca="1">IFERROR(__xludf.DUMMYFUNCTION("""COMPUTED_VALUE"""),"M Stubbs")</f>
        <v>M Stubbs</v>
      </c>
      <c r="L306" s="61" t="str">
        <f ca="1">IFERROR(__xludf.DUMMYFUNCTION("""COMPUTED_VALUE"""),"closed")</f>
        <v>closed</v>
      </c>
      <c r="M306" s="17" t="str">
        <f ca="1">IFERROR(__xludf.DUMMYFUNCTION("""COMPUTED_VALUE"""),"1st U")</f>
        <v>1st U</v>
      </c>
      <c r="N306" s="15" t="str">
        <f ca="1">IFERROR(__xludf.DUMMYFUNCTION("""COMPUTED_VALUE"""),"Accepted")</f>
        <v>Accepted</v>
      </c>
      <c r="O306" s="18"/>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row>
    <row r="307" spans="1:80" ht="12.75" hidden="1" customHeight="1">
      <c r="A307" s="20">
        <f ca="1">IFERROR(__xludf.DUMMYFUNCTION("""COMPUTED_VALUE"""),2007)</f>
        <v>2007</v>
      </c>
      <c r="B307" s="45">
        <f ca="1">IFERROR(__xludf.DUMMYFUNCTION("""COMPUTED_VALUE"""),39468)</f>
        <v>39468</v>
      </c>
      <c r="C307" s="46" t="str">
        <f ca="1">IFERROR(__xludf.DUMMYFUNCTION("""COMPUTED_VALUE"""),"01/01/08")</f>
        <v>01/01/08</v>
      </c>
      <c r="D307" s="47" t="str">
        <f ca="1">IFERROR(__xludf.DUMMYFUNCTION("""COMPUTED_VALUE"""),"Yellow-browed warbler")</f>
        <v>Yellow-browed warbler</v>
      </c>
      <c r="E307" s="52">
        <f ca="1">IFERROR(__xludf.DUMMYFUNCTION("""COMPUTED_VALUE"""),1)</f>
        <v>1</v>
      </c>
      <c r="F307" s="25"/>
      <c r="G307" s="48" t="str">
        <f ca="1">IFERROR(__xludf.DUMMYFUNCTION("""COMPUTED_VALUE"""),"Crewe")</f>
        <v>Crewe</v>
      </c>
      <c r="H307" s="22">
        <f ca="1">IFERROR(__xludf.DUMMYFUNCTION("""COMPUTED_VALUE"""),39165)</f>
        <v>39165</v>
      </c>
      <c r="I307" s="23"/>
      <c r="J307" s="24" t="str">
        <f ca="1">IFERROR(__xludf.DUMMYFUNCTION("""COMPUTED_VALUE"""),"Woollen, P")</f>
        <v>Woollen, P</v>
      </c>
      <c r="K307" s="25" t="str">
        <f ca="1">IFERROR(__xludf.DUMMYFUNCTION("""COMPUTED_VALUE"""),"M Stubbs")</f>
        <v>M Stubbs</v>
      </c>
      <c r="L307" s="27" t="str">
        <f ca="1">IFERROR(__xludf.DUMMYFUNCTION("""COMPUTED_VALUE"""),"closed")</f>
        <v>closed</v>
      </c>
      <c r="M307" s="27" t="str">
        <f ca="1">IFERROR(__xludf.DUMMYFUNCTION("""COMPUTED_VALUE"""),"1st U")</f>
        <v>1st U</v>
      </c>
      <c r="N307" s="25" t="str">
        <f ca="1">IFERROR(__xludf.DUMMYFUNCTION("""COMPUTED_VALUE"""),"Accepted")</f>
        <v>Accepted</v>
      </c>
      <c r="O307" s="28"/>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row>
    <row r="308" spans="1:80" ht="12.75" hidden="1" customHeight="1">
      <c r="A308" s="10">
        <f ca="1">IFERROR(__xludf.DUMMYFUNCTION("""COMPUTED_VALUE"""),2007)</f>
        <v>2007</v>
      </c>
      <c r="B308" s="50">
        <f ca="1">IFERROR(__xludf.DUMMYFUNCTION("""COMPUTED_VALUE"""),39468)</f>
        <v>39468</v>
      </c>
      <c r="C308" s="41" t="str">
        <f ca="1">IFERROR(__xludf.DUMMYFUNCTION("""COMPUTED_VALUE"""),"01/01/08")</f>
        <v>01/01/08</v>
      </c>
      <c r="D308" s="42" t="str">
        <f ca="1">IFERROR(__xludf.DUMMYFUNCTION("""COMPUTED_VALUE"""),"Yellow-browed warbler")</f>
        <v>Yellow-browed warbler</v>
      </c>
      <c r="E308" s="53">
        <f ca="1">IFERROR(__xludf.DUMMYFUNCTION("""COMPUTED_VALUE"""),1)</f>
        <v>1</v>
      </c>
      <c r="F308" s="15"/>
      <c r="G308" s="44" t="str">
        <f ca="1">IFERROR(__xludf.DUMMYFUNCTION("""COMPUTED_VALUE"""),"Crewe")</f>
        <v>Crewe</v>
      </c>
      <c r="H308" s="12">
        <f ca="1">IFERROR(__xludf.DUMMYFUNCTION("""COMPUTED_VALUE"""),39168)</f>
        <v>39168</v>
      </c>
      <c r="I308" s="12"/>
      <c r="J308" s="14" t="str">
        <f ca="1">IFERROR(__xludf.DUMMYFUNCTION("""COMPUTED_VALUE"""),"Smallwood, R")</f>
        <v>Smallwood, R</v>
      </c>
      <c r="K308" s="15" t="str">
        <f ca="1">IFERROR(__xludf.DUMMYFUNCTION("""COMPUTED_VALUE"""),"M Stubbs")</f>
        <v>M Stubbs</v>
      </c>
      <c r="L308" s="17" t="str">
        <f ca="1">IFERROR(__xludf.DUMMYFUNCTION("""COMPUTED_VALUE"""),"closed")</f>
        <v>closed</v>
      </c>
      <c r="M308" s="17" t="str">
        <f ca="1">IFERROR(__xludf.DUMMYFUNCTION("""COMPUTED_VALUE"""),"1st U")</f>
        <v>1st U</v>
      </c>
      <c r="N308" s="15" t="str">
        <f ca="1">IFERROR(__xludf.DUMMYFUNCTION("""COMPUTED_VALUE"""),"Accepted")</f>
        <v>Accepted</v>
      </c>
      <c r="O308" s="18"/>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row>
    <row r="309" spans="1:80" ht="12.75" hidden="1" customHeight="1">
      <c r="A309" s="20">
        <f ca="1">IFERROR(__xludf.DUMMYFUNCTION("""COMPUTED_VALUE"""),2007)</f>
        <v>2007</v>
      </c>
      <c r="B309" s="45">
        <f ca="1">IFERROR(__xludf.DUMMYFUNCTION("""COMPUTED_VALUE"""),39468)</f>
        <v>39468</v>
      </c>
      <c r="C309" s="46" t="str">
        <f ca="1">IFERROR(__xludf.DUMMYFUNCTION("""COMPUTED_VALUE"""),"01/01/08")</f>
        <v>01/01/08</v>
      </c>
      <c r="D309" s="47" t="str">
        <f ca="1">IFERROR(__xludf.DUMMYFUNCTION("""COMPUTED_VALUE"""),"Yellow-browed warbler")</f>
        <v>Yellow-browed warbler</v>
      </c>
      <c r="E309" s="52">
        <f ca="1">IFERROR(__xludf.DUMMYFUNCTION("""COMPUTED_VALUE"""),1)</f>
        <v>1</v>
      </c>
      <c r="F309" s="25"/>
      <c r="G309" s="48" t="str">
        <f ca="1">IFERROR(__xludf.DUMMYFUNCTION("""COMPUTED_VALUE"""),"Weston Point, Runcorn")</f>
        <v>Weston Point, Runcorn</v>
      </c>
      <c r="H309" s="22">
        <f ca="1">IFERROR(__xludf.DUMMYFUNCTION("""COMPUTED_VALUE"""),39366)</f>
        <v>39366</v>
      </c>
      <c r="I309" s="22"/>
      <c r="J309" s="24"/>
      <c r="K309" s="25"/>
      <c r="L309" s="27" t="str">
        <f ca="1">IFERROR(__xludf.DUMMYFUNCTION("""COMPUTED_VALUE"""),"closed")</f>
        <v>closed</v>
      </c>
      <c r="M309" s="27" t="str">
        <f ca="1">IFERROR(__xludf.DUMMYFUNCTION("""COMPUTED_VALUE"""),"3rd U")</f>
        <v>3rd U</v>
      </c>
      <c r="N309" s="25" t="str">
        <f ca="1">IFERROR(__xludf.DUMMYFUNCTION("""COMPUTED_VALUE"""),"unproven")</f>
        <v>unproven</v>
      </c>
      <c r="O309" s="28" t="str">
        <f ca="1">IFERROR(__xludf.DUMMYFUNCTION("""COMPUTED_VALUE"""),"The committee thought that the ID was most likely correct, but as a minimum, a bird should be seen and ideally a warbler for this species.")</f>
        <v>The committee thought that the ID was most likely correct, but as a minimum, a bird should be seen and ideally a warbler for this species.</v>
      </c>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25"/>
      <c r="CA309" s="25"/>
      <c r="CB309" s="25"/>
    </row>
    <row r="310" spans="1:80" ht="12.75" hidden="1" customHeight="1">
      <c r="A310" s="10">
        <f ca="1">IFERROR(__xludf.DUMMYFUNCTION("""COMPUTED_VALUE"""),2007)</f>
        <v>2007</v>
      </c>
      <c r="B310" s="50">
        <f ca="1">IFERROR(__xludf.DUMMYFUNCTION("""COMPUTED_VALUE"""),39468)</f>
        <v>39468</v>
      </c>
      <c r="C310" s="41" t="str">
        <f ca="1">IFERROR(__xludf.DUMMYFUNCTION("""COMPUTED_VALUE"""),"01/01/08")</f>
        <v>01/01/08</v>
      </c>
      <c r="D310" s="42" t="str">
        <f ca="1">IFERROR(__xludf.DUMMYFUNCTION("""COMPUTED_VALUE"""),"Radde's Warbler")</f>
        <v>Radde's Warbler</v>
      </c>
      <c r="E310" s="53">
        <f ca="1">IFERROR(__xludf.DUMMYFUNCTION("""COMPUTED_VALUE"""),1)</f>
        <v>1</v>
      </c>
      <c r="F310" s="15"/>
      <c r="G310" s="44" t="str">
        <f ca="1">IFERROR(__xludf.DUMMYFUNCTION("""COMPUTED_VALUE"""),"Lingham Lane, Leasowe")</f>
        <v>Lingham Lane, Leasowe</v>
      </c>
      <c r="H310" s="12">
        <f ca="1">IFERROR(__xludf.DUMMYFUNCTION("""COMPUTED_VALUE"""),39371)</f>
        <v>39371</v>
      </c>
      <c r="I310" s="12"/>
      <c r="J310" s="14" t="str">
        <f ca="1">IFERROR(__xludf.DUMMYFUNCTION("""COMPUTED_VALUE"""),"Jones, C (colin)")</f>
        <v>Jones, C (colin)</v>
      </c>
      <c r="K310" s="15" t="str">
        <f ca="1">IFERROR(__xludf.DUMMYFUNCTION("""COMPUTED_VALUE"""),"Jones, C (colin)")</f>
        <v>Jones, C (colin)</v>
      </c>
      <c r="L310" s="17" t="str">
        <f ca="1">IFERROR(__xludf.DUMMYFUNCTION("""COMPUTED_VALUE"""),"closed")</f>
        <v>closed</v>
      </c>
      <c r="M310" s="17" t="str">
        <f ca="1">IFERROR(__xludf.DUMMYFUNCTION("""COMPUTED_VALUE"""),"1st U")</f>
        <v>1st U</v>
      </c>
      <c r="N310" s="15" t="str">
        <f ca="1">IFERROR(__xludf.DUMMYFUNCTION("""COMPUTED_VALUE"""),"Accepted")</f>
        <v>Accepted</v>
      </c>
      <c r="O310" s="18"/>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row>
    <row r="311" spans="1:80" ht="12.75" hidden="1" customHeight="1">
      <c r="A311" s="20">
        <f ca="1">IFERROR(__xludf.DUMMYFUNCTION("""COMPUTED_VALUE"""),2007)</f>
        <v>2007</v>
      </c>
      <c r="B311" s="45">
        <f ca="1">IFERROR(__xludf.DUMMYFUNCTION("""COMPUTED_VALUE"""),39468)</f>
        <v>39468</v>
      </c>
      <c r="C311" s="46" t="str">
        <f ca="1">IFERROR(__xludf.DUMMYFUNCTION("""COMPUTED_VALUE"""),"01/01/08")</f>
        <v>01/01/08</v>
      </c>
      <c r="D311" s="47" t="str">
        <f ca="1">IFERROR(__xludf.DUMMYFUNCTION("""COMPUTED_VALUE"""),"Barred Warbler")</f>
        <v>Barred Warbler</v>
      </c>
      <c r="E311" s="52">
        <f ca="1">IFERROR(__xludf.DUMMYFUNCTION("""COMPUTED_VALUE"""),1)</f>
        <v>1</v>
      </c>
      <c r="F311" s="25"/>
      <c r="G311" s="48" t="str">
        <f ca="1">IFERROR(__xludf.DUMMYFUNCTION("""COMPUTED_VALUE"""),"Frodsham Marsh")</f>
        <v>Frodsham Marsh</v>
      </c>
      <c r="H311" s="22">
        <f ca="1">IFERROR(__xludf.DUMMYFUNCTION("""COMPUTED_VALUE"""),39331)</f>
        <v>39331</v>
      </c>
      <c r="I311" s="23"/>
      <c r="J311" s="24"/>
      <c r="K311" s="25"/>
      <c r="L311" s="27" t="str">
        <f ca="1">IFERROR(__xludf.DUMMYFUNCTION("""COMPUTED_VALUE"""),"closed")</f>
        <v>closed</v>
      </c>
      <c r="M311" s="27" t="str">
        <f ca="1">IFERROR(__xludf.DUMMYFUNCTION("""COMPUTED_VALUE"""),"3rd u")</f>
        <v>3rd u</v>
      </c>
      <c r="N311" s="25" t="str">
        <f ca="1">IFERROR(__xludf.DUMMYFUNCTION("""COMPUTED_VALUE"""),"unproven")</f>
        <v>unproven</v>
      </c>
      <c r="O311" s="28"/>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c r="BU311" s="25"/>
      <c r="BV311" s="25"/>
      <c r="BW311" s="25"/>
      <c r="BX311" s="25"/>
      <c r="BY311" s="25"/>
      <c r="BZ311" s="25"/>
      <c r="CA311" s="25"/>
      <c r="CB311" s="25"/>
    </row>
    <row r="312" spans="1:80" ht="12.75" hidden="1" customHeight="1">
      <c r="A312" s="10">
        <f ca="1">IFERROR(__xludf.DUMMYFUNCTION("""COMPUTED_VALUE"""),2007)</f>
        <v>2007</v>
      </c>
      <c r="B312" s="50">
        <f ca="1">IFERROR(__xludf.DUMMYFUNCTION("""COMPUTED_VALUE"""),39468)</f>
        <v>39468</v>
      </c>
      <c r="C312" s="41" t="str">
        <f ca="1">IFERROR(__xludf.DUMMYFUNCTION("""COMPUTED_VALUE"""),"01/01/08")</f>
        <v>01/01/08</v>
      </c>
      <c r="D312" s="42" t="str">
        <f ca="1">IFERROR(__xludf.DUMMYFUNCTION("""COMPUTED_VALUE"""),"Rose-coloured starling")</f>
        <v>Rose-coloured starling</v>
      </c>
      <c r="E312" s="53">
        <f ca="1">IFERROR(__xludf.DUMMYFUNCTION("""COMPUTED_VALUE"""),1)</f>
        <v>1</v>
      </c>
      <c r="F312" s="15"/>
      <c r="G312" s="44" t="str">
        <f ca="1">IFERROR(__xludf.DUMMYFUNCTION("""COMPUTED_VALUE"""),"Winsford")</f>
        <v>Winsford</v>
      </c>
      <c r="H312" s="12">
        <f ca="1">IFERROR(__xludf.DUMMYFUNCTION("""COMPUTED_VALUE"""),39247)</f>
        <v>39247</v>
      </c>
      <c r="I312" s="13"/>
      <c r="J312" s="14" t="str">
        <f ca="1">IFERROR(__xludf.DUMMYFUNCTION("""COMPUTED_VALUE"""),"Allen, EA")</f>
        <v>Allen, EA</v>
      </c>
      <c r="K312" s="15" t="str">
        <f ca="1">IFERROR(__xludf.DUMMYFUNCTION("""COMPUTED_VALUE"""),"Allen, EA")</f>
        <v>Allen, EA</v>
      </c>
      <c r="L312" s="17" t="str">
        <f ca="1">IFERROR(__xludf.DUMMYFUNCTION("""COMPUTED_VALUE"""),"closed")</f>
        <v>closed</v>
      </c>
      <c r="M312" s="17" t="str">
        <f ca="1">IFERROR(__xludf.DUMMYFUNCTION("""COMPUTED_VALUE"""),"1st U")</f>
        <v>1st U</v>
      </c>
      <c r="N312" s="15" t="str">
        <f ca="1">IFERROR(__xludf.DUMMYFUNCTION("""COMPUTED_VALUE"""),"Accepted")</f>
        <v>Accepted</v>
      </c>
      <c r="O312" s="18"/>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row>
    <row r="313" spans="1:80" ht="12.75" hidden="1" customHeight="1">
      <c r="A313" s="20">
        <f ca="1">IFERROR(__xludf.DUMMYFUNCTION("""COMPUTED_VALUE"""),2007)</f>
        <v>2007</v>
      </c>
      <c r="B313" s="45">
        <f ca="1">IFERROR(__xludf.DUMMYFUNCTION("""COMPUTED_VALUE"""),39955)</f>
        <v>39955</v>
      </c>
      <c r="C313" s="46">
        <f ca="1">IFERROR(__xludf.DUMMYFUNCTION("""COMPUTED_VALUE"""),39921)</f>
        <v>39921</v>
      </c>
      <c r="D313" s="47" t="str">
        <f ca="1">IFERROR(__xludf.DUMMYFUNCTION("""COMPUTED_VALUE"""),"Black Redstart")</f>
        <v>Black Redstart</v>
      </c>
      <c r="E313" s="52">
        <f ca="1">IFERROR(__xludf.DUMMYFUNCTION("""COMPUTED_VALUE"""),1)</f>
        <v>1</v>
      </c>
      <c r="F313" s="25"/>
      <c r="G313" s="48" t="str">
        <f ca="1">IFERROR(__xludf.DUMMYFUNCTION("""COMPUTED_VALUE"""),"Tattenhall")</f>
        <v>Tattenhall</v>
      </c>
      <c r="H313" s="22">
        <f ca="1">IFERROR(__xludf.DUMMYFUNCTION("""COMPUTED_VALUE"""),39433)</f>
        <v>39433</v>
      </c>
      <c r="I313" s="22">
        <f ca="1">IFERROR(__xludf.DUMMYFUNCTION("""COMPUTED_VALUE"""),39451)</f>
        <v>39451</v>
      </c>
      <c r="J313" s="24" t="str">
        <f ca="1">IFERROR(__xludf.DUMMYFUNCTION("""COMPUTED_VALUE"""),"Friswell, N")</f>
        <v>Friswell, N</v>
      </c>
      <c r="K313" s="25"/>
      <c r="L313" s="27" t="str">
        <f ca="1">IFERROR(__xludf.DUMMYFUNCTION("""COMPUTED_VALUE"""),"closed")</f>
        <v>closed</v>
      </c>
      <c r="M313" s="27" t="str">
        <f ca="1">IFERROR(__xludf.DUMMYFUNCTION("""COMPUTED_VALUE"""),"1st U")</f>
        <v>1st U</v>
      </c>
      <c r="N313" s="25" t="str">
        <f ca="1">IFERROR(__xludf.DUMMYFUNCTION("""COMPUTED_VALUE"""),"Accepted")</f>
        <v>Accepted</v>
      </c>
      <c r="O313" s="28" t="str">
        <f ca="1">IFERROR(__xludf.DUMMYFUNCTION("""COMPUTED_VALUE"""),"male: first seen on 16/12 and present till early 2008: in farmyard")</f>
        <v>male: first seen on 16/12 and present till early 2008: in farmyard</v>
      </c>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c r="BU313" s="25"/>
      <c r="BV313" s="25"/>
      <c r="BW313" s="25"/>
      <c r="BX313" s="25"/>
      <c r="BY313" s="25"/>
      <c r="BZ313" s="25"/>
      <c r="CA313" s="25"/>
      <c r="CB313" s="25"/>
    </row>
    <row r="314" spans="1:80" ht="12.75" hidden="1" customHeight="1">
      <c r="A314" s="10">
        <f ca="1">IFERROR(__xludf.DUMMYFUNCTION("""COMPUTED_VALUE"""),2007)</f>
        <v>2007</v>
      </c>
      <c r="B314" s="50">
        <f ca="1">IFERROR(__xludf.DUMMYFUNCTION("""COMPUTED_VALUE"""),44568)</f>
        <v>44568</v>
      </c>
      <c r="C314" s="41"/>
      <c r="D314" s="42" t="str">
        <f ca="1">IFERROR(__xludf.DUMMYFUNCTION("""COMPUTED_VALUE"""),"Desert Wheatear")</f>
        <v>Desert Wheatear</v>
      </c>
      <c r="E314" s="53">
        <f ca="1">IFERROR(__xludf.DUMMYFUNCTION("""COMPUTED_VALUE"""),1)</f>
        <v>1</v>
      </c>
      <c r="F314" s="15"/>
      <c r="G314" s="44" t="str">
        <f ca="1">IFERROR(__xludf.DUMMYFUNCTION("""COMPUTED_VALUE"""),"Crewe")</f>
        <v>Crewe</v>
      </c>
      <c r="H314" s="12">
        <f ca="1">IFERROR(__xludf.DUMMYFUNCTION("""COMPUTED_VALUE"""),39428)</f>
        <v>39428</v>
      </c>
      <c r="I314" s="13"/>
      <c r="J314" s="14"/>
      <c r="K314" s="15"/>
      <c r="L314" s="17" t="str">
        <f ca="1">IFERROR(__xludf.DUMMYFUNCTION("""COMPUTED_VALUE"""),"closed")</f>
        <v>closed</v>
      </c>
      <c r="M314" s="17"/>
      <c r="N314" s="15" t="str">
        <f ca="1">IFERROR(__xludf.DUMMYFUNCTION("""COMPUTED_VALUE"""),"BBRC-OK")</f>
        <v>BBRC-OK</v>
      </c>
      <c r="O314" s="18" t="str">
        <f ca="1">IFERROR(__xludf.DUMMYFUNCTION("""COMPUTED_VALUE"""),"Crewe, male, 12th to 14th December, photo.")</f>
        <v>Crewe, male, 12th to 14th December, photo.</v>
      </c>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row>
    <row r="315" spans="1:80" ht="12.75" hidden="1" customHeight="1">
      <c r="A315" s="20">
        <f ca="1">IFERROR(__xludf.DUMMYFUNCTION("""COMPUTED_VALUE"""),2007)</f>
        <v>2007</v>
      </c>
      <c r="B315" s="45">
        <f ca="1">IFERROR(__xludf.DUMMYFUNCTION("""COMPUTED_VALUE"""),39468)</f>
        <v>39468</v>
      </c>
      <c r="C315" s="46" t="str">
        <f ca="1">IFERROR(__xludf.DUMMYFUNCTION("""COMPUTED_VALUE"""),"01/01/08")</f>
        <v>01/01/08</v>
      </c>
      <c r="D315" s="47" t="str">
        <f ca="1">IFERROR(__xludf.DUMMYFUNCTION("""COMPUTED_VALUE"""),"YellowxBlue-headed Wagtail [Channel]")</f>
        <v>YellowxBlue-headed Wagtail [Channel]</v>
      </c>
      <c r="E315" s="52">
        <f ca="1">IFERROR(__xludf.DUMMYFUNCTION("""COMPUTED_VALUE"""),1)</f>
        <v>1</v>
      </c>
      <c r="F315" s="25"/>
      <c r="G315" s="48" t="str">
        <f ca="1">IFERROR(__xludf.DUMMYFUNCTION("""COMPUTED_VALUE"""),"Frodsham Marsh")</f>
        <v>Frodsham Marsh</v>
      </c>
      <c r="H315" s="22">
        <f ca="1">IFERROR(__xludf.DUMMYFUNCTION("""COMPUTED_VALUE"""),39200)</f>
        <v>39200</v>
      </c>
      <c r="I315" s="22">
        <f ca="1">IFERROR(__xludf.DUMMYFUNCTION("""COMPUTED_VALUE"""),39201)</f>
        <v>39201</v>
      </c>
      <c r="J315" s="24" t="str">
        <f ca="1">IFERROR(__xludf.DUMMYFUNCTION("""COMPUTED_VALUE"""),"Woollen, P")</f>
        <v>Woollen, P</v>
      </c>
      <c r="K315" s="25" t="str">
        <f ca="1">IFERROR(__xludf.DUMMYFUNCTION("""COMPUTED_VALUE"""),"unknown")</f>
        <v>unknown</v>
      </c>
      <c r="L315" s="27" t="str">
        <f ca="1">IFERROR(__xludf.DUMMYFUNCTION("""COMPUTED_VALUE"""),"closed")</f>
        <v>closed</v>
      </c>
      <c r="M315" s="27" t="str">
        <f ca="1">IFERROR(__xludf.DUMMYFUNCTION("""COMPUTED_VALUE"""),"1st U")</f>
        <v>1st U</v>
      </c>
      <c r="N315" s="25" t="str">
        <f ca="1">IFERROR(__xludf.DUMMYFUNCTION("""COMPUTED_VALUE"""),"Accepted")</f>
        <v>Accepted</v>
      </c>
      <c r="O315" s="28"/>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c r="BU315" s="25"/>
      <c r="BV315" s="25"/>
      <c r="BW315" s="25"/>
      <c r="BX315" s="25"/>
      <c r="BY315" s="25"/>
      <c r="BZ315" s="25"/>
      <c r="CA315" s="25"/>
      <c r="CB315" s="25"/>
    </row>
    <row r="316" spans="1:80" ht="12.75" hidden="1" customHeight="1">
      <c r="A316" s="10">
        <f ca="1">IFERROR(__xludf.DUMMYFUNCTION("""COMPUTED_VALUE"""),2007)</f>
        <v>2007</v>
      </c>
      <c r="B316" s="50"/>
      <c r="C316" s="41">
        <f ca="1">IFERROR(__xludf.DUMMYFUNCTION("""COMPUTED_VALUE"""),39448)</f>
        <v>39448</v>
      </c>
      <c r="D316" s="42" t="str">
        <f ca="1">IFERROR(__xludf.DUMMYFUNCTION("""COMPUTED_VALUE"""),"Richard's Pipit")</f>
        <v>Richard's Pipit</v>
      </c>
      <c r="E316" s="53">
        <f ca="1">IFERROR(__xludf.DUMMYFUNCTION("""COMPUTED_VALUE"""),1)</f>
        <v>1</v>
      </c>
      <c r="F316" s="15"/>
      <c r="G316" s="44" t="str">
        <f ca="1">IFERROR(__xludf.DUMMYFUNCTION("""COMPUTED_VALUE"""),"Burton Point")</f>
        <v>Burton Point</v>
      </c>
      <c r="H316" s="12">
        <f ca="1">IFERROR(__xludf.DUMMYFUNCTION("""COMPUTED_VALUE"""),39417)</f>
        <v>39417</v>
      </c>
      <c r="I316" s="12">
        <f ca="1">IFERROR(__xludf.DUMMYFUNCTION("""COMPUTED_VALUE"""),39417)</f>
        <v>39417</v>
      </c>
      <c r="J316" s="14" t="str">
        <f ca="1">IFERROR(__xludf.DUMMYFUNCTION("""COMPUTED_VALUE"""),"Taylor, S")</f>
        <v>Taylor, S</v>
      </c>
      <c r="K316" s="15" t="str">
        <f ca="1">IFERROR(__xludf.DUMMYFUNCTION("""COMPUTED_VALUE"""),"C.Wells")</f>
        <v>C.Wells</v>
      </c>
      <c r="L316" s="17" t="str">
        <f ca="1">IFERROR(__xludf.DUMMYFUNCTION("""COMPUTED_VALUE"""),"closed")</f>
        <v>closed</v>
      </c>
      <c r="M316" s="17" t="str">
        <f ca="1">IFERROR(__xludf.DUMMYFUNCTION("""COMPUTED_VALUE"""),"1st U")</f>
        <v>1st U</v>
      </c>
      <c r="N316" s="15" t="str">
        <f ca="1">IFERROR(__xludf.DUMMYFUNCTION("""COMPUTED_VALUE"""),"Accepted")</f>
        <v>Accepted</v>
      </c>
      <c r="O316" s="18"/>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row>
    <row r="317" spans="1:80" ht="12.75" hidden="1" customHeight="1">
      <c r="A317" s="20">
        <f ca="1">IFERROR(__xludf.DUMMYFUNCTION("""COMPUTED_VALUE"""),2007)</f>
        <v>2007</v>
      </c>
      <c r="B317" s="45">
        <f ca="1">IFERROR(__xludf.DUMMYFUNCTION("""COMPUTED_VALUE"""),39468)</f>
        <v>39468</v>
      </c>
      <c r="C317" s="46" t="str">
        <f ca="1">IFERROR(__xludf.DUMMYFUNCTION("""COMPUTED_VALUE"""),"01/01/08")</f>
        <v>01/01/08</v>
      </c>
      <c r="D317" s="47" t="str">
        <f ca="1">IFERROR(__xludf.DUMMYFUNCTION("""COMPUTED_VALUE"""),"Hawfinch")</f>
        <v>Hawfinch</v>
      </c>
      <c r="E317" s="52">
        <f ca="1">IFERROR(__xludf.DUMMYFUNCTION("""COMPUTED_VALUE"""),1)</f>
        <v>1</v>
      </c>
      <c r="F317" s="25"/>
      <c r="G317" s="48" t="str">
        <f ca="1">IFERROR(__xludf.DUMMYFUNCTION("""COMPUTED_VALUE"""),"Tatton Park")</f>
        <v>Tatton Park</v>
      </c>
      <c r="H317" s="22">
        <f ca="1">IFERROR(__xludf.DUMMYFUNCTION("""COMPUTED_VALUE"""),39219)</f>
        <v>39219</v>
      </c>
      <c r="I317" s="23"/>
      <c r="J317" s="24"/>
      <c r="K317" s="25"/>
      <c r="L317" s="27" t="str">
        <f ca="1">IFERROR(__xludf.DUMMYFUNCTION("""COMPUTED_VALUE"""),"closed")</f>
        <v>closed</v>
      </c>
      <c r="M317" s="27" t="str">
        <f ca="1">IFERROR(__xludf.DUMMYFUNCTION("""COMPUTED_VALUE"""),"1st U")</f>
        <v>1st U</v>
      </c>
      <c r="N317" s="25" t="str">
        <f ca="1">IFERROR(__xludf.DUMMYFUNCTION("""COMPUTED_VALUE"""),"unproven")</f>
        <v>unproven</v>
      </c>
      <c r="O317" s="28"/>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c r="BU317" s="25"/>
      <c r="BV317" s="25"/>
      <c r="BW317" s="25"/>
      <c r="BX317" s="25"/>
      <c r="BY317" s="25"/>
      <c r="BZ317" s="25"/>
      <c r="CA317" s="25"/>
      <c r="CB317" s="25"/>
    </row>
    <row r="318" spans="1:80" ht="12.75" hidden="1" customHeight="1">
      <c r="A318" s="10">
        <f ca="1">IFERROR(__xludf.DUMMYFUNCTION("""COMPUTED_VALUE"""),2007)</f>
        <v>2007</v>
      </c>
      <c r="B318" s="50">
        <f ca="1">IFERROR(__xludf.DUMMYFUNCTION("""COMPUTED_VALUE"""),39532)</f>
        <v>39532</v>
      </c>
      <c r="C318" s="41">
        <f ca="1">IFERROR(__xludf.DUMMYFUNCTION("""COMPUTED_VALUE"""),39517)</f>
        <v>39517</v>
      </c>
      <c r="D318" s="42" t="str">
        <f ca="1">IFERROR(__xludf.DUMMYFUNCTION("""COMPUTED_VALUE"""),"Common Rosefinch")</f>
        <v>Common Rosefinch</v>
      </c>
      <c r="E318" s="53">
        <f ca="1">IFERROR(__xludf.DUMMYFUNCTION("""COMPUTED_VALUE"""),1)</f>
        <v>1</v>
      </c>
      <c r="F318" s="15" t="str">
        <f ca="1">IFERROR(__xludf.DUMMYFUNCTION("""COMPUTED_VALUE"""),"m")</f>
        <v>m</v>
      </c>
      <c r="G318" s="44" t="str">
        <f ca="1">IFERROR(__xludf.DUMMYFUNCTION("""COMPUTED_VALUE"""),"Caldy, Cubbins Green, Caldy")</f>
        <v>Caldy, Cubbins Green, Caldy</v>
      </c>
      <c r="H318" s="12">
        <f ca="1">IFERROR(__xludf.DUMMYFUNCTION("""COMPUTED_VALUE"""),39280)</f>
        <v>39280</v>
      </c>
      <c r="I318" s="12"/>
      <c r="J318" s="14"/>
      <c r="K318" s="15"/>
      <c r="L318" s="17" t="str">
        <f ca="1">IFERROR(__xludf.DUMMYFUNCTION("""COMPUTED_VALUE"""),"closed")</f>
        <v>closed</v>
      </c>
      <c r="M318" s="17" t="str">
        <f ca="1">IFERROR(__xludf.DUMMYFUNCTION("""COMPUTED_VALUE"""),"2nd U")</f>
        <v>2nd U</v>
      </c>
      <c r="N318" s="15" t="str">
        <f ca="1">IFERROR(__xludf.DUMMYFUNCTION("""COMPUTED_VALUE"""),"unproven")</f>
        <v>unproven</v>
      </c>
      <c r="O318" s="18"/>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row>
    <row r="319" spans="1:80" ht="12.75" hidden="1" customHeight="1">
      <c r="A319" s="20">
        <f ca="1">IFERROR(__xludf.DUMMYFUNCTION("""COMPUTED_VALUE"""),2007)</f>
        <v>2007</v>
      </c>
      <c r="B319" s="45">
        <f ca="1">IFERROR(__xludf.DUMMYFUNCTION("""COMPUTED_VALUE"""),39532)</f>
        <v>39532</v>
      </c>
      <c r="C319" s="46">
        <f ca="1">IFERROR(__xludf.DUMMYFUNCTION("""COMPUTED_VALUE"""),39517)</f>
        <v>39517</v>
      </c>
      <c r="D319" s="47" t="str">
        <f ca="1">IFERROR(__xludf.DUMMYFUNCTION("""COMPUTED_VALUE"""),"Common Rosefinch")</f>
        <v>Common Rosefinch</v>
      </c>
      <c r="E319" s="52">
        <f ca="1">IFERROR(__xludf.DUMMYFUNCTION("""COMPUTED_VALUE"""),1)</f>
        <v>1</v>
      </c>
      <c r="F319" s="25" t="str">
        <f ca="1">IFERROR(__xludf.DUMMYFUNCTION("""COMPUTED_VALUE"""),"1st W")</f>
        <v>1st W</v>
      </c>
      <c r="G319" s="48" t="str">
        <f ca="1">IFERROR(__xludf.DUMMYFUNCTION("""COMPUTED_VALUE"""),"Red Rocks, Hoylake")</f>
        <v>Red Rocks, Hoylake</v>
      </c>
      <c r="H319" s="22">
        <f ca="1">IFERROR(__xludf.DUMMYFUNCTION("""COMPUTED_VALUE"""),39373)</f>
        <v>39373</v>
      </c>
      <c r="I319" s="22"/>
      <c r="J319" s="24" t="str">
        <f ca="1">IFERROR(__xludf.DUMMYFUNCTION("""COMPUTED_VALUE"""),"Turner, JE")</f>
        <v>Turner, JE</v>
      </c>
      <c r="K319" s="25" t="str">
        <f ca="1">IFERROR(__xludf.DUMMYFUNCTION("""COMPUTED_VALUE"""),"Turner, JE")</f>
        <v>Turner, JE</v>
      </c>
      <c r="L319" s="27" t="str">
        <f ca="1">IFERROR(__xludf.DUMMYFUNCTION("""COMPUTED_VALUE"""),"closed")</f>
        <v>closed</v>
      </c>
      <c r="M319" s="27" t="str">
        <f ca="1">IFERROR(__xludf.DUMMYFUNCTION("""COMPUTED_VALUE"""),"1st U")</f>
        <v>1st U</v>
      </c>
      <c r="N319" s="25" t="str">
        <f ca="1">IFERROR(__xludf.DUMMYFUNCTION("""COMPUTED_VALUE"""),"Accepted")</f>
        <v>Accepted</v>
      </c>
      <c r="O319" s="28"/>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row>
    <row r="320" spans="1:80" ht="12.75" hidden="1" customHeight="1">
      <c r="A320" s="10">
        <f ca="1">IFERROR(__xludf.DUMMYFUNCTION("""COMPUTED_VALUE"""),2007)</f>
        <v>2007</v>
      </c>
      <c r="B320" s="50">
        <f ca="1">IFERROR(__xludf.DUMMYFUNCTION("""COMPUTED_VALUE"""),39468)</f>
        <v>39468</v>
      </c>
      <c r="C320" s="41" t="str">
        <f ca="1">IFERROR(__xludf.DUMMYFUNCTION("""COMPUTED_VALUE"""),"01/01/08")</f>
        <v>01/01/08</v>
      </c>
      <c r="D320" s="42" t="str">
        <f ca="1">IFERROR(__xludf.DUMMYFUNCTION("""COMPUTED_VALUE"""),"Mealy Redpoll")</f>
        <v>Mealy Redpoll</v>
      </c>
      <c r="E320" s="53">
        <f ca="1">IFERROR(__xludf.DUMMYFUNCTION("""COMPUTED_VALUE"""),6)</f>
        <v>6</v>
      </c>
      <c r="F320" s="15"/>
      <c r="G320" s="44" t="str">
        <f ca="1">IFERROR(__xludf.DUMMYFUNCTION("""COMPUTED_VALUE"""),"Spud Wood")</f>
        <v>Spud Wood</v>
      </c>
      <c r="H320" s="12">
        <f ca="1">IFERROR(__xludf.DUMMYFUNCTION("""COMPUTED_VALUE"""),39087)</f>
        <v>39087</v>
      </c>
      <c r="I320" s="13"/>
      <c r="J320" s="14"/>
      <c r="K320" s="15"/>
      <c r="L320" s="17" t="str">
        <f ca="1">IFERROR(__xludf.DUMMYFUNCTION("""COMPUTED_VALUE"""),"closed")</f>
        <v>closed</v>
      </c>
      <c r="M320" s="17" t="str">
        <f ca="1">IFERROR(__xludf.DUMMYFUNCTION("""COMPUTED_VALUE"""),"1st U")</f>
        <v>1st U</v>
      </c>
      <c r="N320" s="15" t="str">
        <f ca="1">IFERROR(__xludf.DUMMYFUNCTION("""COMPUTED_VALUE"""),"unproven")</f>
        <v>unproven</v>
      </c>
      <c r="O320" s="18"/>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row>
    <row r="321" spans="1:80" ht="12.75" hidden="1" customHeight="1">
      <c r="A321" s="20">
        <f ca="1">IFERROR(__xludf.DUMMYFUNCTION("""COMPUTED_VALUE"""),2007)</f>
        <v>2007</v>
      </c>
      <c r="B321" s="45">
        <f ca="1">IFERROR(__xludf.DUMMYFUNCTION("""COMPUTED_VALUE"""),39468)</f>
        <v>39468</v>
      </c>
      <c r="C321" s="46" t="str">
        <f ca="1">IFERROR(__xludf.DUMMYFUNCTION("""COMPUTED_VALUE"""),"01/01/08")</f>
        <v>01/01/08</v>
      </c>
      <c r="D321" s="47" t="str">
        <f ca="1">IFERROR(__xludf.DUMMYFUNCTION("""COMPUTED_VALUE"""),"Mealy Redpoll")</f>
        <v>Mealy Redpoll</v>
      </c>
      <c r="E321" s="52">
        <f ca="1">IFERROR(__xludf.DUMMYFUNCTION("""COMPUTED_VALUE"""),1)</f>
        <v>1</v>
      </c>
      <c r="F321" s="25" t="str">
        <f ca="1">IFERROR(__xludf.DUMMYFUNCTION("""COMPUTED_VALUE"""),"1st winter Fem")</f>
        <v>1st winter Fem</v>
      </c>
      <c r="G321" s="48" t="str">
        <f ca="1">IFERROR(__xludf.DUMMYFUNCTION("""COMPUTED_VALUE"""),"Great Sutton")</f>
        <v>Great Sutton</v>
      </c>
      <c r="H321" s="22">
        <f ca="1">IFERROR(__xludf.DUMMYFUNCTION("""COMPUTED_VALUE"""),39404)</f>
        <v>39404</v>
      </c>
      <c r="I321" s="23"/>
      <c r="J321" s="24" t="str">
        <f ca="1">IFERROR(__xludf.DUMMYFUNCTION("""COMPUTED_VALUE"""),"Woollen, P")</f>
        <v>Woollen, P</v>
      </c>
      <c r="K321" s="25" t="str">
        <f ca="1">IFERROR(__xludf.DUMMYFUNCTION("""COMPUTED_VALUE"""),"Woollen, P")</f>
        <v>Woollen, P</v>
      </c>
      <c r="L321" s="27" t="str">
        <f ca="1">IFERROR(__xludf.DUMMYFUNCTION("""COMPUTED_VALUE"""),"closed")</f>
        <v>closed</v>
      </c>
      <c r="M321" s="27" t="str">
        <f ca="1">IFERROR(__xludf.DUMMYFUNCTION("""COMPUTED_VALUE"""),"1st U")</f>
        <v>1st U</v>
      </c>
      <c r="N321" s="25" t="str">
        <f ca="1">IFERROR(__xludf.DUMMYFUNCTION("""COMPUTED_VALUE"""),"Accepted")</f>
        <v>Accepted</v>
      </c>
      <c r="O321" s="28"/>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row>
    <row r="322" spans="1:80" ht="12.75" hidden="1" customHeight="1">
      <c r="A322" s="10">
        <f ca="1">IFERROR(__xludf.DUMMYFUNCTION("""COMPUTED_VALUE"""),2007)</f>
        <v>2007</v>
      </c>
      <c r="B322" s="50">
        <f ca="1">IFERROR(__xludf.DUMMYFUNCTION("""COMPUTED_VALUE"""),39532)</f>
        <v>39532</v>
      </c>
      <c r="C322" s="41">
        <f ca="1">IFERROR(__xludf.DUMMYFUNCTION("""COMPUTED_VALUE"""),39517)</f>
        <v>39517</v>
      </c>
      <c r="D322" s="42" t="str">
        <f ca="1">IFERROR(__xludf.DUMMYFUNCTION("""COMPUTED_VALUE"""),"Red-breasted Flycatcher")</f>
        <v>Red-breasted Flycatcher</v>
      </c>
      <c r="E322" s="53">
        <f ca="1">IFERROR(__xludf.DUMMYFUNCTION("""COMPUTED_VALUE"""),1)</f>
        <v>1</v>
      </c>
      <c r="F322" s="15" t="str">
        <f ca="1">IFERROR(__xludf.DUMMYFUNCTION("""COMPUTED_VALUE"""),"1st summer")</f>
        <v>1st summer</v>
      </c>
      <c r="G322" s="44" t="str">
        <f ca="1">IFERROR(__xludf.DUMMYFUNCTION("""COMPUTED_VALUE"""),"Hilbre")</f>
        <v>Hilbre</v>
      </c>
      <c r="H322" s="12">
        <f ca="1">IFERROR(__xludf.DUMMYFUNCTION("""COMPUTED_VALUE"""),39195)</f>
        <v>39195</v>
      </c>
      <c r="I322" s="13"/>
      <c r="J322" s="14" t="str">
        <f ca="1">IFERROR(__xludf.DUMMYFUNCTION("""COMPUTED_VALUE"""),"Williams, SR")</f>
        <v>Williams, SR</v>
      </c>
      <c r="K322" s="15" t="str">
        <f ca="1">IFERROR(__xludf.DUMMYFUNCTION("""COMPUTED_VALUE"""),"Williams, SR")</f>
        <v>Williams, SR</v>
      </c>
      <c r="L322" s="17" t="str">
        <f ca="1">IFERROR(__xludf.DUMMYFUNCTION("""COMPUTED_VALUE"""),"closed")</f>
        <v>closed</v>
      </c>
      <c r="M322" s="17" t="str">
        <f ca="1">IFERROR(__xludf.DUMMYFUNCTION("""COMPUTED_VALUE"""),"1st U")</f>
        <v>1st U</v>
      </c>
      <c r="N322" s="15" t="str">
        <f ca="1">IFERROR(__xludf.DUMMYFUNCTION("""COMPUTED_VALUE"""),"Accepted")</f>
        <v>Accepted</v>
      </c>
      <c r="O322" s="18"/>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row>
    <row r="323" spans="1:80" ht="12.75" hidden="1" customHeight="1">
      <c r="A323" s="20">
        <f ca="1">IFERROR(__xludf.DUMMYFUNCTION("""COMPUTED_VALUE"""),2007)</f>
        <v>2007</v>
      </c>
      <c r="B323" s="45">
        <f ca="1">IFERROR(__xludf.DUMMYFUNCTION("""COMPUTED_VALUE"""),39532)</f>
        <v>39532</v>
      </c>
      <c r="C323" s="46">
        <f ca="1">IFERROR(__xludf.DUMMYFUNCTION("""COMPUTED_VALUE"""),39517)</f>
        <v>39517</v>
      </c>
      <c r="D323" s="47" t="str">
        <f ca="1">IFERROR(__xludf.DUMMYFUNCTION("""COMPUTED_VALUE"""),"Red-breasted Flycatcher")</f>
        <v>Red-breasted Flycatcher</v>
      </c>
      <c r="E323" s="52">
        <f ca="1">IFERROR(__xludf.DUMMYFUNCTION("""COMPUTED_VALUE"""),1)</f>
        <v>1</v>
      </c>
      <c r="F323" s="25" t="str">
        <f ca="1">IFERROR(__xludf.DUMMYFUNCTION("""COMPUTED_VALUE"""),"1st winter")</f>
        <v>1st winter</v>
      </c>
      <c r="G323" s="48" t="str">
        <f ca="1">IFERROR(__xludf.DUMMYFUNCTION("""COMPUTED_VALUE"""),"Hilbre")</f>
        <v>Hilbre</v>
      </c>
      <c r="H323" s="22">
        <f ca="1">IFERROR(__xludf.DUMMYFUNCTION("""COMPUTED_VALUE"""),39363)</f>
        <v>39363</v>
      </c>
      <c r="I323" s="23"/>
      <c r="J323" s="24" t="str">
        <f ca="1">IFERROR(__xludf.DUMMYFUNCTION("""COMPUTED_VALUE"""),"Williams, SR")</f>
        <v>Williams, SR</v>
      </c>
      <c r="K323" s="25" t="str">
        <f ca="1">IFERROR(__xludf.DUMMYFUNCTION("""COMPUTED_VALUE"""),"Williams, SR")</f>
        <v>Williams, SR</v>
      </c>
      <c r="L323" s="27" t="str">
        <f ca="1">IFERROR(__xludf.DUMMYFUNCTION("""COMPUTED_VALUE"""),"closed")</f>
        <v>closed</v>
      </c>
      <c r="M323" s="27" t="str">
        <f ca="1">IFERROR(__xludf.DUMMYFUNCTION("""COMPUTED_VALUE"""),"1st U")</f>
        <v>1st U</v>
      </c>
      <c r="N323" s="25" t="str">
        <f ca="1">IFERROR(__xludf.DUMMYFUNCTION("""COMPUTED_VALUE"""),"Accepted")</f>
        <v>Accepted</v>
      </c>
      <c r="O323" s="28"/>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c r="BY323" s="25"/>
      <c r="BZ323" s="25"/>
      <c r="CA323" s="25"/>
      <c r="CB323" s="25"/>
    </row>
    <row r="324" spans="1:80" ht="12.75" hidden="1" customHeight="1">
      <c r="A324" s="10">
        <f ca="1">IFERROR(__xludf.DUMMYFUNCTION("""COMPUTED_VALUE"""),2008)</f>
        <v>2008</v>
      </c>
      <c r="B324" s="50">
        <f ca="1">IFERROR(__xludf.DUMMYFUNCTION("""COMPUTED_VALUE"""),40085)</f>
        <v>40085</v>
      </c>
      <c r="C324" s="41">
        <f ca="1">IFERROR(__xludf.DUMMYFUNCTION("""COMPUTED_VALUE"""),40065)</f>
        <v>40065</v>
      </c>
      <c r="D324" s="42" t="str">
        <f ca="1">IFERROR(__xludf.DUMMYFUNCTION("""COMPUTED_VALUE"""),"Whooper Swan")</f>
        <v>Whooper Swan</v>
      </c>
      <c r="E324" s="53">
        <f ca="1">IFERROR(__xludf.DUMMYFUNCTION("""COMPUTED_VALUE"""),24)</f>
        <v>24</v>
      </c>
      <c r="F324" s="15"/>
      <c r="G324" s="44" t="str">
        <f ca="1">IFERROR(__xludf.DUMMYFUNCTION("""COMPUTED_VALUE"""),"Disley")</f>
        <v>Disley</v>
      </c>
      <c r="H324" s="12">
        <f ca="1">IFERROR(__xludf.DUMMYFUNCTION("""COMPUTED_VALUE"""),39523)</f>
        <v>39523</v>
      </c>
      <c r="I324" s="12">
        <f ca="1">IFERROR(__xludf.DUMMYFUNCTION("""COMPUTED_VALUE"""),39523)</f>
        <v>39523</v>
      </c>
      <c r="J324" s="14" t="str">
        <f ca="1">IFERROR(__xludf.DUMMYFUNCTION("""COMPUTED_VALUE"""),"Blagden, I")</f>
        <v>Blagden, I</v>
      </c>
      <c r="K324" s="15" t="str">
        <f ca="1">IFERROR(__xludf.DUMMYFUNCTION("""COMPUTED_VALUE"""),"Blagden, I")</f>
        <v>Blagden, I</v>
      </c>
      <c r="L324" s="17" t="str">
        <f ca="1">IFERROR(__xludf.DUMMYFUNCTION("""COMPUTED_VALUE"""),"closed")</f>
        <v>closed</v>
      </c>
      <c r="M324" s="17" t="str">
        <f ca="1">IFERROR(__xludf.DUMMYFUNCTION("""COMPUTED_VALUE"""),"1st U")</f>
        <v>1st U</v>
      </c>
      <c r="N324" s="15" t="str">
        <f ca="1">IFERROR(__xludf.DUMMYFUNCTION("""COMPUTED_VALUE"""),"Accepted")</f>
        <v>Accepted</v>
      </c>
      <c r="O324" s="18"/>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row>
    <row r="325" spans="1:80" ht="12.75" hidden="1" customHeight="1">
      <c r="A325" s="20">
        <f ca="1">IFERROR(__xludf.DUMMYFUNCTION("""COMPUTED_VALUE"""),2008)</f>
        <v>2008</v>
      </c>
      <c r="B325" s="45">
        <f ca="1">IFERROR(__xludf.DUMMYFUNCTION("""COMPUTED_VALUE"""),40466)</f>
        <v>40466</v>
      </c>
      <c r="C325" s="46">
        <f ca="1">IFERROR(__xludf.DUMMYFUNCTION("""COMPUTED_VALUE"""),39998)</f>
        <v>39998</v>
      </c>
      <c r="D325" s="47" t="str">
        <f ca="1">IFERROR(__xludf.DUMMYFUNCTION("""COMPUTED_VALUE"""),"Velvet Scoter")</f>
        <v>Velvet Scoter</v>
      </c>
      <c r="E325" s="52">
        <f ca="1">IFERROR(__xludf.DUMMYFUNCTION("""COMPUTED_VALUE"""),2)</f>
        <v>2</v>
      </c>
      <c r="F325" s="25" t="str">
        <f ca="1">IFERROR(__xludf.DUMMYFUNCTION("""COMPUTED_VALUE"""),"mf")</f>
        <v>mf</v>
      </c>
      <c r="G325" s="48" t="str">
        <f ca="1">IFERROR(__xludf.DUMMYFUNCTION("""COMPUTED_VALUE"""),"Leasowe")</f>
        <v>Leasowe</v>
      </c>
      <c r="H325" s="22">
        <f ca="1">IFERROR(__xludf.DUMMYFUNCTION("""COMPUTED_VALUE"""),39573)</f>
        <v>39573</v>
      </c>
      <c r="I325" s="23"/>
      <c r="J325" s="24" t="str">
        <f ca="1">IFERROR(__xludf.DUMMYFUNCTION("""COMPUTED_VALUE"""),"Conlin, A")</f>
        <v>Conlin, A</v>
      </c>
      <c r="K325" s="25" t="str">
        <f ca="1">IFERROR(__xludf.DUMMYFUNCTION("""COMPUTED_VALUE"""),"Conlin, A")</f>
        <v>Conlin, A</v>
      </c>
      <c r="L325" s="27" t="str">
        <f ca="1">IFERROR(__xludf.DUMMYFUNCTION("""COMPUTED_VALUE"""),"closed")</f>
        <v>closed</v>
      </c>
      <c r="M325" s="27" t="str">
        <f ca="1">IFERROR(__xludf.DUMMYFUNCTION("""COMPUTED_VALUE"""),"1st U")</f>
        <v>1st U</v>
      </c>
      <c r="N325" s="25" t="str">
        <f ca="1">IFERROR(__xludf.DUMMYFUNCTION("""COMPUTED_VALUE"""),"Accepted")</f>
        <v>Accepted</v>
      </c>
      <c r="O325" s="28"/>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25"/>
      <c r="CA325" s="25"/>
      <c r="CB325" s="25"/>
    </row>
    <row r="326" spans="1:80" ht="12.75" hidden="1" customHeight="1">
      <c r="A326" s="10">
        <f ca="1">IFERROR(__xludf.DUMMYFUNCTION("""COMPUTED_VALUE"""),2008)</f>
        <v>2008</v>
      </c>
      <c r="B326" s="50">
        <f ca="1">IFERROR(__xludf.DUMMYFUNCTION("""COMPUTED_VALUE"""),40466)</f>
        <v>40466</v>
      </c>
      <c r="C326" s="41">
        <f ca="1">IFERROR(__xludf.DUMMYFUNCTION("""COMPUTED_VALUE"""),36778)</f>
        <v>36778</v>
      </c>
      <c r="D326" s="42" t="str">
        <f ca="1">IFERROR(__xludf.DUMMYFUNCTION("""COMPUTED_VALUE"""),"Velvet Scoter")</f>
        <v>Velvet Scoter</v>
      </c>
      <c r="E326" s="53">
        <f ca="1">IFERROR(__xludf.DUMMYFUNCTION("""COMPUTED_VALUE"""),2)</f>
        <v>2</v>
      </c>
      <c r="F326" s="15" t="str">
        <f ca="1">IFERROR(__xludf.DUMMYFUNCTION("""COMPUTED_VALUE"""),"mf")</f>
        <v>mf</v>
      </c>
      <c r="G326" s="44" t="str">
        <f ca="1">IFERROR(__xludf.DUMMYFUNCTION("""COMPUTED_VALUE"""),"Leasowe")</f>
        <v>Leasowe</v>
      </c>
      <c r="H326" s="12">
        <f ca="1">IFERROR(__xludf.DUMMYFUNCTION("""COMPUTED_VALUE"""),39573)</f>
        <v>39573</v>
      </c>
      <c r="I326" s="13"/>
      <c r="J326" s="14" t="str">
        <f ca="1">IFERROR(__xludf.DUMMYFUNCTION("""COMPUTED_VALUE"""),"Duff, F")</f>
        <v>Duff, F</v>
      </c>
      <c r="K326" s="15" t="str">
        <f ca="1">IFERROR(__xludf.DUMMYFUNCTION("""COMPUTED_VALUE"""),"Allan Conlin")</f>
        <v>Allan Conlin</v>
      </c>
      <c r="L326" s="17" t="str">
        <f ca="1">IFERROR(__xludf.DUMMYFUNCTION("""COMPUTED_VALUE"""),"closed")</f>
        <v>closed</v>
      </c>
      <c r="M326" s="17" t="str">
        <f ca="1">IFERROR(__xludf.DUMMYFUNCTION("""COMPUTED_VALUE"""),"1st U")</f>
        <v>1st U</v>
      </c>
      <c r="N326" s="15" t="str">
        <f ca="1">IFERROR(__xludf.DUMMYFUNCTION("""COMPUTED_VALUE"""),"Accepted")</f>
        <v>Accepted</v>
      </c>
      <c r="O326" s="18"/>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row>
    <row r="327" spans="1:80" ht="12.75" hidden="1" customHeight="1">
      <c r="A327" s="20">
        <f ca="1">IFERROR(__xludf.DUMMYFUNCTION("""COMPUTED_VALUE"""),2008)</f>
        <v>2008</v>
      </c>
      <c r="B327" s="45">
        <f ca="1">IFERROR(__xludf.DUMMYFUNCTION("""COMPUTED_VALUE"""),39866)</f>
        <v>39866</v>
      </c>
      <c r="C327" s="46">
        <f ca="1">IFERROR(__xludf.DUMMYFUNCTION("""COMPUTED_VALUE"""),39824)</f>
        <v>39824</v>
      </c>
      <c r="D327" s="47" t="str">
        <f ca="1">IFERROR(__xludf.DUMMYFUNCTION("""COMPUTED_VALUE"""),"Green-winged Teal")</f>
        <v>Green-winged Teal</v>
      </c>
      <c r="E327" s="52">
        <f ca="1">IFERROR(__xludf.DUMMYFUNCTION("""COMPUTED_VALUE"""),1)</f>
        <v>1</v>
      </c>
      <c r="F327" s="25" t="str">
        <f ca="1">IFERROR(__xludf.DUMMYFUNCTION("""COMPUTED_VALUE"""),"male")</f>
        <v>male</v>
      </c>
      <c r="G327" s="48" t="str">
        <f ca="1">IFERROR(__xludf.DUMMYFUNCTION("""COMPUTED_VALUE"""),"Adlington")</f>
        <v>Adlington</v>
      </c>
      <c r="H327" s="22">
        <f ca="1">IFERROR(__xludf.DUMMYFUNCTION("""COMPUTED_VALUE"""),39794)</f>
        <v>39794</v>
      </c>
      <c r="I327" s="23"/>
      <c r="J327" s="24" t="str">
        <f ca="1">IFERROR(__xludf.DUMMYFUNCTION("""COMPUTED_VALUE"""),"Raynor, J")</f>
        <v>Raynor, J</v>
      </c>
      <c r="K327" s="25"/>
      <c r="L327" s="27" t="str">
        <f ca="1">IFERROR(__xludf.DUMMYFUNCTION("""COMPUTED_VALUE"""),"closed")</f>
        <v>closed</v>
      </c>
      <c r="M327" s="27" t="str">
        <f ca="1">IFERROR(__xludf.DUMMYFUNCTION("""COMPUTED_VALUE"""),"1st U")</f>
        <v>1st U</v>
      </c>
      <c r="N327" s="25" t="str">
        <f ca="1">IFERROR(__xludf.DUMMYFUNCTION("""COMPUTED_VALUE"""),"Accepted")</f>
        <v>Accepted</v>
      </c>
      <c r="O327" s="28"/>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row>
    <row r="328" spans="1:80" ht="12.75" hidden="1" customHeight="1">
      <c r="A328" s="10">
        <f ca="1">IFERROR(__xludf.DUMMYFUNCTION("""COMPUTED_VALUE"""),2008)</f>
        <v>2008</v>
      </c>
      <c r="B328" s="50">
        <f ca="1">IFERROR(__xludf.DUMMYFUNCTION("""COMPUTED_VALUE"""),40239)</f>
        <v>40239</v>
      </c>
      <c r="C328" s="41">
        <f ca="1">IFERROR(__xludf.DUMMYFUNCTION("""COMPUTED_VALUE"""),40205)</f>
        <v>40205</v>
      </c>
      <c r="D328" s="42" t="str">
        <f ca="1">IFERROR(__xludf.DUMMYFUNCTION("""COMPUTED_VALUE"""),"Green-winged Teal")</f>
        <v>Green-winged Teal</v>
      </c>
      <c r="E328" s="53">
        <f ca="1">IFERROR(__xludf.DUMMYFUNCTION("""COMPUTED_VALUE"""),1)</f>
        <v>1</v>
      </c>
      <c r="F328" s="15"/>
      <c r="G328" s="44" t="str">
        <f ca="1">IFERROR(__xludf.DUMMYFUNCTION("""COMPUTED_VALUE"""),"Sandbach Elton Hall Flash")</f>
        <v>Sandbach Elton Hall Flash</v>
      </c>
      <c r="H328" s="12">
        <f ca="1">IFERROR(__xludf.DUMMYFUNCTION("""COMPUTED_VALUE"""),39512)</f>
        <v>39512</v>
      </c>
      <c r="I328" s="13"/>
      <c r="J328" s="14" t="str">
        <f ca="1">IFERROR(__xludf.DUMMYFUNCTION("""COMPUTED_VALUE"""),"Booth, A")</f>
        <v>Booth, A</v>
      </c>
      <c r="K328" s="15" t="str">
        <f ca="1">IFERROR(__xludf.DUMMYFUNCTION("""COMPUTED_VALUE"""),"?")</f>
        <v>?</v>
      </c>
      <c r="L328" s="17" t="str">
        <f ca="1">IFERROR(__xludf.DUMMYFUNCTION("""COMPUTED_VALUE"""),"closed")</f>
        <v>closed</v>
      </c>
      <c r="M328" s="17" t="str">
        <f ca="1">IFERROR(__xludf.DUMMYFUNCTION("""COMPUTED_VALUE"""),"1st U")</f>
        <v>1st U</v>
      </c>
      <c r="N328" s="15" t="str">
        <f ca="1">IFERROR(__xludf.DUMMYFUNCTION("""COMPUTED_VALUE"""),"accepted")</f>
        <v>accepted</v>
      </c>
      <c r="O328" s="18"/>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row>
    <row r="329" spans="1:80" ht="12.75" hidden="1" customHeight="1">
      <c r="A329" s="20">
        <f ca="1">IFERROR(__xludf.DUMMYFUNCTION("""COMPUTED_VALUE"""),2008)</f>
        <v>2008</v>
      </c>
      <c r="B329" s="45">
        <f ca="1">IFERROR(__xludf.DUMMYFUNCTION("""COMPUTED_VALUE"""),40085)</f>
        <v>40085</v>
      </c>
      <c r="C329" s="46">
        <f ca="1">IFERROR(__xludf.DUMMYFUNCTION("""COMPUTED_VALUE"""),40065)</f>
        <v>40065</v>
      </c>
      <c r="D329" s="47" t="str">
        <f ca="1">IFERROR(__xludf.DUMMYFUNCTION("""COMPUTED_VALUE"""),"Red-crested Pochard")</f>
        <v>Red-crested Pochard</v>
      </c>
      <c r="E329" s="52">
        <f ca="1">IFERROR(__xludf.DUMMYFUNCTION("""COMPUTED_VALUE"""),1)</f>
        <v>1</v>
      </c>
      <c r="F329" s="25"/>
      <c r="G329" s="48" t="str">
        <f ca="1">IFERROR(__xludf.DUMMYFUNCTION("""COMPUTED_VALUE"""),"Sandbach Elton Hall Flash")</f>
        <v>Sandbach Elton Hall Flash</v>
      </c>
      <c r="H329" s="22">
        <f ca="1">IFERROR(__xludf.DUMMYFUNCTION("""COMPUTED_VALUE"""),39677)</f>
        <v>39677</v>
      </c>
      <c r="I329" s="22">
        <f ca="1">IFERROR(__xludf.DUMMYFUNCTION("""COMPUTED_VALUE"""),39677)</f>
        <v>39677</v>
      </c>
      <c r="J329" s="24" t="str">
        <f ca="1">IFERROR(__xludf.DUMMYFUNCTION("""COMPUTED_VALUE"""),"Firth, Andy")</f>
        <v>Firth, Andy</v>
      </c>
      <c r="K329" s="25" t="str">
        <f ca="1">IFERROR(__xludf.DUMMYFUNCTION("""COMPUTED_VALUE"""),"Dave Norbury")</f>
        <v>Dave Norbury</v>
      </c>
      <c r="L329" s="27" t="str">
        <f ca="1">IFERROR(__xludf.DUMMYFUNCTION("""COMPUTED_VALUE"""),"closed")</f>
        <v>closed</v>
      </c>
      <c r="M329" s="27" t="str">
        <f ca="1">IFERROR(__xludf.DUMMYFUNCTION("""COMPUTED_VALUE"""),"1st U")</f>
        <v>1st U</v>
      </c>
      <c r="N329" s="25" t="str">
        <f ca="1">IFERROR(__xludf.DUMMYFUNCTION("""COMPUTED_VALUE"""),"Accepted")</f>
        <v>Accepted</v>
      </c>
      <c r="O329" s="28" t="str">
        <f ca="1">IFERROR(__xludf.DUMMYFUNCTION("""COMPUTED_VALUE"""),"a juvenile here was not present the next day.")</f>
        <v>a juvenile here was not present the next day.</v>
      </c>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c r="BY329" s="25"/>
      <c r="BZ329" s="25"/>
      <c r="CA329" s="25"/>
      <c r="CB329" s="25"/>
    </row>
    <row r="330" spans="1:80" ht="12.75" hidden="1" customHeight="1">
      <c r="A330" s="10">
        <f ca="1">IFERROR(__xludf.DUMMYFUNCTION("""COMPUTED_VALUE"""),2008)</f>
        <v>2008</v>
      </c>
      <c r="B330" s="50">
        <f ca="1">IFERROR(__xludf.DUMMYFUNCTION("""COMPUTED_VALUE"""),40085)</f>
        <v>40085</v>
      </c>
      <c r="C330" s="41">
        <f ca="1">IFERROR(__xludf.DUMMYFUNCTION("""COMPUTED_VALUE"""),40065)</f>
        <v>40065</v>
      </c>
      <c r="D330" s="42" t="str">
        <f ca="1">IFERROR(__xludf.DUMMYFUNCTION("""COMPUTED_VALUE"""),"Red-crested Pochard")</f>
        <v>Red-crested Pochard</v>
      </c>
      <c r="E330" s="53">
        <f ca="1">IFERROR(__xludf.DUMMYFUNCTION("""COMPUTED_VALUE"""),1)</f>
        <v>1</v>
      </c>
      <c r="F330" s="15"/>
      <c r="G330" s="44" t="str">
        <f ca="1">IFERROR(__xludf.DUMMYFUNCTION("""COMPUTED_VALUE"""),"Sandbach Elton Hall Flash")</f>
        <v>Sandbach Elton Hall Flash</v>
      </c>
      <c r="H330" s="12">
        <f ca="1">IFERROR(__xludf.DUMMYFUNCTION("""COMPUTED_VALUE"""),39677)</f>
        <v>39677</v>
      </c>
      <c r="I330" s="12">
        <f ca="1">IFERROR(__xludf.DUMMYFUNCTION("""COMPUTED_VALUE"""),39677)</f>
        <v>39677</v>
      </c>
      <c r="J330" s="14" t="str">
        <f ca="1">IFERROR(__xludf.DUMMYFUNCTION("""COMPUTED_VALUE"""),"Woollen, P")</f>
        <v>Woollen, P</v>
      </c>
      <c r="K330" s="15" t="str">
        <f ca="1">IFERROR(__xludf.DUMMYFUNCTION("""COMPUTED_VALUE"""),"Dave Norbury")</f>
        <v>Dave Norbury</v>
      </c>
      <c r="L330" s="17" t="str">
        <f ca="1">IFERROR(__xludf.DUMMYFUNCTION("""COMPUTED_VALUE"""),"closed")</f>
        <v>closed</v>
      </c>
      <c r="M330" s="17" t="str">
        <f ca="1">IFERROR(__xludf.DUMMYFUNCTION("""COMPUTED_VALUE"""),"1st U")</f>
        <v>1st U</v>
      </c>
      <c r="N330" s="15" t="str">
        <f ca="1">IFERROR(__xludf.DUMMYFUNCTION("""COMPUTED_VALUE"""),"Accepted")</f>
        <v>Accepted</v>
      </c>
      <c r="O330" s="18" t="str">
        <f ca="1">IFERROR(__xludf.DUMMYFUNCTION("""COMPUTED_VALUE"""),"mobile phone photo!")</f>
        <v>mobile phone photo!</v>
      </c>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row>
    <row r="331" spans="1:80" ht="12.75" hidden="1" customHeight="1">
      <c r="A331" s="20">
        <f ca="1">IFERROR(__xludf.DUMMYFUNCTION("""COMPUTED_VALUE"""),2008)</f>
        <v>2008</v>
      </c>
      <c r="B331" s="45">
        <f ca="1">IFERROR(__xludf.DUMMYFUNCTION("""COMPUTED_VALUE"""),39866)</f>
        <v>39866</v>
      </c>
      <c r="C331" s="46">
        <f ca="1">IFERROR(__xludf.DUMMYFUNCTION("""COMPUTED_VALUE"""),39824)</f>
        <v>39824</v>
      </c>
      <c r="D331" s="47" t="str">
        <f ca="1">IFERROR(__xludf.DUMMYFUNCTION("""COMPUTED_VALUE"""),"Black Kite")</f>
        <v>Black Kite</v>
      </c>
      <c r="E331" s="52">
        <f ca="1">IFERROR(__xludf.DUMMYFUNCTION("""COMPUTED_VALUE"""),1)</f>
        <v>1</v>
      </c>
      <c r="F331" s="25"/>
      <c r="G331" s="48" t="str">
        <f ca="1">IFERROR(__xludf.DUMMYFUNCTION("""COMPUTED_VALUE"""),"Farndon")</f>
        <v>Farndon</v>
      </c>
      <c r="H331" s="22">
        <f ca="1">IFERROR(__xludf.DUMMYFUNCTION("""COMPUTED_VALUE"""),39533)</f>
        <v>39533</v>
      </c>
      <c r="I331" s="22"/>
      <c r="J331" s="24"/>
      <c r="K331" s="25"/>
      <c r="L331" s="27" t="str">
        <f ca="1">IFERROR(__xludf.DUMMYFUNCTION("""COMPUTED_VALUE"""),"closed")</f>
        <v>closed</v>
      </c>
      <c r="M331" s="27" t="str">
        <f ca="1">IFERROR(__xludf.DUMMYFUNCTION("""COMPUTED_VALUE"""),"1st U")</f>
        <v>1st U</v>
      </c>
      <c r="N331" s="25" t="str">
        <f ca="1">IFERROR(__xludf.DUMMYFUNCTION("""COMPUTED_VALUE"""),"unproven")</f>
        <v>unproven</v>
      </c>
      <c r="O331" s="28"/>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25"/>
      <c r="CA331" s="25"/>
      <c r="CB331" s="25"/>
    </row>
    <row r="332" spans="1:80" ht="12.75" hidden="1" customHeight="1">
      <c r="A332" s="10">
        <f ca="1">IFERROR(__xludf.DUMMYFUNCTION("""COMPUTED_VALUE"""),2008)</f>
        <v>2008</v>
      </c>
      <c r="B332" s="50">
        <f ca="1">IFERROR(__xludf.DUMMYFUNCTION("""COMPUTED_VALUE"""),39866)</f>
        <v>39866</v>
      </c>
      <c r="C332" s="41">
        <f ca="1">IFERROR(__xludf.DUMMYFUNCTION("""COMPUTED_VALUE"""),39824)</f>
        <v>39824</v>
      </c>
      <c r="D332" s="42" t="str">
        <f ca="1">IFERROR(__xludf.DUMMYFUNCTION("""COMPUTED_VALUE"""),"Goshawk")</f>
        <v>Goshawk</v>
      </c>
      <c r="E332" s="53">
        <f ca="1">IFERROR(__xludf.DUMMYFUNCTION("""COMPUTED_VALUE"""),1)</f>
        <v>1</v>
      </c>
      <c r="F332" s="15" t="str">
        <f ca="1">IFERROR(__xludf.DUMMYFUNCTION("""COMPUTED_VALUE"""),"ad")</f>
        <v>ad</v>
      </c>
      <c r="G332" s="44" t="str">
        <f ca="1">IFERROR(__xludf.DUMMYFUNCTION("""COMPUTED_VALUE"""),"M6 J18")</f>
        <v>M6 J18</v>
      </c>
      <c r="H332" s="12">
        <f ca="1">IFERROR(__xludf.DUMMYFUNCTION("""COMPUTED_VALUE"""),39767)</f>
        <v>39767</v>
      </c>
      <c r="I332" s="13"/>
      <c r="J332" s="14"/>
      <c r="K332" s="15"/>
      <c r="L332" s="17" t="str">
        <f ca="1">IFERROR(__xludf.DUMMYFUNCTION("""COMPUTED_VALUE"""),"closed")</f>
        <v>closed</v>
      </c>
      <c r="M332" s="17" t="str">
        <f ca="1">IFERROR(__xludf.DUMMYFUNCTION("""COMPUTED_VALUE"""),"1st U")</f>
        <v>1st U</v>
      </c>
      <c r="N332" s="15" t="str">
        <f ca="1">IFERROR(__xludf.DUMMYFUNCTION("""COMPUTED_VALUE"""),"unproven")</f>
        <v>unproven</v>
      </c>
      <c r="O332" s="18"/>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row>
    <row r="333" spans="1:80" ht="12.75" hidden="1" customHeight="1">
      <c r="A333" s="20">
        <f ca="1">IFERROR(__xludf.DUMMYFUNCTION("""COMPUTED_VALUE"""),2008)</f>
        <v>2008</v>
      </c>
      <c r="B333" s="45">
        <f ca="1">IFERROR(__xludf.DUMMYFUNCTION("""COMPUTED_VALUE"""),40085)</f>
        <v>40085</v>
      </c>
      <c r="C333" s="46">
        <f ca="1">IFERROR(__xludf.DUMMYFUNCTION("""COMPUTED_VALUE"""),40065)</f>
        <v>40065</v>
      </c>
      <c r="D333" s="47" t="str">
        <f ca="1">IFERROR(__xludf.DUMMYFUNCTION("""COMPUTED_VALUE"""),"Goshawk")</f>
        <v>Goshawk</v>
      </c>
      <c r="E333" s="52">
        <f ca="1">IFERROR(__xludf.DUMMYFUNCTION("""COMPUTED_VALUE"""),1)</f>
        <v>1</v>
      </c>
      <c r="F333" s="25"/>
      <c r="G333" s="48" t="str">
        <f ca="1">IFERROR(__xludf.DUMMYFUNCTION("""COMPUTED_VALUE"""),"Bar Mere")</f>
        <v>Bar Mere</v>
      </c>
      <c r="H333" s="22">
        <f ca="1">IFERROR(__xludf.DUMMYFUNCTION("""COMPUTED_VALUE"""),39805)</f>
        <v>39805</v>
      </c>
      <c r="I333" s="22">
        <f ca="1">IFERROR(__xludf.DUMMYFUNCTION("""COMPUTED_VALUE"""),39805)</f>
        <v>39805</v>
      </c>
      <c r="J333" s="24" t="str">
        <f ca="1">IFERROR(__xludf.DUMMYFUNCTION("""COMPUTED_VALUE"""),"Hull, C")</f>
        <v>Hull, C</v>
      </c>
      <c r="K333" s="25" t="str">
        <f ca="1">IFERROR(__xludf.DUMMYFUNCTION("""COMPUTED_VALUE"""),"Hull, C")</f>
        <v>Hull, C</v>
      </c>
      <c r="L333" s="27" t="str">
        <f ca="1">IFERROR(__xludf.DUMMYFUNCTION("""COMPUTED_VALUE"""),"closed")</f>
        <v>closed</v>
      </c>
      <c r="M333" s="27" t="str">
        <f ca="1">IFERROR(__xludf.DUMMYFUNCTION("""COMPUTED_VALUE"""),"1st U")</f>
        <v>1st U</v>
      </c>
      <c r="N333" s="25" t="str">
        <f ca="1">IFERROR(__xludf.DUMMYFUNCTION("""COMPUTED_VALUE"""),"Accepted")</f>
        <v>Accepted</v>
      </c>
      <c r="O333" s="28"/>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row>
    <row r="334" spans="1:80" ht="12.75" hidden="1" customHeight="1">
      <c r="A334" s="10">
        <f ca="1">IFERROR(__xludf.DUMMYFUNCTION("""COMPUTED_VALUE"""),2008)</f>
        <v>2008</v>
      </c>
      <c r="B334" s="50">
        <f ca="1">IFERROR(__xludf.DUMMYFUNCTION("""COMPUTED_VALUE"""),40239)</f>
        <v>40239</v>
      </c>
      <c r="C334" s="41">
        <f ca="1">IFERROR(__xludf.DUMMYFUNCTION("""COMPUTED_VALUE"""),40205)</f>
        <v>40205</v>
      </c>
      <c r="D334" s="42" t="str">
        <f ca="1">IFERROR(__xludf.DUMMYFUNCTION("""COMPUTED_VALUE"""),"Goshawk")</f>
        <v>Goshawk</v>
      </c>
      <c r="E334" s="53">
        <f ca="1">IFERROR(__xludf.DUMMYFUNCTION("""COMPUTED_VALUE"""),1)</f>
        <v>1</v>
      </c>
      <c r="F334" s="15"/>
      <c r="G334" s="44" t="str">
        <f ca="1">IFERROR(__xludf.DUMMYFUNCTION("""COMPUTED_VALUE"""),"Rostherne Mere NNR")</f>
        <v>Rostherne Mere NNR</v>
      </c>
      <c r="H334" s="12">
        <f ca="1">IFERROR(__xludf.DUMMYFUNCTION("""COMPUTED_VALUE"""),39615)</f>
        <v>39615</v>
      </c>
      <c r="I334" s="12">
        <f ca="1">IFERROR(__xludf.DUMMYFUNCTION("""COMPUTED_VALUE"""),39615)</f>
        <v>39615</v>
      </c>
      <c r="J334" s="14" t="str">
        <f ca="1">IFERROR(__xludf.DUMMYFUNCTION("""COMPUTED_VALUE"""),"Bellamy, W")</f>
        <v>Bellamy, W</v>
      </c>
      <c r="K334" s="15" t="str">
        <f ca="1">IFERROR(__xludf.DUMMYFUNCTION("""COMPUTED_VALUE"""),"J P Dawson")</f>
        <v>J P Dawson</v>
      </c>
      <c r="L334" s="17" t="str">
        <f ca="1">IFERROR(__xludf.DUMMYFUNCTION("""COMPUTED_VALUE"""),"closed")</f>
        <v>closed</v>
      </c>
      <c r="M334" s="17" t="str">
        <f ca="1">IFERROR(__xludf.DUMMYFUNCTION("""COMPUTED_VALUE"""),"1st U")</f>
        <v>1st U</v>
      </c>
      <c r="N334" s="15" t="str">
        <f ca="1">IFERROR(__xludf.DUMMYFUNCTION("""COMPUTED_VALUE"""),"accepted")</f>
        <v>accepted</v>
      </c>
      <c r="O334" s="18"/>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row>
    <row r="335" spans="1:80" ht="12.75" hidden="1" customHeight="1">
      <c r="A335" s="20">
        <f ca="1">IFERROR(__xludf.DUMMYFUNCTION("""COMPUTED_VALUE"""),2008)</f>
        <v>2008</v>
      </c>
      <c r="B335" s="45">
        <f ca="1">IFERROR(__xludf.DUMMYFUNCTION("""COMPUTED_VALUE"""),39532)</f>
        <v>39532</v>
      </c>
      <c r="C335" s="46">
        <f ca="1">IFERROR(__xludf.DUMMYFUNCTION("""COMPUTED_VALUE"""),39517)</f>
        <v>39517</v>
      </c>
      <c r="D335" s="47" t="str">
        <f ca="1">IFERROR(__xludf.DUMMYFUNCTION("""COMPUTED_VALUE"""),"Goshawk")</f>
        <v>Goshawk</v>
      </c>
      <c r="E335" s="52">
        <f ca="1">IFERROR(__xludf.DUMMYFUNCTION("""COMPUTED_VALUE"""),2)</f>
        <v>2</v>
      </c>
      <c r="F335" s="25" t="str">
        <f ca="1">IFERROR(__xludf.DUMMYFUNCTION("""COMPUTED_VALUE"""),"Ad pair")</f>
        <v>Ad pair</v>
      </c>
      <c r="G335" s="48" t="str">
        <f ca="1">IFERROR(__xludf.DUMMYFUNCTION("""COMPUTED_VALUE"""),"Peckforton")</f>
        <v>Peckforton</v>
      </c>
      <c r="H335" s="22">
        <f ca="1">IFERROR(__xludf.DUMMYFUNCTION("""COMPUTED_VALUE"""),39494)</f>
        <v>39494</v>
      </c>
      <c r="I335" s="22"/>
      <c r="J335" s="24" t="str">
        <f ca="1">IFERROR(__xludf.DUMMYFUNCTION("""COMPUTED_VALUE"""),"Duncalf, A")</f>
        <v>Duncalf, A</v>
      </c>
      <c r="K335" s="25"/>
      <c r="L335" s="27" t="str">
        <f ca="1">IFERROR(__xludf.DUMMYFUNCTION("""COMPUTED_VALUE"""),"closed")</f>
        <v>closed</v>
      </c>
      <c r="M335" s="27" t="str">
        <f ca="1">IFERROR(__xludf.DUMMYFUNCTION("""COMPUTED_VALUE"""),"1st U")</f>
        <v>1st U</v>
      </c>
      <c r="N335" s="25" t="str">
        <f ca="1">IFERROR(__xludf.DUMMYFUNCTION("""COMPUTED_VALUE"""),"Accepted")</f>
        <v>Accepted</v>
      </c>
      <c r="O335" s="28"/>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row>
    <row r="336" spans="1:80" ht="12.75" hidden="1" customHeight="1">
      <c r="A336" s="10">
        <f ca="1">IFERROR(__xludf.DUMMYFUNCTION("""COMPUTED_VALUE"""),2008)</f>
        <v>2008</v>
      </c>
      <c r="B336" s="50">
        <f ca="1">IFERROR(__xludf.DUMMYFUNCTION("""COMPUTED_VALUE"""),39532)</f>
        <v>39532</v>
      </c>
      <c r="C336" s="41">
        <f ca="1">IFERROR(__xludf.DUMMYFUNCTION("""COMPUTED_VALUE"""),39517)</f>
        <v>39517</v>
      </c>
      <c r="D336" s="42" t="str">
        <f ca="1">IFERROR(__xludf.DUMMYFUNCTION("""COMPUTED_VALUE"""),"Goshawk")</f>
        <v>Goshawk</v>
      </c>
      <c r="E336" s="53">
        <f ca="1">IFERROR(__xludf.DUMMYFUNCTION("""COMPUTED_VALUE"""),1)</f>
        <v>1</v>
      </c>
      <c r="F336" s="15"/>
      <c r="G336" s="44" t="str">
        <f ca="1">IFERROR(__xludf.DUMMYFUNCTION("""COMPUTED_VALUE"""),"Peckforton")</f>
        <v>Peckforton</v>
      </c>
      <c r="H336" s="12">
        <f ca="1">IFERROR(__xludf.DUMMYFUNCTION("""COMPUTED_VALUE"""),39497)</f>
        <v>39497</v>
      </c>
      <c r="I336" s="13"/>
      <c r="J336" s="14" t="str">
        <f ca="1">IFERROR(__xludf.DUMMYFUNCTION("""COMPUTED_VALUE"""),"Fern, H")</f>
        <v>Fern, H</v>
      </c>
      <c r="K336" s="15"/>
      <c r="L336" s="17" t="str">
        <f ca="1">IFERROR(__xludf.DUMMYFUNCTION("""COMPUTED_VALUE"""),"closed")</f>
        <v>closed</v>
      </c>
      <c r="M336" s="17" t="str">
        <f ca="1">IFERROR(__xludf.DUMMYFUNCTION("""COMPUTED_VALUE"""),"1st U")</f>
        <v>1st U</v>
      </c>
      <c r="N336" s="15" t="str">
        <f ca="1">IFERROR(__xludf.DUMMYFUNCTION("""COMPUTED_VALUE"""),"Accepted")</f>
        <v>Accepted</v>
      </c>
      <c r="O336" s="18" t="str">
        <f ca="1">IFERROR(__xludf.DUMMYFUNCTION("""COMPUTED_VALUE"""),"male over woods")</f>
        <v>male over woods</v>
      </c>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row>
    <row r="337" spans="1:80" ht="12.75" hidden="1" customHeight="1">
      <c r="A337" s="20">
        <f ca="1">IFERROR(__xludf.DUMMYFUNCTION("""COMPUTED_VALUE"""),2008)</f>
        <v>2008</v>
      </c>
      <c r="B337" s="45">
        <f ca="1">IFERROR(__xludf.DUMMYFUNCTION("""COMPUTED_VALUE"""),39722)</f>
        <v>39722</v>
      </c>
      <c r="C337" s="46">
        <f ca="1">IFERROR(__xludf.DUMMYFUNCTION("""COMPUTED_VALUE"""),39703)</f>
        <v>39703</v>
      </c>
      <c r="D337" s="47" t="str">
        <f ca="1">IFERROR(__xludf.DUMMYFUNCTION("""COMPUTED_VALUE"""),"Roseate Tern")</f>
        <v>Roseate Tern</v>
      </c>
      <c r="E337" s="52">
        <f ca="1">IFERROR(__xludf.DUMMYFUNCTION("""COMPUTED_VALUE"""),1)</f>
        <v>1</v>
      </c>
      <c r="F337" s="25" t="str">
        <f ca="1">IFERROR(__xludf.DUMMYFUNCTION("""COMPUTED_VALUE"""),"ad")</f>
        <v>ad</v>
      </c>
      <c r="G337" s="48" t="str">
        <f ca="1">IFERROR(__xludf.DUMMYFUNCTION("""COMPUTED_VALUE"""),"Leasowe")</f>
        <v>Leasowe</v>
      </c>
      <c r="H337" s="22">
        <f ca="1">IFERROR(__xludf.DUMMYFUNCTION("""COMPUTED_VALUE"""),39648)</f>
        <v>39648</v>
      </c>
      <c r="I337" s="23"/>
      <c r="J337" s="24" t="str">
        <f ca="1">IFERROR(__xludf.DUMMYFUNCTION("""COMPUTED_VALUE"""),"Woollen, P")</f>
        <v>Woollen, P</v>
      </c>
      <c r="K337" s="25"/>
      <c r="L337" s="27" t="str">
        <f ca="1">IFERROR(__xludf.DUMMYFUNCTION("""COMPUTED_VALUE"""),"closed")</f>
        <v>closed</v>
      </c>
      <c r="M337" s="27" t="str">
        <f ca="1">IFERROR(__xludf.DUMMYFUNCTION("""COMPUTED_VALUE"""),"1st U")</f>
        <v>1st U</v>
      </c>
      <c r="N337" s="25" t="str">
        <f ca="1">IFERROR(__xludf.DUMMYFUNCTION("""COMPUTED_VALUE"""),"Accepted")</f>
        <v>Accepted</v>
      </c>
      <c r="O337" s="28"/>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row>
    <row r="338" spans="1:80" ht="12.75" hidden="1" customHeight="1">
      <c r="A338" s="10">
        <f ca="1">IFERROR(__xludf.DUMMYFUNCTION("""COMPUTED_VALUE"""),2008)</f>
        <v>2008</v>
      </c>
      <c r="B338" s="50">
        <f ca="1">IFERROR(__xludf.DUMMYFUNCTION("""COMPUTED_VALUE"""),39967)</f>
        <v>39967</v>
      </c>
      <c r="C338" s="41">
        <f ca="1">IFERROR(__xludf.DUMMYFUNCTION("""COMPUTED_VALUE"""),39921)</f>
        <v>39921</v>
      </c>
      <c r="D338" s="42" t="str">
        <f ca="1">IFERROR(__xludf.DUMMYFUNCTION("""COMPUTED_VALUE"""),"Woodlark")</f>
        <v>Woodlark</v>
      </c>
      <c r="E338" s="53">
        <f ca="1">IFERROR(__xludf.DUMMYFUNCTION("""COMPUTED_VALUE"""),3)</f>
        <v>3</v>
      </c>
      <c r="F338" s="15"/>
      <c r="G338" s="44" t="str">
        <f ca="1">IFERROR(__xludf.DUMMYFUNCTION("""COMPUTED_VALUE"""),"Appleton thorn")</f>
        <v>Appleton thorn</v>
      </c>
      <c r="H338" s="12">
        <f ca="1">IFERROR(__xludf.DUMMYFUNCTION("""COMPUTED_VALUE"""),39805)</f>
        <v>39805</v>
      </c>
      <c r="I338" s="12">
        <f ca="1">IFERROR(__xludf.DUMMYFUNCTION("""COMPUTED_VALUE"""),39806)</f>
        <v>39806</v>
      </c>
      <c r="J338" s="14" t="str">
        <f ca="1">IFERROR(__xludf.DUMMYFUNCTION("""COMPUTED_VALUE"""),"Bayley, S")</f>
        <v>Bayley, S</v>
      </c>
      <c r="K338" s="15" t="str">
        <f ca="1">IFERROR(__xludf.DUMMYFUNCTION("""COMPUTED_VALUE"""),"Sam Bayley")</f>
        <v>Sam Bayley</v>
      </c>
      <c r="L338" s="17" t="str">
        <f ca="1">IFERROR(__xludf.DUMMYFUNCTION("""COMPUTED_VALUE"""),"closed")</f>
        <v>closed</v>
      </c>
      <c r="M338" s="17" t="str">
        <f ca="1">IFERROR(__xludf.DUMMYFUNCTION("""COMPUTED_VALUE"""),"2nd M")</f>
        <v>2nd M</v>
      </c>
      <c r="N338" s="15" t="str">
        <f ca="1">IFERROR(__xludf.DUMMYFUNCTION("""COMPUTED_VALUE"""),"Accepted")</f>
        <v>Accepted</v>
      </c>
      <c r="O338" s="18" t="str">
        <f ca="1">IFERROR(__xludf.DUMMYFUNCTION("""COMPUTED_VALUE"""),"three in a mixed lark flock on consecutive days, seen in flight and on the ground")</f>
        <v>three in a mixed lark flock on consecutive days, seen in flight and on the ground</v>
      </c>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row>
    <row r="339" spans="1:80" ht="12.75" hidden="1" customHeight="1">
      <c r="A339" s="20">
        <f ca="1">IFERROR(__xludf.DUMMYFUNCTION("""COMPUTED_VALUE"""),2008)</f>
        <v>2008</v>
      </c>
      <c r="B339" s="45">
        <f ca="1">IFERROR(__xludf.DUMMYFUNCTION("""COMPUTED_VALUE"""),40026)</f>
        <v>40026</v>
      </c>
      <c r="C339" s="46">
        <f ca="1">IFERROR(__xludf.DUMMYFUNCTION("""COMPUTED_VALUE"""),39998)</f>
        <v>39998</v>
      </c>
      <c r="D339" s="47" t="str">
        <f ca="1">IFERROR(__xludf.DUMMYFUNCTION("""COMPUTED_VALUE"""),"Woodlark")</f>
        <v>Woodlark</v>
      </c>
      <c r="E339" s="52">
        <f ca="1">IFERROR(__xludf.DUMMYFUNCTION("""COMPUTED_VALUE"""),1)</f>
        <v>1</v>
      </c>
      <c r="F339" s="25"/>
      <c r="G339" s="48" t="str">
        <f ca="1">IFERROR(__xludf.DUMMYFUNCTION("""COMPUTED_VALUE"""),"hilbre")</f>
        <v>hilbre</v>
      </c>
      <c r="H339" s="22">
        <f ca="1">IFERROR(__xludf.DUMMYFUNCTION("""COMPUTED_VALUE"""),39576)</f>
        <v>39576</v>
      </c>
      <c r="I339" s="23"/>
      <c r="J339" s="24" t="str">
        <f ca="1">IFERROR(__xludf.DUMMYFUNCTION("""COMPUTED_VALUE"""),"Williams, SR")</f>
        <v>Williams, SR</v>
      </c>
      <c r="K339" s="25" t="str">
        <f ca="1">IFERROR(__xludf.DUMMYFUNCTION("""COMPUTED_VALUE"""),"Williams, SR")</f>
        <v>Williams, SR</v>
      </c>
      <c r="L339" s="27" t="str">
        <f ca="1">IFERROR(__xludf.DUMMYFUNCTION("""COMPUTED_VALUE"""),"closed")</f>
        <v>closed</v>
      </c>
      <c r="M339" s="27" t="str">
        <f ca="1">IFERROR(__xludf.DUMMYFUNCTION("""COMPUTED_VALUE"""),"1st U")</f>
        <v>1st U</v>
      </c>
      <c r="N339" s="25" t="str">
        <f ca="1">IFERROR(__xludf.DUMMYFUNCTION("""COMPUTED_VALUE"""),"accepted")</f>
        <v>accepted</v>
      </c>
      <c r="O339" s="28"/>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c r="BU339" s="25"/>
      <c r="BV339" s="25"/>
      <c r="BW339" s="25"/>
      <c r="BX339" s="25"/>
      <c r="BY339" s="25"/>
      <c r="BZ339" s="25"/>
      <c r="CA339" s="25"/>
      <c r="CB339" s="25"/>
    </row>
    <row r="340" spans="1:80" ht="12.75" hidden="1" customHeight="1">
      <c r="A340" s="10">
        <f ca="1">IFERROR(__xludf.DUMMYFUNCTION("""COMPUTED_VALUE"""),2008)</f>
        <v>2008</v>
      </c>
      <c r="B340" s="50">
        <f ca="1">IFERROR(__xludf.DUMMYFUNCTION("""COMPUTED_VALUE"""),40586)</f>
        <v>40586</v>
      </c>
      <c r="C340" s="41">
        <f ca="1">IFERROR(__xludf.DUMMYFUNCTION("""COMPUTED_VALUE"""),40590)</f>
        <v>40590</v>
      </c>
      <c r="D340" s="42" t="str">
        <f ca="1">IFERROR(__xludf.DUMMYFUNCTION("""COMPUTED_VALUE"""),"Woodlark")</f>
        <v>Woodlark</v>
      </c>
      <c r="E340" s="53">
        <f ca="1">IFERROR(__xludf.DUMMYFUNCTION("""COMPUTED_VALUE"""),1)</f>
        <v>1</v>
      </c>
      <c r="F340" s="15"/>
      <c r="G340" s="44" t="str">
        <f ca="1">IFERROR(__xludf.DUMMYFUNCTION("""COMPUTED_VALUE"""),"Arpley Landfill Site")</f>
        <v>Arpley Landfill Site</v>
      </c>
      <c r="H340" s="12">
        <f ca="1">IFERROR(__xludf.DUMMYFUNCTION("""COMPUTED_VALUE"""),39487)</f>
        <v>39487</v>
      </c>
      <c r="I340" s="13"/>
      <c r="J340" s="14" t="str">
        <f ca="1">IFERROR(__xludf.DUMMYFUNCTION("""COMPUTED_VALUE"""),"Dummigan, K")</f>
        <v>Dummigan, K</v>
      </c>
      <c r="K340" s="15" t="str">
        <f ca="1">IFERROR(__xludf.DUMMYFUNCTION("""COMPUTED_VALUE"""),"Dummigan, K")</f>
        <v>Dummigan, K</v>
      </c>
      <c r="L340" s="17" t="str">
        <f ca="1">IFERROR(__xludf.DUMMYFUNCTION("""COMPUTED_VALUE"""),"closed")</f>
        <v>closed</v>
      </c>
      <c r="M340" s="17" t="str">
        <f ca="1">IFERROR(__xludf.DUMMYFUNCTION("""COMPUTED_VALUE"""),"1st U")</f>
        <v>1st U</v>
      </c>
      <c r="N340" s="15" t="str">
        <f ca="1">IFERROR(__xludf.DUMMYFUNCTION("""COMPUTED_VALUE"""),"accepted")</f>
        <v>accepted</v>
      </c>
      <c r="O340" s="18"/>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row>
    <row r="341" spans="1:80" ht="12.75" hidden="1" customHeight="1">
      <c r="A341" s="20">
        <f ca="1">IFERROR(__xludf.DUMMYFUNCTION("""COMPUTED_VALUE"""),2008)</f>
        <v>2008</v>
      </c>
      <c r="B341" s="45">
        <f ca="1">IFERROR(__xludf.DUMMYFUNCTION("""COMPUTED_VALUE"""),39468)</f>
        <v>39468</v>
      </c>
      <c r="C341" s="46" t="str">
        <f ca="1">IFERROR(__xludf.DUMMYFUNCTION("""COMPUTED_VALUE"""),"01/01/08")</f>
        <v>01/01/08</v>
      </c>
      <c r="D341" s="47" t="str">
        <f ca="1">IFERROR(__xludf.DUMMYFUNCTION("""COMPUTED_VALUE"""),"Water Pipit")</f>
        <v>Water Pipit</v>
      </c>
      <c r="E341" s="52">
        <f ca="1">IFERROR(__xludf.DUMMYFUNCTION("""COMPUTED_VALUE"""),2)</f>
        <v>2</v>
      </c>
      <c r="F341" s="25"/>
      <c r="G341" s="48" t="str">
        <f ca="1">IFERROR(__xludf.DUMMYFUNCTION("""COMPUTED_VALUE"""),"Neston Old Quay")</f>
        <v>Neston Old Quay</v>
      </c>
      <c r="H341" s="22">
        <f ca="1">IFERROR(__xludf.DUMMYFUNCTION("""COMPUTED_VALUE"""),39448)</f>
        <v>39448</v>
      </c>
      <c r="I341" s="22"/>
      <c r="J341" s="24"/>
      <c r="K341" s="25"/>
      <c r="L341" s="27" t="str">
        <f ca="1">IFERROR(__xludf.DUMMYFUNCTION("""COMPUTED_VALUE"""),"closed")</f>
        <v>closed</v>
      </c>
      <c r="M341" s="27" t="str">
        <f ca="1">IFERROR(__xludf.DUMMYFUNCTION("""COMPUTED_VALUE"""),"2ndM")</f>
        <v>2ndM</v>
      </c>
      <c r="N341" s="25" t="str">
        <f ca="1">IFERROR(__xludf.DUMMYFUNCTION("""COMPUTED_VALUE"""),"unproven")</f>
        <v>unproven</v>
      </c>
      <c r="O341" s="28"/>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c r="BU341" s="25"/>
      <c r="BV341" s="25"/>
      <c r="BW341" s="25"/>
      <c r="BX341" s="25"/>
      <c r="BY341" s="25"/>
      <c r="BZ341" s="25"/>
      <c r="CA341" s="25"/>
      <c r="CB341" s="25"/>
    </row>
    <row r="342" spans="1:80" ht="12.75" hidden="1" customHeight="1">
      <c r="A342" s="10">
        <f ca="1">IFERROR(__xludf.DUMMYFUNCTION("""COMPUTED_VALUE"""),2008)</f>
        <v>2008</v>
      </c>
      <c r="B342" s="50">
        <f ca="1">IFERROR(__xludf.DUMMYFUNCTION("""COMPUTED_VALUE"""),40085)</f>
        <v>40085</v>
      </c>
      <c r="C342" s="41">
        <f ca="1">IFERROR(__xludf.DUMMYFUNCTION("""COMPUTED_VALUE"""),40065)</f>
        <v>40065</v>
      </c>
      <c r="D342" s="42" t="str">
        <f ca="1">IFERROR(__xludf.DUMMYFUNCTION("""COMPUTED_VALUE"""),"Water Pipit")</f>
        <v>Water Pipit</v>
      </c>
      <c r="E342" s="53">
        <f ca="1">IFERROR(__xludf.DUMMYFUNCTION("""COMPUTED_VALUE"""),1)</f>
        <v>1</v>
      </c>
      <c r="F342" s="15"/>
      <c r="G342" s="44" t="str">
        <f ca="1">IFERROR(__xludf.DUMMYFUNCTION("""COMPUTED_VALUE"""),"Neston")</f>
        <v>Neston</v>
      </c>
      <c r="H342" s="12">
        <f ca="1">IFERROR(__xludf.DUMMYFUNCTION("""COMPUTED_VALUE"""),39467)</f>
        <v>39467</v>
      </c>
      <c r="I342" s="12">
        <f ca="1">IFERROR(__xludf.DUMMYFUNCTION("""COMPUTED_VALUE"""),39467)</f>
        <v>39467</v>
      </c>
      <c r="J342" s="14" t="str">
        <f ca="1">IFERROR(__xludf.DUMMYFUNCTION("""COMPUTED_VALUE"""),"Miles, MR")</f>
        <v>Miles, MR</v>
      </c>
      <c r="K342" s="15" t="str">
        <f ca="1">IFERROR(__xludf.DUMMYFUNCTION("""COMPUTED_VALUE"""),"Miles, MR")</f>
        <v>Miles, MR</v>
      </c>
      <c r="L342" s="17" t="str">
        <f ca="1">IFERROR(__xludf.DUMMYFUNCTION("""COMPUTED_VALUE"""),"closed")</f>
        <v>closed</v>
      </c>
      <c r="M342" s="17" t="str">
        <f ca="1">IFERROR(__xludf.DUMMYFUNCTION("""COMPUTED_VALUE"""),"1st U")</f>
        <v>1st U</v>
      </c>
      <c r="N342" s="15" t="str">
        <f ca="1">IFERROR(__xludf.DUMMYFUNCTION("""COMPUTED_VALUE"""),"Accepted")</f>
        <v>Accepted</v>
      </c>
      <c r="O342" s="18"/>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row>
    <row r="343" spans="1:80" ht="12.75" hidden="1" customHeight="1">
      <c r="A343" s="20">
        <f ca="1">IFERROR(__xludf.DUMMYFUNCTION("""COMPUTED_VALUE"""),2008)</f>
        <v>2008</v>
      </c>
      <c r="B343" s="45">
        <f ca="1">IFERROR(__xludf.DUMMYFUNCTION("""COMPUTED_VALUE"""),40026)</f>
        <v>40026</v>
      </c>
      <c r="C343" s="46">
        <f ca="1">IFERROR(__xludf.DUMMYFUNCTION("""COMPUTED_VALUE"""),39998)</f>
        <v>39998</v>
      </c>
      <c r="D343" s="47" t="str">
        <f ca="1">IFERROR(__xludf.DUMMYFUNCTION("""COMPUTED_VALUE"""),"Water Pipit")</f>
        <v>Water Pipit</v>
      </c>
      <c r="E343" s="52">
        <f ca="1">IFERROR(__xludf.DUMMYFUNCTION("""COMPUTED_VALUE"""),1)</f>
        <v>1</v>
      </c>
      <c r="F343" s="25"/>
      <c r="G343" s="48" t="str">
        <f ca="1">IFERROR(__xludf.DUMMYFUNCTION("""COMPUTED_VALUE"""),"Norton Marsh")</f>
        <v>Norton Marsh</v>
      </c>
      <c r="H343" s="22">
        <f ca="1">IFERROR(__xludf.DUMMYFUNCTION("""COMPUTED_VALUE"""),39518)</f>
        <v>39518</v>
      </c>
      <c r="I343" s="23"/>
      <c r="J343" s="24"/>
      <c r="K343" s="25"/>
      <c r="L343" s="27" t="str">
        <f ca="1">IFERROR(__xludf.DUMMYFUNCTION("""COMPUTED_VALUE"""),"closed")</f>
        <v>closed</v>
      </c>
      <c r="M343" s="27" t="str">
        <f ca="1">IFERROR(__xludf.DUMMYFUNCTION("""COMPUTED_VALUE"""),"1st U")</f>
        <v>1st U</v>
      </c>
      <c r="N343" s="25" t="str">
        <f ca="1">IFERROR(__xludf.DUMMYFUNCTION("""COMPUTED_VALUE"""),"unproven")</f>
        <v>unproven</v>
      </c>
      <c r="O343" s="28" t="str">
        <f ca="1">IFERROR(__xludf.DUMMYFUNCTION("""COMPUTED_VALUE"""),"Accepted as Water or Scandinavian Rock Pipit")</f>
        <v>Accepted as Water or Scandinavian Rock Pipit</v>
      </c>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c r="BU343" s="25"/>
      <c r="BV343" s="25"/>
      <c r="BW343" s="25"/>
      <c r="BX343" s="25"/>
      <c r="BY343" s="25"/>
      <c r="BZ343" s="25"/>
      <c r="CA343" s="25"/>
      <c r="CB343" s="25"/>
    </row>
    <row r="344" spans="1:80" ht="12.75" hidden="1" customHeight="1">
      <c r="A344" s="10">
        <f ca="1">IFERROR(__xludf.DUMMYFUNCTION("""COMPUTED_VALUE"""),2008)</f>
        <v>2008</v>
      </c>
      <c r="B344" s="50">
        <f ca="1">IFERROR(__xludf.DUMMYFUNCTION("""COMPUTED_VALUE"""),40087)</f>
        <v>40087</v>
      </c>
      <c r="C344" s="41">
        <f ca="1">IFERROR(__xludf.DUMMYFUNCTION("""COMPUTED_VALUE"""),40065)</f>
        <v>40065</v>
      </c>
      <c r="D344" s="42" t="str">
        <f ca="1">IFERROR(__xludf.DUMMYFUNCTION("""COMPUTED_VALUE"""),"Water Pipit")</f>
        <v>Water Pipit</v>
      </c>
      <c r="E344" s="53">
        <f ca="1">IFERROR(__xludf.DUMMYFUNCTION("""COMPUTED_VALUE"""),2)</f>
        <v>2</v>
      </c>
      <c r="F344" s="15"/>
      <c r="G344" s="44" t="str">
        <f ca="1">IFERROR(__xludf.DUMMYFUNCTION("""COMPUTED_VALUE"""),"Parkgate Marsh, Dee Estuary Nature Reserve RSPB")</f>
        <v>Parkgate Marsh, Dee Estuary Nature Reserve RSPB</v>
      </c>
      <c r="H344" s="12">
        <f ca="1">IFERROR(__xludf.DUMMYFUNCTION("""COMPUTED_VALUE"""),39517)</f>
        <v>39517</v>
      </c>
      <c r="I344" s="12">
        <f ca="1">IFERROR(__xludf.DUMMYFUNCTION("""COMPUTED_VALUE"""),39517)</f>
        <v>39517</v>
      </c>
      <c r="J344" s="14"/>
      <c r="K344" s="15"/>
      <c r="L344" s="17" t="str">
        <f ca="1">IFERROR(__xludf.DUMMYFUNCTION("""COMPUTED_VALUE"""),"closed")</f>
        <v>closed</v>
      </c>
      <c r="M344" s="17" t="str">
        <f ca="1">IFERROR(__xludf.DUMMYFUNCTION("""COMPUTED_VALUE"""),"2ndM")</f>
        <v>2ndM</v>
      </c>
      <c r="N344" s="15" t="str">
        <f ca="1">IFERROR(__xludf.DUMMYFUNCTION("""COMPUTED_VALUE"""),"unproven")</f>
        <v>unproven</v>
      </c>
      <c r="O344" s="18" t="str">
        <f ca="1">IFERROR(__xludf.DUMMYFUNCTION("""COMPUTED_VALUE"""),"Accepted as Water or Scandinavian Rock Pipit")</f>
        <v>Accepted as Water or Scandinavian Rock Pipit</v>
      </c>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row>
    <row r="345" spans="1:80" ht="12.75" hidden="1" customHeight="1">
      <c r="A345" s="20">
        <f ca="1">IFERROR(__xludf.DUMMYFUNCTION("""COMPUTED_VALUE"""),2008)</f>
        <v>2008</v>
      </c>
      <c r="B345" s="45">
        <f ca="1">IFERROR(__xludf.DUMMYFUNCTION("""COMPUTED_VALUE"""),40588)</f>
        <v>40588</v>
      </c>
      <c r="C345" s="46">
        <f ca="1">IFERROR(__xludf.DUMMYFUNCTION("""COMPUTED_VALUE"""),40586)</f>
        <v>40586</v>
      </c>
      <c r="D345" s="47" t="str">
        <f ca="1">IFERROR(__xludf.DUMMYFUNCTION("""COMPUTED_VALUE"""),"Water Pipit")</f>
        <v>Water Pipit</v>
      </c>
      <c r="E345" s="52">
        <f ca="1">IFERROR(__xludf.DUMMYFUNCTION("""COMPUTED_VALUE"""),1)</f>
        <v>1</v>
      </c>
      <c r="F345" s="25"/>
      <c r="G345" s="48" t="str">
        <f ca="1">IFERROR(__xludf.DUMMYFUNCTION("""COMPUTED_VALUE"""),"Heswall Shore")</f>
        <v>Heswall Shore</v>
      </c>
      <c r="H345" s="22">
        <f ca="1">IFERROR(__xludf.DUMMYFUNCTION("""COMPUTED_VALUE"""),39778)</f>
        <v>39778</v>
      </c>
      <c r="I345" s="22">
        <f ca="1">IFERROR(__xludf.DUMMYFUNCTION("""COMPUTED_VALUE"""),39902)</f>
        <v>39902</v>
      </c>
      <c r="J345" s="24" t="str">
        <f ca="1">IFERROR(__xludf.DUMMYFUNCTION("""COMPUTED_VALUE"""),"Hinde, S")</f>
        <v>Hinde, S</v>
      </c>
      <c r="K345" s="25" t="str">
        <f ca="1">IFERROR(__xludf.DUMMYFUNCTION("""COMPUTED_VALUE"""),"?")</f>
        <v>?</v>
      </c>
      <c r="L345" s="27" t="str">
        <f ca="1">IFERROR(__xludf.DUMMYFUNCTION("""COMPUTED_VALUE"""),"closed")</f>
        <v>closed</v>
      </c>
      <c r="M345" s="27" t="str">
        <f ca="1">IFERROR(__xludf.DUMMYFUNCTION("""COMPUTED_VALUE"""),"1st M")</f>
        <v>1st M</v>
      </c>
      <c r="N345" s="25" t="str">
        <f ca="1">IFERROR(__xludf.DUMMYFUNCTION("""COMPUTED_VALUE"""),"Accepted")</f>
        <v>Accepted</v>
      </c>
      <c r="O345" s="28"/>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c r="BU345" s="25"/>
      <c r="BV345" s="25"/>
      <c r="BW345" s="25"/>
      <c r="BX345" s="25"/>
      <c r="BY345" s="25"/>
      <c r="BZ345" s="25"/>
      <c r="CA345" s="25"/>
      <c r="CB345" s="25"/>
    </row>
    <row r="346" spans="1:80" ht="12.75" hidden="1" customHeight="1">
      <c r="A346" s="10">
        <f ca="1">IFERROR(__xludf.DUMMYFUNCTION("""COMPUTED_VALUE"""),2008)</f>
        <v>2008</v>
      </c>
      <c r="B346" s="50">
        <f ca="1">IFERROR(__xludf.DUMMYFUNCTION("""COMPUTED_VALUE"""),40026)</f>
        <v>40026</v>
      </c>
      <c r="C346" s="41">
        <f ca="1">IFERROR(__xludf.DUMMYFUNCTION("""COMPUTED_VALUE"""),39998)</f>
        <v>39998</v>
      </c>
      <c r="D346" s="42" t="str">
        <f ca="1">IFERROR(__xludf.DUMMYFUNCTION("""COMPUTED_VALUE"""),"Water Pipit")</f>
        <v>Water Pipit</v>
      </c>
      <c r="E346" s="53">
        <f ca="1">IFERROR(__xludf.DUMMYFUNCTION("""COMPUTED_VALUE"""),1)</f>
        <v>1</v>
      </c>
      <c r="F346" s="15"/>
      <c r="G346" s="44" t="str">
        <f ca="1">IFERROR(__xludf.DUMMYFUNCTION("""COMPUTED_VALUE"""),"Parkgate Marsh, Dee Estuary Nature Reserve RSPB")</f>
        <v>Parkgate Marsh, Dee Estuary Nature Reserve RSPB</v>
      </c>
      <c r="H346" s="12">
        <f ca="1">IFERROR(__xludf.DUMMYFUNCTION("""COMPUTED_VALUE"""),39517)</f>
        <v>39517</v>
      </c>
      <c r="I346" s="12">
        <f ca="1">IFERROR(__xludf.DUMMYFUNCTION("""COMPUTED_VALUE"""),39517)</f>
        <v>39517</v>
      </c>
      <c r="J346" s="14"/>
      <c r="K346" s="15"/>
      <c r="L346" s="17" t="str">
        <f ca="1">IFERROR(__xludf.DUMMYFUNCTION("""COMPUTED_VALUE"""),"closed")</f>
        <v>closed</v>
      </c>
      <c r="M346" s="17" t="str">
        <f ca="1">IFERROR(__xludf.DUMMYFUNCTION("""COMPUTED_VALUE"""),"2nd U")</f>
        <v>2nd U</v>
      </c>
      <c r="N346" s="15" t="str">
        <f ca="1">IFERROR(__xludf.DUMMYFUNCTION("""COMPUTED_VALUE"""),"unproven")</f>
        <v>unproven</v>
      </c>
      <c r="O346" s="18" t="str">
        <f ca="1">IFERROR(__xludf.DUMMYFUNCTION("""COMPUTED_VALUE"""),"accept as spinoletta/litopralis")</f>
        <v>accept as spinoletta/litopralis</v>
      </c>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row>
    <row r="347" spans="1:80" ht="12.75" hidden="1" customHeight="1">
      <c r="A347" s="20">
        <f ca="1">IFERROR(__xludf.DUMMYFUNCTION("""COMPUTED_VALUE"""),2008)</f>
        <v>2008</v>
      </c>
      <c r="B347" s="45">
        <f ca="1">IFERROR(__xludf.DUMMYFUNCTION("""COMPUTED_VALUE"""),40087)</f>
        <v>40087</v>
      </c>
      <c r="C347" s="46">
        <f ca="1">IFERROR(__xludf.DUMMYFUNCTION("""COMPUTED_VALUE"""),40065)</f>
        <v>40065</v>
      </c>
      <c r="D347" s="47" t="str">
        <f ca="1">IFERROR(__xludf.DUMMYFUNCTION("""COMPUTED_VALUE"""),"Water/Rock pipit (littoralis/spinoletta)")</f>
        <v>Water/Rock pipit (littoralis/spinoletta)</v>
      </c>
      <c r="E347" s="52">
        <f ca="1">IFERROR(__xludf.DUMMYFUNCTION("""COMPUTED_VALUE"""),2)</f>
        <v>2</v>
      </c>
      <c r="F347" s="25"/>
      <c r="G347" s="48" t="str">
        <f ca="1">IFERROR(__xludf.DUMMYFUNCTION("""COMPUTED_VALUE"""),"Parkgate Marsh, Dee Estuary Nature Reserve RSPB")</f>
        <v>Parkgate Marsh, Dee Estuary Nature Reserve RSPB</v>
      </c>
      <c r="H347" s="22">
        <f ca="1">IFERROR(__xludf.DUMMYFUNCTION("""COMPUTED_VALUE"""),39517)</f>
        <v>39517</v>
      </c>
      <c r="I347" s="22">
        <f ca="1">IFERROR(__xludf.DUMMYFUNCTION("""COMPUTED_VALUE"""),39517)</f>
        <v>39517</v>
      </c>
      <c r="J347" s="24" t="str">
        <f ca="1">IFERROR(__xludf.DUMMYFUNCTION("""COMPUTED_VALUE"""),"Taylor, S")</f>
        <v>Taylor, S</v>
      </c>
      <c r="K347" s="25"/>
      <c r="L347" s="27" t="str">
        <f ca="1">IFERROR(__xludf.DUMMYFUNCTION("""COMPUTED_VALUE"""),"closed")</f>
        <v>closed</v>
      </c>
      <c r="M347" s="27" t="str">
        <f ca="1">IFERROR(__xludf.DUMMYFUNCTION("""COMPUTED_VALUE"""),"Accepted as probable, littoralis not ruled out")</f>
        <v>Accepted as probable, littoralis not ruled out</v>
      </c>
      <c r="N347" s="25" t="str">
        <f ca="1">IFERROR(__xludf.DUMMYFUNCTION("""COMPUTED_VALUE"""),"accepted")</f>
        <v>accepted</v>
      </c>
      <c r="O347" s="28" t="str">
        <f ca="1">IFERROR(__xludf.DUMMYFUNCTION("""COMPUTED_VALUE"""),"Seen on floating debris at high tide.;")</f>
        <v>Seen on floating debris at high tide.;</v>
      </c>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c r="BY347" s="25"/>
      <c r="BZ347" s="25"/>
      <c r="CA347" s="25"/>
      <c r="CB347" s="25"/>
    </row>
    <row r="348" spans="1:80" ht="12.75" hidden="1" customHeight="1">
      <c r="A348" s="10">
        <f ca="1">IFERROR(__xludf.DUMMYFUNCTION("""COMPUTED_VALUE"""),2008)</f>
        <v>2008</v>
      </c>
      <c r="B348" s="50">
        <f ca="1">IFERROR(__xludf.DUMMYFUNCTION("""COMPUTED_VALUE"""),40466)</f>
        <v>40466</v>
      </c>
      <c r="C348" s="41">
        <f ca="1">IFERROR(__xludf.DUMMYFUNCTION("""COMPUTED_VALUE"""),40065)</f>
        <v>40065</v>
      </c>
      <c r="D348" s="42" t="str">
        <f ca="1">IFERROR(__xludf.DUMMYFUNCTION("""COMPUTED_VALUE"""),"Spotted Crake")</f>
        <v>Spotted Crake</v>
      </c>
      <c r="E348" s="53">
        <f ca="1">IFERROR(__xludf.DUMMYFUNCTION("""COMPUTED_VALUE"""),1)</f>
        <v>1</v>
      </c>
      <c r="F348" s="15"/>
      <c r="G348" s="44" t="str">
        <f ca="1">IFERROR(__xludf.DUMMYFUNCTION("""COMPUTED_VALUE"""),"Inner Marsh Farm RSPB")</f>
        <v>Inner Marsh Farm RSPB</v>
      </c>
      <c r="H348" s="12">
        <f ca="1">IFERROR(__xludf.DUMMYFUNCTION("""COMPUTED_VALUE"""),39692)</f>
        <v>39692</v>
      </c>
      <c r="I348" s="12">
        <f ca="1">IFERROR(__xludf.DUMMYFUNCTION("""COMPUTED_VALUE"""),39692)</f>
        <v>39692</v>
      </c>
      <c r="J348" s="14" t="str">
        <f ca="1">IFERROR(__xludf.DUMMYFUNCTION("""COMPUTED_VALUE"""),"Taylor, S")</f>
        <v>Taylor, S</v>
      </c>
      <c r="K348" s="15"/>
      <c r="L348" s="17" t="str">
        <f ca="1">IFERROR(__xludf.DUMMYFUNCTION("""COMPUTED_VALUE"""),"closed")</f>
        <v>closed</v>
      </c>
      <c r="M348" s="17" t="str">
        <f ca="1">IFERROR(__xludf.DUMMYFUNCTION("""COMPUTED_VALUE"""),"1st U")</f>
        <v>1st U</v>
      </c>
      <c r="N348" s="15" t="str">
        <f ca="1">IFERROR(__xludf.DUMMYFUNCTION("""COMPUTED_VALUE"""),"Accepted")</f>
        <v>Accepted</v>
      </c>
      <c r="O348" s="18"/>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row>
    <row r="349" spans="1:80" ht="12.75" hidden="1" customHeight="1">
      <c r="A349" s="20">
        <f ca="1">IFERROR(__xludf.DUMMYFUNCTION("""COMPUTED_VALUE"""),2008)</f>
        <v>2008</v>
      </c>
      <c r="B349" s="45">
        <f ca="1">IFERROR(__xludf.DUMMYFUNCTION("""COMPUTED_VALUE"""),40588)</f>
        <v>40588</v>
      </c>
      <c r="C349" s="46">
        <f ca="1">IFERROR(__xludf.DUMMYFUNCTION("""COMPUTED_VALUE"""),40587)</f>
        <v>40587</v>
      </c>
      <c r="D349" s="47" t="str">
        <f ca="1">IFERROR(__xludf.DUMMYFUNCTION("""COMPUTED_VALUE"""),"Lapland Bunting")</f>
        <v>Lapland Bunting</v>
      </c>
      <c r="E349" s="52">
        <f ca="1">IFERROR(__xludf.DUMMYFUNCTION("""COMPUTED_VALUE"""),2)</f>
        <v>2</v>
      </c>
      <c r="F349" s="25"/>
      <c r="G349" s="48" t="str">
        <f ca="1">IFERROR(__xludf.DUMMYFUNCTION("""COMPUTED_VALUE"""),"Hale Shore (Hale)")</f>
        <v>Hale Shore (Hale)</v>
      </c>
      <c r="H349" s="22">
        <f ca="1">IFERROR(__xludf.DUMMYFUNCTION("""COMPUTED_VALUE"""),39764)</f>
        <v>39764</v>
      </c>
      <c r="I349" s="22">
        <f ca="1">IFERROR(__xludf.DUMMYFUNCTION("""COMPUTED_VALUE"""),39764)</f>
        <v>39764</v>
      </c>
      <c r="J349" s="24" t="str">
        <f ca="1">IFERROR(__xludf.DUMMYFUNCTION("""COMPUTED_VALUE"""),"Cockbain, RP&amp;CA")</f>
        <v>Cockbain, RP&amp;CA</v>
      </c>
      <c r="K349" s="25" t="str">
        <f ca="1">IFERROR(__xludf.DUMMYFUNCTION("""COMPUTED_VALUE"""),"Cockbain, RP&amp;CA")</f>
        <v>Cockbain, RP&amp;CA</v>
      </c>
      <c r="L349" s="27" t="str">
        <f ca="1">IFERROR(__xludf.DUMMYFUNCTION("""COMPUTED_VALUE"""),"closed")</f>
        <v>closed</v>
      </c>
      <c r="M349" s="27" t="str">
        <f ca="1">IFERROR(__xludf.DUMMYFUNCTION("""COMPUTED_VALUE"""),"1st U")</f>
        <v>1st U</v>
      </c>
      <c r="N349" s="25" t="str">
        <f ca="1">IFERROR(__xludf.DUMMYFUNCTION("""COMPUTED_VALUE"""),"Accepted")</f>
        <v>Accepted</v>
      </c>
      <c r="O349" s="28" t="str">
        <f ca="1">IFERROR(__xludf.DUMMYFUNCTION("""COMPUTED_VALUE"""),"ADDITIONAL RECORD")</f>
        <v>ADDITIONAL RECORD</v>
      </c>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row>
    <row r="350" spans="1:80" ht="12.75" hidden="1" customHeight="1">
      <c r="A350" s="10">
        <f ca="1">IFERROR(__xludf.DUMMYFUNCTION("""COMPUTED_VALUE"""),2008)</f>
        <v>2008</v>
      </c>
      <c r="B350" s="50">
        <f ca="1">IFERROR(__xludf.DUMMYFUNCTION("""COMPUTED_VALUE"""),44568)</f>
        <v>44568</v>
      </c>
      <c r="C350" s="41"/>
      <c r="D350" s="42" t="str">
        <f ca="1">IFERROR(__xludf.DUMMYFUNCTION("""COMPUTED_VALUE"""),"Black-winged Stilt")</f>
        <v>Black-winged Stilt</v>
      </c>
      <c r="E350" s="53">
        <f ca="1">IFERROR(__xludf.DUMMYFUNCTION("""COMPUTED_VALUE"""),3)</f>
        <v>3</v>
      </c>
      <c r="F350" s="15"/>
      <c r="G350" s="44" t="str">
        <f ca="1">IFERROR(__xludf.DUMMYFUNCTION("""COMPUTED_VALUE"""),"Neumann's Flash then Ashton's Flash")</f>
        <v>Neumann's Flash then Ashton's Flash</v>
      </c>
      <c r="H350" s="12">
        <f ca="1">IFERROR(__xludf.DUMMYFUNCTION("""COMPUTED_VALUE"""),39563)</f>
        <v>39563</v>
      </c>
      <c r="I350" s="12">
        <f ca="1">IFERROR(__xludf.DUMMYFUNCTION("""COMPUTED_VALUE"""),39628)</f>
        <v>39628</v>
      </c>
      <c r="J350" s="14"/>
      <c r="K350" s="15"/>
      <c r="L350" s="17" t="str">
        <f ca="1">IFERROR(__xludf.DUMMYFUNCTION("""COMPUTED_VALUE"""),"closed")</f>
        <v>closed</v>
      </c>
      <c r="M350" s="17"/>
      <c r="N350" s="15" t="str">
        <f ca="1">IFERROR(__xludf.DUMMYFUNCTION("""COMPUTED_VALUE"""),"BBRC-OK")</f>
        <v>BBRC-OK</v>
      </c>
      <c r="O350" s="18" t="str">
        <f ca="1">IFERROR(__xludf.DUMMYFUNCTION("""COMPUTED_VALUE"""),"Neumann's Flash, pair, (bred, raised at least one young, which did not fledge), 25th April to 21st June, photo; same, Ashton's Flash, 27th to 29th June, photo; also in Hampshire.")</f>
        <v>Neumann's Flash, pair, (bred, raised at least one young, which did not fledge), 25th April to 21st June, photo; same, Ashton's Flash, 27th to 29th June, photo; also in Hampshire.</v>
      </c>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row>
    <row r="351" spans="1:80" ht="12.75" hidden="1" customHeight="1">
      <c r="A351" s="20">
        <f ca="1">IFERROR(__xludf.DUMMYFUNCTION("""COMPUTED_VALUE"""),2008)</f>
        <v>2008</v>
      </c>
      <c r="B351" s="45">
        <f ca="1">IFERROR(__xludf.DUMMYFUNCTION("""COMPUTED_VALUE"""),40026)</f>
        <v>40026</v>
      </c>
      <c r="C351" s="46">
        <f ca="1">IFERROR(__xludf.DUMMYFUNCTION("""COMPUTED_VALUE"""),39998)</f>
        <v>39998</v>
      </c>
      <c r="D351" s="47" t="str">
        <f ca="1">IFERROR(__xludf.DUMMYFUNCTION("""COMPUTED_VALUE"""),"Dotterel")</f>
        <v>Dotterel</v>
      </c>
      <c r="E351" s="52">
        <f ca="1">IFERROR(__xludf.DUMMYFUNCTION("""COMPUTED_VALUE"""),1)</f>
        <v>1</v>
      </c>
      <c r="F351" s="25"/>
      <c r="G351" s="48" t="str">
        <f ca="1">IFERROR(__xludf.DUMMYFUNCTION("""COMPUTED_VALUE"""),"Hilbre")</f>
        <v>Hilbre</v>
      </c>
      <c r="H351" s="22">
        <f ca="1">IFERROR(__xludf.DUMMYFUNCTION("""COMPUTED_VALUE"""),39718)</f>
        <v>39718</v>
      </c>
      <c r="I351" s="23"/>
      <c r="J351" s="24" t="str">
        <f ca="1">IFERROR(__xludf.DUMMYFUNCTION("""COMPUTED_VALUE"""),"Williams, SR")</f>
        <v>Williams, SR</v>
      </c>
      <c r="K351" s="25" t="str">
        <f ca="1">IFERROR(__xludf.DUMMYFUNCTION("""COMPUTED_VALUE"""),"Williams, SR")</f>
        <v>Williams, SR</v>
      </c>
      <c r="L351" s="27" t="str">
        <f ca="1">IFERROR(__xludf.DUMMYFUNCTION("""COMPUTED_VALUE"""),"closed")</f>
        <v>closed</v>
      </c>
      <c r="M351" s="27" t="str">
        <f ca="1">IFERROR(__xludf.DUMMYFUNCTION("""COMPUTED_VALUE"""),"1st U")</f>
        <v>1st U</v>
      </c>
      <c r="N351" s="25" t="str">
        <f ca="1">IFERROR(__xludf.DUMMYFUNCTION("""COMPUTED_VALUE"""),"accepted")</f>
        <v>accepted</v>
      </c>
      <c r="O351" s="28" t="str">
        <f ca="1">IFERROR(__xludf.DUMMYFUNCTION("""COMPUTED_VALUE"""),"Flying around the island in thick fog, calling vigourously")</f>
        <v>Flying around the island in thick fog, calling vigourously</v>
      </c>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5"/>
      <c r="BV351" s="25"/>
      <c r="BW351" s="25"/>
      <c r="BX351" s="25"/>
      <c r="BY351" s="25"/>
      <c r="BZ351" s="25"/>
      <c r="CA351" s="25"/>
      <c r="CB351" s="25"/>
    </row>
    <row r="352" spans="1:80" ht="12.75" hidden="1" customHeight="1">
      <c r="A352" s="10">
        <f ca="1">IFERROR(__xludf.DUMMYFUNCTION("""COMPUTED_VALUE"""),2008)</f>
        <v>2008</v>
      </c>
      <c r="B352" s="50">
        <f ca="1">IFERROR(__xludf.DUMMYFUNCTION("""COMPUTED_VALUE"""),40466)</f>
        <v>40466</v>
      </c>
      <c r="C352" s="41">
        <f ca="1">IFERROR(__xludf.DUMMYFUNCTION("""COMPUTED_VALUE"""),39703)</f>
        <v>39703</v>
      </c>
      <c r="D352" s="42" t="str">
        <f ca="1">IFERROR(__xludf.DUMMYFUNCTION("""COMPUTED_VALUE"""),"Temminck's Stint")</f>
        <v>Temminck's Stint</v>
      </c>
      <c r="E352" s="53">
        <f ca="1">IFERROR(__xludf.DUMMYFUNCTION("""COMPUTED_VALUE"""),1)</f>
        <v>1</v>
      </c>
      <c r="F352" s="15"/>
      <c r="G352" s="44" t="str">
        <f ca="1">IFERROR(__xludf.DUMMYFUNCTION("""COMPUTED_VALUE"""),"Frodsham, No 6 bed")</f>
        <v>Frodsham, No 6 bed</v>
      </c>
      <c r="H352" s="12">
        <f ca="1">IFERROR(__xludf.DUMMYFUNCTION("""COMPUTED_VALUE"""),39583)</f>
        <v>39583</v>
      </c>
      <c r="I352" s="12">
        <f ca="1">IFERROR(__xludf.DUMMYFUNCTION("""COMPUTED_VALUE"""),39586)</f>
        <v>39586</v>
      </c>
      <c r="J352" s="14" t="str">
        <f ca="1">IFERROR(__xludf.DUMMYFUNCTION("""COMPUTED_VALUE"""),"Woollen, P")</f>
        <v>Woollen, P</v>
      </c>
      <c r="K352" s="15" t="str">
        <f ca="1">IFERROR(__xludf.DUMMYFUNCTION("""COMPUTED_VALUE"""),"Stephen Menzie")</f>
        <v>Stephen Menzie</v>
      </c>
      <c r="L352" s="17" t="str">
        <f ca="1">IFERROR(__xludf.DUMMYFUNCTION("""COMPUTED_VALUE"""),"closed")</f>
        <v>closed</v>
      </c>
      <c r="M352" s="17" t="str">
        <f ca="1">IFERROR(__xludf.DUMMYFUNCTION("""COMPUTED_VALUE"""),"1st U")</f>
        <v>1st U</v>
      </c>
      <c r="N352" s="15" t="str">
        <f ca="1">IFERROR(__xludf.DUMMYFUNCTION("""COMPUTED_VALUE"""),"Accepted")</f>
        <v>Accepted</v>
      </c>
      <c r="O352" s="18"/>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row>
    <row r="353" spans="1:80" ht="12.75" hidden="1" customHeight="1">
      <c r="A353" s="20">
        <f ca="1">IFERROR(__xludf.DUMMYFUNCTION("""COMPUTED_VALUE"""),2008)</f>
        <v>2008</v>
      </c>
      <c r="B353" s="45">
        <f ca="1">IFERROR(__xludf.DUMMYFUNCTION("""COMPUTED_VALUE"""),39722)</f>
        <v>39722</v>
      </c>
      <c r="C353" s="46">
        <f ca="1">IFERROR(__xludf.DUMMYFUNCTION("""COMPUTED_VALUE"""),39703)</f>
        <v>39703</v>
      </c>
      <c r="D353" s="47" t="str">
        <f ca="1">IFERROR(__xludf.DUMMYFUNCTION("""COMPUTED_VALUE"""),"Pectoral SAndpiper")</f>
        <v>Pectoral SAndpiper</v>
      </c>
      <c r="E353" s="52">
        <f ca="1">IFERROR(__xludf.DUMMYFUNCTION("""COMPUTED_VALUE"""),1)</f>
        <v>1</v>
      </c>
      <c r="F353" s="25"/>
      <c r="G353" s="48" t="str">
        <f ca="1">IFERROR(__xludf.DUMMYFUNCTION("""COMPUTED_VALUE"""),"Inner Marsh Farm RSPB")</f>
        <v>Inner Marsh Farm RSPB</v>
      </c>
      <c r="H353" s="22">
        <f ca="1">IFERROR(__xludf.DUMMYFUNCTION("""COMPUTED_VALUE"""),39636)</f>
        <v>39636</v>
      </c>
      <c r="I353" s="22">
        <f ca="1">IFERROR(__xludf.DUMMYFUNCTION("""COMPUTED_VALUE"""),39637)</f>
        <v>39637</v>
      </c>
      <c r="J353" s="24" t="str">
        <f ca="1">IFERROR(__xludf.DUMMYFUNCTION("""COMPUTED_VALUE"""),"Woollen, P")</f>
        <v>Woollen, P</v>
      </c>
      <c r="K353" s="25" t="str">
        <f ca="1">IFERROR(__xludf.DUMMYFUNCTION("""COMPUTED_VALUE"""),"Geoff Robinson")</f>
        <v>Geoff Robinson</v>
      </c>
      <c r="L353" s="27" t="str">
        <f ca="1">IFERROR(__xludf.DUMMYFUNCTION("""COMPUTED_VALUE"""),"closed")</f>
        <v>closed</v>
      </c>
      <c r="M353" s="27" t="str">
        <f ca="1">IFERROR(__xludf.DUMMYFUNCTION("""COMPUTED_VALUE"""),"1st U")</f>
        <v>1st U</v>
      </c>
      <c r="N353" s="25" t="str">
        <f ca="1">IFERROR(__xludf.DUMMYFUNCTION("""COMPUTED_VALUE"""),"Accepted")</f>
        <v>Accepted</v>
      </c>
      <c r="O353" s="28"/>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row>
    <row r="354" spans="1:80" ht="12.75" hidden="1" customHeight="1">
      <c r="A354" s="10">
        <f ca="1">IFERROR(__xludf.DUMMYFUNCTION("""COMPUTED_VALUE"""),2008)</f>
        <v>2008</v>
      </c>
      <c r="B354" s="50">
        <f ca="1">IFERROR(__xludf.DUMMYFUNCTION("""COMPUTED_VALUE"""),39866)</f>
        <v>39866</v>
      </c>
      <c r="C354" s="41">
        <f ca="1">IFERROR(__xludf.DUMMYFUNCTION("""COMPUTED_VALUE"""),39824)</f>
        <v>39824</v>
      </c>
      <c r="D354" s="42" t="str">
        <f ca="1">IFERROR(__xludf.DUMMYFUNCTION("""COMPUTED_VALUE"""),"Grey Phalarope")</f>
        <v>Grey Phalarope</v>
      </c>
      <c r="E354" s="53">
        <f ca="1">IFERROR(__xludf.DUMMYFUNCTION("""COMPUTED_VALUE"""),1)</f>
        <v>1</v>
      </c>
      <c r="F354" s="15"/>
      <c r="G354" s="44" t="str">
        <f ca="1">IFERROR(__xludf.DUMMYFUNCTION("""COMPUTED_VALUE"""),"Frodsham")</f>
        <v>Frodsham</v>
      </c>
      <c r="H354" s="12">
        <f ca="1">IFERROR(__xludf.DUMMYFUNCTION("""COMPUTED_VALUE"""),39698)</f>
        <v>39698</v>
      </c>
      <c r="I354" s="13"/>
      <c r="J354" s="14" t="str">
        <f ca="1">IFERROR(__xludf.DUMMYFUNCTION("""COMPUTED_VALUE"""),"King, D")</f>
        <v>King, D</v>
      </c>
      <c r="K354" s="15" t="str">
        <f ca="1">IFERROR(__xludf.DUMMYFUNCTION("""COMPUTED_VALUE"""),"?")</f>
        <v>?</v>
      </c>
      <c r="L354" s="17" t="str">
        <f ca="1">IFERROR(__xludf.DUMMYFUNCTION("""COMPUTED_VALUE"""),"closed")</f>
        <v>closed</v>
      </c>
      <c r="M354" s="17" t="str">
        <f ca="1">IFERROR(__xludf.DUMMYFUNCTION("""COMPUTED_VALUE"""),"1st U")</f>
        <v>1st U</v>
      </c>
      <c r="N354" s="15" t="str">
        <f ca="1">IFERROR(__xludf.DUMMYFUNCTION("""COMPUTED_VALUE"""),"Accepted")</f>
        <v>Accepted</v>
      </c>
      <c r="O354" s="18"/>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row>
    <row r="355" spans="1:80" ht="12.75" hidden="1" customHeight="1">
      <c r="A355" s="20">
        <f ca="1">IFERROR(__xludf.DUMMYFUNCTION("""COMPUTED_VALUE"""),2008)</f>
        <v>2008</v>
      </c>
      <c r="B355" s="45">
        <f ca="1">IFERROR(__xludf.DUMMYFUNCTION("""COMPUTED_VALUE"""),40085)</f>
        <v>40085</v>
      </c>
      <c r="C355" s="46">
        <f ca="1">IFERROR(__xludf.DUMMYFUNCTION("""COMPUTED_VALUE"""),40065)</f>
        <v>40065</v>
      </c>
      <c r="D355" s="47" t="str">
        <f ca="1">IFERROR(__xludf.DUMMYFUNCTION("""COMPUTED_VALUE"""),"Grey Phalarope")</f>
        <v>Grey Phalarope</v>
      </c>
      <c r="E355" s="52">
        <f ca="1">IFERROR(__xludf.DUMMYFUNCTION("""COMPUTED_VALUE"""),2)</f>
        <v>2</v>
      </c>
      <c r="F355" s="25"/>
      <c r="G355" s="48" t="str">
        <f ca="1">IFERROR(__xludf.DUMMYFUNCTION("""COMPUTED_VALUE"""),"New Brighton")</f>
        <v>New Brighton</v>
      </c>
      <c r="H355" s="22">
        <f ca="1">IFERROR(__xludf.DUMMYFUNCTION("""COMPUTED_VALUE"""),39724)</f>
        <v>39724</v>
      </c>
      <c r="I355" s="22">
        <f ca="1">IFERROR(__xludf.DUMMYFUNCTION("""COMPUTED_VALUE"""),39724)</f>
        <v>39724</v>
      </c>
      <c r="J355" s="24"/>
      <c r="K355" s="25"/>
      <c r="L355" s="27" t="str">
        <f ca="1">IFERROR(__xludf.DUMMYFUNCTION("""COMPUTED_VALUE"""),"closed")</f>
        <v>closed</v>
      </c>
      <c r="M355" s="27" t="str">
        <f ca="1">IFERROR(__xludf.DUMMYFUNCTION("""COMPUTED_VALUE"""),"2nd U")</f>
        <v>2nd U</v>
      </c>
      <c r="N355" s="25" t="str">
        <f ca="1">IFERROR(__xludf.DUMMYFUNCTION("""COMPUTED_VALUE"""),"unproven")</f>
        <v>unproven</v>
      </c>
      <c r="O355" s="28"/>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c r="BU355" s="25"/>
      <c r="BV355" s="25"/>
      <c r="BW355" s="25"/>
      <c r="BX355" s="25"/>
      <c r="BY355" s="25"/>
      <c r="BZ355" s="25"/>
      <c r="CA355" s="25"/>
      <c r="CB355" s="25"/>
    </row>
    <row r="356" spans="1:80" ht="12.75" hidden="1" customHeight="1">
      <c r="A356" s="10">
        <f ca="1">IFERROR(__xludf.DUMMYFUNCTION("""COMPUTED_VALUE"""),2008)</f>
        <v>2008</v>
      </c>
      <c r="B356" s="50">
        <f ca="1">IFERROR(__xludf.DUMMYFUNCTION("""COMPUTED_VALUE"""),39866)</f>
        <v>39866</v>
      </c>
      <c r="C356" s="41">
        <f ca="1">IFERROR(__xludf.DUMMYFUNCTION("""COMPUTED_VALUE"""),39824)</f>
        <v>39824</v>
      </c>
      <c r="D356" s="42" t="str">
        <f ca="1">IFERROR(__xludf.DUMMYFUNCTION("""COMPUTED_VALUE"""),"Kittiwake")</f>
        <v>Kittiwake</v>
      </c>
      <c r="E356" s="53">
        <f ca="1">IFERROR(__xludf.DUMMYFUNCTION("""COMPUTED_VALUE"""),1)</f>
        <v>1</v>
      </c>
      <c r="F356" s="15" t="str">
        <f ca="1">IFERROR(__xludf.DUMMYFUNCTION("""COMPUTED_VALUE"""),"ad")</f>
        <v>ad</v>
      </c>
      <c r="G356" s="44" t="str">
        <f ca="1">IFERROR(__xludf.DUMMYFUNCTION("""COMPUTED_VALUE"""),"Birchwood Pool, Moore NR")</f>
        <v>Birchwood Pool, Moore NR</v>
      </c>
      <c r="H356" s="12">
        <f ca="1">IFERROR(__xludf.DUMMYFUNCTION("""COMPUTED_VALUE"""),39528)</f>
        <v>39528</v>
      </c>
      <c r="I356" s="12"/>
      <c r="J356" s="14" t="str">
        <f ca="1">IFERROR(__xludf.DUMMYFUNCTION("""COMPUTED_VALUE"""),"Tomlinson, S")</f>
        <v>Tomlinson, S</v>
      </c>
      <c r="K356" s="15"/>
      <c r="L356" s="17" t="str">
        <f ca="1">IFERROR(__xludf.DUMMYFUNCTION("""COMPUTED_VALUE"""),"closed")</f>
        <v>closed</v>
      </c>
      <c r="M356" s="17" t="str">
        <f ca="1">IFERROR(__xludf.DUMMYFUNCTION("""COMPUTED_VALUE"""),"1st U")</f>
        <v>1st U</v>
      </c>
      <c r="N356" s="15" t="str">
        <f ca="1">IFERROR(__xludf.DUMMYFUNCTION("""COMPUTED_VALUE"""),"Accepted")</f>
        <v>Accepted</v>
      </c>
      <c r="O356" s="18" t="str">
        <f ca="1">IFERROR(__xludf.DUMMYFUNCTION("""COMPUTED_VALUE"""),"Desciption not required, but circulated at the request of the observer")</f>
        <v>Desciption not required, but circulated at the request of the observer</v>
      </c>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row>
    <row r="357" spans="1:80" ht="12.75" hidden="1" customHeight="1">
      <c r="A357" s="20">
        <f ca="1">IFERROR(__xludf.DUMMYFUNCTION("""COMPUTED_VALUE"""),2008)</f>
        <v>2008</v>
      </c>
      <c r="B357" s="45">
        <f ca="1">IFERROR(__xludf.DUMMYFUNCTION("""COMPUTED_VALUE"""),39866)</f>
        <v>39866</v>
      </c>
      <c r="C357" s="46">
        <f ca="1">IFERROR(__xludf.DUMMYFUNCTION("""COMPUTED_VALUE"""),39824)</f>
        <v>39824</v>
      </c>
      <c r="D357" s="47" t="str">
        <f ca="1">IFERROR(__xludf.DUMMYFUNCTION("""COMPUTED_VALUE"""),"Ring-billed Gull")</f>
        <v>Ring-billed Gull</v>
      </c>
      <c r="E357" s="52">
        <f ca="1">IFERROR(__xludf.DUMMYFUNCTION("""COMPUTED_VALUE"""),1)</f>
        <v>1</v>
      </c>
      <c r="F357" s="25" t="str">
        <f ca="1">IFERROR(__xludf.DUMMYFUNCTION("""COMPUTED_VALUE"""),"ad")</f>
        <v>ad</v>
      </c>
      <c r="G357" s="48" t="str">
        <f ca="1">IFERROR(__xludf.DUMMYFUNCTION("""COMPUTED_VALUE"""),"Birchwood Pool, Moore NR")</f>
        <v>Birchwood Pool, Moore NR</v>
      </c>
      <c r="H357" s="22">
        <f ca="1">IFERROR(__xludf.DUMMYFUNCTION("""COMPUTED_VALUE"""),39492)</f>
        <v>39492</v>
      </c>
      <c r="I357" s="23"/>
      <c r="J357" s="24" t="str">
        <f ca="1">IFERROR(__xludf.DUMMYFUNCTION("""COMPUTED_VALUE"""),"Kinsella, P")</f>
        <v>Kinsella, P</v>
      </c>
      <c r="K357" s="25"/>
      <c r="L357" s="27" t="str">
        <f ca="1">IFERROR(__xludf.DUMMYFUNCTION("""COMPUTED_VALUE"""),"closed")</f>
        <v>closed</v>
      </c>
      <c r="M357" s="27" t="str">
        <f ca="1">IFERROR(__xludf.DUMMYFUNCTION("""COMPUTED_VALUE"""),"1st U")</f>
        <v>1st U</v>
      </c>
      <c r="N357" s="25" t="str">
        <f ca="1">IFERROR(__xludf.DUMMYFUNCTION("""COMPUTED_VALUE"""),"Accepted")</f>
        <v>Accepted</v>
      </c>
      <c r="O357" s="28"/>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5"/>
      <c r="BV357" s="25"/>
      <c r="BW357" s="25"/>
      <c r="BX357" s="25"/>
      <c r="BY357" s="25"/>
      <c r="BZ357" s="25"/>
      <c r="CA357" s="25"/>
      <c r="CB357" s="25"/>
    </row>
    <row r="358" spans="1:80" ht="12.75" hidden="1" customHeight="1">
      <c r="A358" s="10">
        <f ca="1">IFERROR(__xludf.DUMMYFUNCTION("""COMPUTED_VALUE"""),2008)</f>
        <v>2008</v>
      </c>
      <c r="B358" s="50">
        <f ca="1">IFERROR(__xludf.DUMMYFUNCTION("""COMPUTED_VALUE"""),39866)</f>
        <v>39866</v>
      </c>
      <c r="C358" s="41">
        <f ca="1">IFERROR(__xludf.DUMMYFUNCTION("""COMPUTED_VALUE"""),39824)</f>
        <v>39824</v>
      </c>
      <c r="D358" s="42" t="str">
        <f ca="1">IFERROR(__xludf.DUMMYFUNCTION("""COMPUTED_VALUE"""),"Ring-billed Gull")</f>
        <v>Ring-billed Gull</v>
      </c>
      <c r="E358" s="53">
        <f ca="1">IFERROR(__xludf.DUMMYFUNCTION("""COMPUTED_VALUE"""),1)</f>
        <v>1</v>
      </c>
      <c r="F358" s="15" t="str">
        <f ca="1">IFERROR(__xludf.DUMMYFUNCTION("""COMPUTED_VALUE"""),"ad")</f>
        <v>ad</v>
      </c>
      <c r="G358" s="44" t="str">
        <f ca="1">IFERROR(__xludf.DUMMYFUNCTION("""COMPUTED_VALUE"""),"Sandbach")</f>
        <v>Sandbach</v>
      </c>
      <c r="H358" s="12">
        <f ca="1">IFERROR(__xludf.DUMMYFUNCTION("""COMPUTED_VALUE"""),39501)</f>
        <v>39501</v>
      </c>
      <c r="I358" s="12">
        <f ca="1">IFERROR(__xludf.DUMMYFUNCTION("""COMPUTED_VALUE"""),39505)</f>
        <v>39505</v>
      </c>
      <c r="J358" s="14" t="str">
        <f ca="1">IFERROR(__xludf.DUMMYFUNCTION("""COMPUTED_VALUE"""),"Mumford,I")</f>
        <v>Mumford,I</v>
      </c>
      <c r="K358" s="15" t="str">
        <f ca="1">IFERROR(__xludf.DUMMYFUNCTION("""COMPUTED_VALUE"""),"Ian Mumford")</f>
        <v>Ian Mumford</v>
      </c>
      <c r="L358" s="17" t="str">
        <f ca="1">IFERROR(__xludf.DUMMYFUNCTION("""COMPUTED_VALUE"""),"closed")</f>
        <v>closed</v>
      </c>
      <c r="M358" s="17" t="str">
        <f ca="1">IFERROR(__xludf.DUMMYFUNCTION("""COMPUTED_VALUE"""),"1st U")</f>
        <v>1st U</v>
      </c>
      <c r="N358" s="15" t="str">
        <f ca="1">IFERROR(__xludf.DUMMYFUNCTION("""COMPUTED_VALUE"""),"Accepted")</f>
        <v>Accepted</v>
      </c>
      <c r="O358" s="18"/>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row>
    <row r="359" spans="1:80" ht="12.75" hidden="1" customHeight="1">
      <c r="A359" s="20">
        <f ca="1">IFERROR(__xludf.DUMMYFUNCTION("""COMPUTED_VALUE"""),2008)</f>
        <v>2008</v>
      </c>
      <c r="B359" s="45">
        <f ca="1">IFERROR(__xludf.DUMMYFUNCTION("""COMPUTED_VALUE"""),40085)</f>
        <v>40085</v>
      </c>
      <c r="C359" s="46">
        <f ca="1">IFERROR(__xludf.DUMMYFUNCTION("""COMPUTED_VALUE"""),40065)</f>
        <v>40065</v>
      </c>
      <c r="D359" s="47" t="str">
        <f ca="1">IFERROR(__xludf.DUMMYFUNCTION("""COMPUTED_VALUE"""),"Ring-billed Gull")</f>
        <v>Ring-billed Gull</v>
      </c>
      <c r="E359" s="52">
        <f ca="1">IFERROR(__xludf.DUMMYFUNCTION("""COMPUTED_VALUE"""),1)</f>
        <v>1</v>
      </c>
      <c r="F359" s="25"/>
      <c r="G359" s="48" t="str">
        <f ca="1">IFERROR(__xludf.DUMMYFUNCTION("""COMPUTED_VALUE"""),"Sandbach Elton Hall Flash")</f>
        <v>Sandbach Elton Hall Flash</v>
      </c>
      <c r="H359" s="22">
        <f ca="1">IFERROR(__xludf.DUMMYFUNCTION("""COMPUTED_VALUE"""),39501)</f>
        <v>39501</v>
      </c>
      <c r="I359" s="22">
        <f ca="1">IFERROR(__xludf.DUMMYFUNCTION("""COMPUTED_VALUE"""),39501)</f>
        <v>39501</v>
      </c>
      <c r="J359" s="24" t="str">
        <f ca="1">IFERROR(__xludf.DUMMYFUNCTION("""COMPUTED_VALUE"""),"Firth, AJ")</f>
        <v>Firth, AJ</v>
      </c>
      <c r="K359" s="25" t="str">
        <f ca="1">IFERROR(__xludf.DUMMYFUNCTION("""COMPUTED_VALUE"""),"?")</f>
        <v>?</v>
      </c>
      <c r="L359" s="27" t="str">
        <f ca="1">IFERROR(__xludf.DUMMYFUNCTION("""COMPUTED_VALUE"""),"closed")</f>
        <v>closed</v>
      </c>
      <c r="M359" s="27" t="str">
        <f ca="1">IFERROR(__xludf.DUMMYFUNCTION("""COMPUTED_VALUE"""),"1st U")</f>
        <v>1st U</v>
      </c>
      <c r="N359" s="25" t="str">
        <f ca="1">IFERROR(__xludf.DUMMYFUNCTION("""COMPUTED_VALUE"""),"Accepted")</f>
        <v>Accepted</v>
      </c>
      <c r="O359" s="28" t="str">
        <f ca="1">IFERROR(__xludf.DUMMYFUNCTION("""COMPUTED_VALUE"""),"an adult in winter plumage")</f>
        <v>an adult in winter plumage</v>
      </c>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5"/>
      <c r="BV359" s="25"/>
      <c r="BW359" s="25"/>
      <c r="BX359" s="25"/>
      <c r="BY359" s="25"/>
      <c r="BZ359" s="25"/>
      <c r="CA359" s="25"/>
      <c r="CB359" s="25"/>
    </row>
    <row r="360" spans="1:80" ht="12.75" hidden="1" customHeight="1">
      <c r="A360" s="10">
        <f ca="1">IFERROR(__xludf.DUMMYFUNCTION("""COMPUTED_VALUE"""),2008)</f>
        <v>2008</v>
      </c>
      <c r="B360" s="50">
        <f ca="1">IFERROR(__xludf.DUMMYFUNCTION("""COMPUTED_VALUE"""),39967)</f>
        <v>39967</v>
      </c>
      <c r="C360" s="41">
        <f ca="1">IFERROR(__xludf.DUMMYFUNCTION("""COMPUTED_VALUE"""),39921)</f>
        <v>39921</v>
      </c>
      <c r="D360" s="42" t="str">
        <f ca="1">IFERROR(__xludf.DUMMYFUNCTION("""COMPUTED_VALUE"""),"Kumlien's Gull")</f>
        <v>Kumlien's Gull</v>
      </c>
      <c r="E360" s="53">
        <f ca="1">IFERROR(__xludf.DUMMYFUNCTION("""COMPUTED_VALUE"""),1)</f>
        <v>1</v>
      </c>
      <c r="F360" s="15" t="str">
        <f ca="1">IFERROR(__xludf.DUMMYFUNCTION("""COMPUTED_VALUE"""),"3rd w")</f>
        <v>3rd w</v>
      </c>
      <c r="G360" s="44" t="str">
        <f ca="1">IFERROR(__xludf.DUMMYFUNCTION("""COMPUTED_VALUE"""),"Moore")</f>
        <v>Moore</v>
      </c>
      <c r="H360" s="12">
        <f ca="1">IFERROR(__xludf.DUMMYFUNCTION("""COMPUTED_VALUE"""),39534)</f>
        <v>39534</v>
      </c>
      <c r="I360" s="12"/>
      <c r="J360" s="14" t="str">
        <f ca="1">IFERROR(__xludf.DUMMYFUNCTION("""COMPUTED_VALUE"""),"Vaughan, T")</f>
        <v>Vaughan, T</v>
      </c>
      <c r="K360" s="15" t="str">
        <f ca="1">IFERROR(__xludf.DUMMYFUNCTION("""COMPUTED_VALUE"""),"Vaughan, T")</f>
        <v>Vaughan, T</v>
      </c>
      <c r="L360" s="17" t="str">
        <f ca="1">IFERROR(__xludf.DUMMYFUNCTION("""COMPUTED_VALUE"""),"closed")</f>
        <v>closed</v>
      </c>
      <c r="M360" s="17" t="str">
        <f ca="1">IFERROR(__xludf.DUMMYFUNCTION("""COMPUTED_VALUE"""),"2nd U")</f>
        <v>2nd U</v>
      </c>
      <c r="N360" s="15" t="str">
        <f ca="1">IFERROR(__xludf.DUMMYFUNCTION("""COMPUTED_VALUE"""),"Accepted")</f>
        <v>Accepted</v>
      </c>
      <c r="O360" s="18"/>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row>
    <row r="361" spans="1:80" ht="12.75" hidden="1" customHeight="1">
      <c r="A361" s="20">
        <f ca="1">IFERROR(__xludf.DUMMYFUNCTION("""COMPUTED_VALUE"""),2008)</f>
        <v>2008</v>
      </c>
      <c r="B361" s="45">
        <f ca="1">IFERROR(__xludf.DUMMYFUNCTION("""COMPUTED_VALUE"""),39866)</f>
        <v>39866</v>
      </c>
      <c r="C361" s="46">
        <f ca="1">IFERROR(__xludf.DUMMYFUNCTION("""COMPUTED_VALUE"""),39824)</f>
        <v>39824</v>
      </c>
      <c r="D361" s="47" t="str">
        <f ca="1">IFERROR(__xludf.DUMMYFUNCTION("""COMPUTED_VALUE"""),"Caspian Gull")</f>
        <v>Caspian Gull</v>
      </c>
      <c r="E361" s="52">
        <f ca="1">IFERROR(__xludf.DUMMYFUNCTION("""COMPUTED_VALUE"""),1)</f>
        <v>1</v>
      </c>
      <c r="F361" s="25" t="str">
        <f ca="1">IFERROR(__xludf.DUMMYFUNCTION("""COMPUTED_VALUE"""),"4th w")</f>
        <v>4th w</v>
      </c>
      <c r="G361" s="48" t="str">
        <f ca="1">IFERROR(__xludf.DUMMYFUNCTION("""COMPUTED_VALUE"""),"Moore")</f>
        <v>Moore</v>
      </c>
      <c r="H361" s="22">
        <f ca="1">IFERROR(__xludf.DUMMYFUNCTION("""COMPUTED_VALUE"""),39498)</f>
        <v>39498</v>
      </c>
      <c r="I361" s="22"/>
      <c r="J361" s="24" t="str">
        <f ca="1">IFERROR(__xludf.DUMMYFUNCTION("""COMPUTED_VALUE"""),"Kinsella, P")</f>
        <v>Kinsella, P</v>
      </c>
      <c r="K361" s="25"/>
      <c r="L361" s="27" t="str">
        <f ca="1">IFERROR(__xludf.DUMMYFUNCTION("""COMPUTED_VALUE"""),"closed")</f>
        <v>closed</v>
      </c>
      <c r="M361" s="27" t="str">
        <f ca="1">IFERROR(__xludf.DUMMYFUNCTION("""COMPUTED_VALUE"""),"1st U")</f>
        <v>1st U</v>
      </c>
      <c r="N361" s="25" t="str">
        <f ca="1">IFERROR(__xludf.DUMMYFUNCTION("""COMPUTED_VALUE"""),"Accepted")</f>
        <v>Accepted</v>
      </c>
      <c r="O361" s="28"/>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c r="BU361" s="25"/>
      <c r="BV361" s="25"/>
      <c r="BW361" s="25"/>
      <c r="BX361" s="25"/>
      <c r="BY361" s="25"/>
      <c r="BZ361" s="25"/>
      <c r="CA361" s="25"/>
      <c r="CB361" s="25"/>
    </row>
    <row r="362" spans="1:80" ht="12.75" hidden="1" customHeight="1">
      <c r="A362" s="10">
        <f ca="1">IFERROR(__xludf.DUMMYFUNCTION("""COMPUTED_VALUE"""),2008)</f>
        <v>2008</v>
      </c>
      <c r="B362" s="50">
        <f ca="1">IFERROR(__xludf.DUMMYFUNCTION("""COMPUTED_VALUE"""),39866)</f>
        <v>39866</v>
      </c>
      <c r="C362" s="41">
        <f ca="1">IFERROR(__xludf.DUMMYFUNCTION("""COMPUTED_VALUE"""),39824)</f>
        <v>39824</v>
      </c>
      <c r="D362" s="42" t="str">
        <f ca="1">IFERROR(__xludf.DUMMYFUNCTION("""COMPUTED_VALUE"""),"Caspian Gull")</f>
        <v>Caspian Gull</v>
      </c>
      <c r="E362" s="53">
        <f ca="1">IFERROR(__xludf.DUMMYFUNCTION("""COMPUTED_VALUE"""),1)</f>
        <v>1</v>
      </c>
      <c r="F362" s="15" t="str">
        <f ca="1">IFERROR(__xludf.DUMMYFUNCTION("""COMPUTED_VALUE"""),"1st w")</f>
        <v>1st w</v>
      </c>
      <c r="G362" s="44" t="str">
        <f ca="1">IFERROR(__xludf.DUMMYFUNCTION("""COMPUTED_VALUE"""),"Richmond Bank")</f>
        <v>Richmond Bank</v>
      </c>
      <c r="H362" s="12">
        <f ca="1">IFERROR(__xludf.DUMMYFUNCTION("""COMPUTED_VALUE"""),39473)</f>
        <v>39473</v>
      </c>
      <c r="I362" s="12">
        <f ca="1">IFERROR(__xludf.DUMMYFUNCTION("""COMPUTED_VALUE"""),39840)</f>
        <v>39840</v>
      </c>
      <c r="J362" s="14" t="str">
        <f ca="1">IFERROR(__xludf.DUMMYFUNCTION("""COMPUTED_VALUE"""),"Tomlinson, S")</f>
        <v>Tomlinson, S</v>
      </c>
      <c r="K362" s="15" t="str">
        <f ca="1">IFERROR(__xludf.DUMMYFUNCTION("""COMPUTED_VALUE"""),"Tim Vaughan")</f>
        <v>Tim Vaughan</v>
      </c>
      <c r="L362" s="17" t="str">
        <f ca="1">IFERROR(__xludf.DUMMYFUNCTION("""COMPUTED_VALUE"""),"closed")</f>
        <v>closed</v>
      </c>
      <c r="M362" s="17" t="str">
        <f ca="1">IFERROR(__xludf.DUMMYFUNCTION("""COMPUTED_VALUE"""),"1st U")</f>
        <v>1st U</v>
      </c>
      <c r="N362" s="15" t="str">
        <f ca="1">IFERROR(__xludf.DUMMYFUNCTION("""COMPUTED_VALUE"""),"Accepted")</f>
        <v>Accepted</v>
      </c>
      <c r="O362" s="18" t="str">
        <f ca="1">IFERROR(__xludf.DUMMYFUNCTION("""COMPUTED_VALUE"""),"1st-winter until 12:22 then flew towards Moore NR; also juvenile Iceland Gull, 2 juvenile Glaucous Gulls and 2nd-winter Yellow-legged Gull")</f>
        <v>1st-winter until 12:22 then flew towards Moore NR; also juvenile Iceland Gull, 2 juvenile Glaucous Gulls and 2nd-winter Yellow-legged Gull</v>
      </c>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row>
    <row r="363" spans="1:80" ht="12.75" hidden="1" customHeight="1">
      <c r="A363" s="20">
        <f ca="1">IFERROR(__xludf.DUMMYFUNCTION("""COMPUTED_VALUE"""),2008)</f>
        <v>2008</v>
      </c>
      <c r="B363" s="45">
        <f ca="1">IFERROR(__xludf.DUMMYFUNCTION("""COMPUTED_VALUE"""),39866)</f>
        <v>39866</v>
      </c>
      <c r="C363" s="46">
        <f ca="1">IFERROR(__xludf.DUMMYFUNCTION("""COMPUTED_VALUE"""),39824)</f>
        <v>39824</v>
      </c>
      <c r="D363" s="47" t="str">
        <f ca="1">IFERROR(__xludf.DUMMYFUNCTION("""COMPUTED_VALUE"""),"Caspian Gull")</f>
        <v>Caspian Gull</v>
      </c>
      <c r="E363" s="52">
        <f ca="1">IFERROR(__xludf.DUMMYFUNCTION("""COMPUTED_VALUE"""),1)</f>
        <v>1</v>
      </c>
      <c r="F363" s="25" t="str">
        <f ca="1">IFERROR(__xludf.DUMMYFUNCTION("""COMPUTED_VALUE"""),"ad")</f>
        <v>ad</v>
      </c>
      <c r="G363" s="48" t="str">
        <f ca="1">IFERROR(__xludf.DUMMYFUNCTION("""COMPUTED_VALUE"""),"Birchwood Pool, Moore NR")</f>
        <v>Birchwood Pool, Moore NR</v>
      </c>
      <c r="H363" s="22">
        <f ca="1">IFERROR(__xludf.DUMMYFUNCTION("""COMPUTED_VALUE"""),39493)</f>
        <v>39493</v>
      </c>
      <c r="I363" s="22"/>
      <c r="J363" s="24" t="str">
        <f ca="1">IFERROR(__xludf.DUMMYFUNCTION("""COMPUTED_VALUE"""),"Tomlinson, S")</f>
        <v>Tomlinson, S</v>
      </c>
      <c r="K363" s="25" t="str">
        <f ca="1">IFERROR(__xludf.DUMMYFUNCTION("""COMPUTED_VALUE"""),"Tim Vaughan")</f>
        <v>Tim Vaughan</v>
      </c>
      <c r="L363" s="27" t="str">
        <f ca="1">IFERROR(__xludf.DUMMYFUNCTION("""COMPUTED_VALUE"""),"closed")</f>
        <v>closed</v>
      </c>
      <c r="M363" s="27" t="str">
        <f ca="1">IFERROR(__xludf.DUMMYFUNCTION("""COMPUTED_VALUE"""),"1st M")</f>
        <v>1st M</v>
      </c>
      <c r="N363" s="25" t="str">
        <f ca="1">IFERROR(__xludf.DUMMYFUNCTION("""COMPUTED_VALUE"""),"Accepted")</f>
        <v>Accepted</v>
      </c>
      <c r="O363" s="28" t="str">
        <f ca="1">IFERROR(__xludf.DUMMYFUNCTION("""COMPUTED_VALUE"""),"may have been present till 19th")</f>
        <v>may have been present till 19th</v>
      </c>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c r="BY363" s="25"/>
      <c r="BZ363" s="25"/>
      <c r="CA363" s="25"/>
      <c r="CB363" s="25"/>
    </row>
    <row r="364" spans="1:80" ht="12.75" hidden="1" customHeight="1">
      <c r="A364" s="10">
        <f ca="1">IFERROR(__xludf.DUMMYFUNCTION("""COMPUTED_VALUE"""),2008)</f>
        <v>2008</v>
      </c>
      <c r="B364" s="50">
        <f ca="1">IFERROR(__xludf.DUMMYFUNCTION("""COMPUTED_VALUE"""),39866)</f>
        <v>39866</v>
      </c>
      <c r="C364" s="41">
        <f ca="1">IFERROR(__xludf.DUMMYFUNCTION("""COMPUTED_VALUE"""),39824)</f>
        <v>39824</v>
      </c>
      <c r="D364" s="42" t="str">
        <f ca="1">IFERROR(__xludf.DUMMYFUNCTION("""COMPUTED_VALUE"""),"Caspian Gull")</f>
        <v>Caspian Gull</v>
      </c>
      <c r="E364" s="53">
        <f ca="1">IFERROR(__xludf.DUMMYFUNCTION("""COMPUTED_VALUE"""),1)</f>
        <v>1</v>
      </c>
      <c r="F364" s="15" t="str">
        <f ca="1">IFERROR(__xludf.DUMMYFUNCTION("""COMPUTED_VALUE"""),"1st w")</f>
        <v>1st w</v>
      </c>
      <c r="G364" s="44" t="str">
        <f ca="1">IFERROR(__xludf.DUMMYFUNCTION("""COMPUTED_VALUE"""),"Arpley Landfill Site")</f>
        <v>Arpley Landfill Site</v>
      </c>
      <c r="H364" s="12">
        <f ca="1">IFERROR(__xludf.DUMMYFUNCTION("""COMPUTED_VALUE"""),39506)</f>
        <v>39506</v>
      </c>
      <c r="I364" s="13"/>
      <c r="J364" s="14"/>
      <c r="K364" s="15"/>
      <c r="L364" s="17" t="str">
        <f ca="1">IFERROR(__xludf.DUMMYFUNCTION("""COMPUTED_VALUE"""),"closed")</f>
        <v>closed</v>
      </c>
      <c r="M364" s="17" t="str">
        <f ca="1">IFERROR(__xludf.DUMMYFUNCTION("""COMPUTED_VALUE"""),"2nd U")</f>
        <v>2nd U</v>
      </c>
      <c r="N364" s="15" t="str">
        <f ca="1">IFERROR(__xludf.DUMMYFUNCTION("""COMPUTED_VALUE"""),"unproven")</f>
        <v>unproven</v>
      </c>
      <c r="O364" s="18" t="str">
        <f ca="1">IFERROR(__xludf.DUMMYFUNCTION("""COMPUTED_VALUE"""),"michahellis not excluded")</f>
        <v>michahellis not excluded</v>
      </c>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row>
    <row r="365" spans="1:80" ht="12.75" hidden="1" customHeight="1">
      <c r="A365" s="20">
        <f ca="1">IFERROR(__xludf.DUMMYFUNCTION("""COMPUTED_VALUE"""),2008)</f>
        <v>2008</v>
      </c>
      <c r="B365" s="45">
        <f ca="1">IFERROR(__xludf.DUMMYFUNCTION("""COMPUTED_VALUE"""),39866)</f>
        <v>39866</v>
      </c>
      <c r="C365" s="46">
        <f ca="1">IFERROR(__xludf.DUMMYFUNCTION("""COMPUTED_VALUE"""),39824)</f>
        <v>39824</v>
      </c>
      <c r="D365" s="47" t="str">
        <f ca="1">IFERROR(__xludf.DUMMYFUNCTION("""COMPUTED_VALUE"""),"Caspian Gull")</f>
        <v>Caspian Gull</v>
      </c>
      <c r="E365" s="52">
        <f ca="1">IFERROR(__xludf.DUMMYFUNCTION("""COMPUTED_VALUE"""),1)</f>
        <v>1</v>
      </c>
      <c r="F365" s="25" t="str">
        <f ca="1">IFERROR(__xludf.DUMMYFUNCTION("""COMPUTED_VALUE"""),"1st w")</f>
        <v>1st w</v>
      </c>
      <c r="G365" s="48" t="str">
        <f ca="1">IFERROR(__xludf.DUMMYFUNCTION("""COMPUTED_VALUE"""),"Arpley Landfill Site")</f>
        <v>Arpley Landfill Site</v>
      </c>
      <c r="H365" s="22">
        <f ca="1">IFERROR(__xludf.DUMMYFUNCTION("""COMPUTED_VALUE"""),39520)</f>
        <v>39520</v>
      </c>
      <c r="I365" s="22"/>
      <c r="J365" s="24" t="str">
        <f ca="1">IFERROR(__xludf.DUMMYFUNCTION("""COMPUTED_VALUE"""),"Tomlinson, S")</f>
        <v>Tomlinson, S</v>
      </c>
      <c r="K365" s="25"/>
      <c r="L365" s="27" t="str">
        <f ca="1">IFERROR(__xludf.DUMMYFUNCTION("""COMPUTED_VALUE"""),"closed")</f>
        <v>closed</v>
      </c>
      <c r="M365" s="27" t="str">
        <f ca="1">IFERROR(__xludf.DUMMYFUNCTION("""COMPUTED_VALUE"""),"1st M")</f>
        <v>1st M</v>
      </c>
      <c r="N365" s="25" t="str">
        <f ca="1">IFERROR(__xludf.DUMMYFUNCTION("""COMPUTED_VALUE"""),"Accepted")</f>
        <v>Accepted</v>
      </c>
      <c r="O365" s="28"/>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c r="BU365" s="25"/>
      <c r="BV365" s="25"/>
      <c r="BW365" s="25"/>
      <c r="BX365" s="25"/>
      <c r="BY365" s="25"/>
      <c r="BZ365" s="25"/>
      <c r="CA365" s="25"/>
      <c r="CB365" s="25"/>
    </row>
    <row r="366" spans="1:80" ht="12.75" hidden="1" customHeight="1">
      <c r="A366" s="10">
        <f ca="1">IFERROR(__xludf.DUMMYFUNCTION("""COMPUTED_VALUE"""),2008)</f>
        <v>2008</v>
      </c>
      <c r="B366" s="50">
        <f ca="1">IFERROR(__xludf.DUMMYFUNCTION("""COMPUTED_VALUE"""),39866)</f>
        <v>39866</v>
      </c>
      <c r="C366" s="41">
        <f ca="1">IFERROR(__xludf.DUMMYFUNCTION("""COMPUTED_VALUE"""),39824)</f>
        <v>39824</v>
      </c>
      <c r="D366" s="42" t="str">
        <f ca="1">IFERROR(__xludf.DUMMYFUNCTION("""COMPUTED_VALUE"""),"Caspian Gull")</f>
        <v>Caspian Gull</v>
      </c>
      <c r="E366" s="53">
        <f ca="1">IFERROR(__xludf.DUMMYFUNCTION("""COMPUTED_VALUE"""),1)</f>
        <v>1</v>
      </c>
      <c r="F366" s="15" t="str">
        <f ca="1">IFERROR(__xludf.DUMMYFUNCTION("""COMPUTED_VALUE"""),"1st w")</f>
        <v>1st w</v>
      </c>
      <c r="G366" s="44" t="str">
        <f ca="1">IFERROR(__xludf.DUMMYFUNCTION("""COMPUTED_VALUE"""),"Birchwood Pool, Moore NR")</f>
        <v>Birchwood Pool, Moore NR</v>
      </c>
      <c r="H366" s="12">
        <f ca="1">IFERROR(__xludf.DUMMYFUNCTION("""COMPUTED_VALUE"""),39513)</f>
        <v>39513</v>
      </c>
      <c r="I366" s="12"/>
      <c r="J366" s="14" t="str">
        <f ca="1">IFERROR(__xludf.DUMMYFUNCTION("""COMPUTED_VALUE"""),"Tomlinson, S")</f>
        <v>Tomlinson, S</v>
      </c>
      <c r="K366" s="15"/>
      <c r="L366" s="17" t="str">
        <f ca="1">IFERROR(__xludf.DUMMYFUNCTION("""COMPUTED_VALUE"""),"closed")</f>
        <v>closed</v>
      </c>
      <c r="M366" s="17" t="str">
        <f ca="1">IFERROR(__xludf.DUMMYFUNCTION("""COMPUTED_VALUE"""),"1st M")</f>
        <v>1st M</v>
      </c>
      <c r="N366" s="15" t="str">
        <f ca="1">IFERROR(__xludf.DUMMYFUNCTION("""COMPUTED_VALUE"""),"Accepted")</f>
        <v>Accepted</v>
      </c>
      <c r="O366" s="18"/>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row>
    <row r="367" spans="1:80" ht="12.75" hidden="1" customHeight="1">
      <c r="A367" s="20">
        <f ca="1">IFERROR(__xludf.DUMMYFUNCTION("""COMPUTED_VALUE"""),2008)</f>
        <v>2008</v>
      </c>
      <c r="B367" s="45">
        <f ca="1">IFERROR(__xludf.DUMMYFUNCTION("""COMPUTED_VALUE"""),39866)</f>
        <v>39866</v>
      </c>
      <c r="C367" s="46">
        <f ca="1">IFERROR(__xludf.DUMMYFUNCTION("""COMPUTED_VALUE"""),39824)</f>
        <v>39824</v>
      </c>
      <c r="D367" s="47" t="str">
        <f ca="1">IFERROR(__xludf.DUMMYFUNCTION("""COMPUTED_VALUE"""),"Caspian Gull")</f>
        <v>Caspian Gull</v>
      </c>
      <c r="E367" s="52">
        <f ca="1">IFERROR(__xludf.DUMMYFUNCTION("""COMPUTED_VALUE"""),1)</f>
        <v>1</v>
      </c>
      <c r="F367" s="25" t="str">
        <f ca="1">IFERROR(__xludf.DUMMYFUNCTION("""COMPUTED_VALUE"""),"1st w")</f>
        <v>1st w</v>
      </c>
      <c r="G367" s="48" t="str">
        <f ca="1">IFERROR(__xludf.DUMMYFUNCTION("""COMPUTED_VALUE"""),"Birchwood Pool, Moore NR")</f>
        <v>Birchwood Pool, Moore NR</v>
      </c>
      <c r="H367" s="22">
        <f ca="1">IFERROR(__xludf.DUMMYFUNCTION("""COMPUTED_VALUE"""),39487)</f>
        <v>39487</v>
      </c>
      <c r="I367" s="22"/>
      <c r="J367" s="24" t="str">
        <f ca="1">IFERROR(__xludf.DUMMYFUNCTION("""COMPUTED_VALUE"""),"Kinsella, P")</f>
        <v>Kinsella, P</v>
      </c>
      <c r="K367" s="25"/>
      <c r="L367" s="27" t="str">
        <f ca="1">IFERROR(__xludf.DUMMYFUNCTION("""COMPUTED_VALUE"""),"closed")</f>
        <v>closed</v>
      </c>
      <c r="M367" s="27" t="str">
        <f ca="1">IFERROR(__xludf.DUMMYFUNCTION("""COMPUTED_VALUE"""),"1st M")</f>
        <v>1st M</v>
      </c>
      <c r="N367" s="25" t="str">
        <f ca="1">IFERROR(__xludf.DUMMYFUNCTION("""COMPUTED_VALUE"""),"Accepted")</f>
        <v>Accepted</v>
      </c>
      <c r="O367" s="28"/>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c r="BU367" s="25"/>
      <c r="BV367" s="25"/>
      <c r="BW367" s="25"/>
      <c r="BX367" s="25"/>
      <c r="BY367" s="25"/>
      <c r="BZ367" s="25"/>
      <c r="CA367" s="25"/>
      <c r="CB367" s="25"/>
    </row>
    <row r="368" spans="1:80" ht="12.75" hidden="1" customHeight="1">
      <c r="A368" s="10">
        <f ca="1">IFERROR(__xludf.DUMMYFUNCTION("""COMPUTED_VALUE"""),2008)</f>
        <v>2008</v>
      </c>
      <c r="B368" s="50">
        <f ca="1">IFERROR(__xludf.DUMMYFUNCTION("""COMPUTED_VALUE"""),39866)</f>
        <v>39866</v>
      </c>
      <c r="C368" s="41">
        <f ca="1">IFERROR(__xludf.DUMMYFUNCTION("""COMPUTED_VALUE"""),39824)</f>
        <v>39824</v>
      </c>
      <c r="D368" s="42" t="str">
        <f ca="1">IFERROR(__xludf.DUMMYFUNCTION("""COMPUTED_VALUE"""),"Caspian Gull")</f>
        <v>Caspian Gull</v>
      </c>
      <c r="E368" s="53">
        <f ca="1">IFERROR(__xludf.DUMMYFUNCTION("""COMPUTED_VALUE"""),1)</f>
        <v>1</v>
      </c>
      <c r="F368" s="15" t="str">
        <f ca="1">IFERROR(__xludf.DUMMYFUNCTION("""COMPUTED_VALUE"""),"2ndw")</f>
        <v>2ndw</v>
      </c>
      <c r="G368" s="44" t="str">
        <f ca="1">IFERROR(__xludf.DUMMYFUNCTION("""COMPUTED_VALUE"""),"Birchwood Pool, Moore NR")</f>
        <v>Birchwood Pool, Moore NR</v>
      </c>
      <c r="H368" s="12">
        <f ca="1">IFERROR(__xludf.DUMMYFUNCTION("""COMPUTED_VALUE"""),39492)</f>
        <v>39492</v>
      </c>
      <c r="I368" s="12"/>
      <c r="J368" s="14" t="str">
        <f ca="1">IFERROR(__xludf.DUMMYFUNCTION("""COMPUTED_VALUE"""),"Kinsella, P")</f>
        <v>Kinsella, P</v>
      </c>
      <c r="K368" s="15"/>
      <c r="L368" s="17" t="str">
        <f ca="1">IFERROR(__xludf.DUMMYFUNCTION("""COMPUTED_VALUE"""),"closed")</f>
        <v>closed</v>
      </c>
      <c r="M368" s="17" t="str">
        <f ca="1">IFERROR(__xludf.DUMMYFUNCTION("""COMPUTED_VALUE"""),"1st M")</f>
        <v>1st M</v>
      </c>
      <c r="N368" s="15" t="str">
        <f ca="1">IFERROR(__xludf.DUMMYFUNCTION("""COMPUTED_VALUE"""),"Accepted")</f>
        <v>Accepted</v>
      </c>
      <c r="O368" s="18"/>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row>
    <row r="369" spans="1:80" ht="12.75" hidden="1" customHeight="1">
      <c r="A369" s="20">
        <f ca="1">IFERROR(__xludf.DUMMYFUNCTION("""COMPUTED_VALUE"""),2008)</f>
        <v>2008</v>
      </c>
      <c r="B369" s="45">
        <f ca="1">IFERROR(__xludf.DUMMYFUNCTION("""COMPUTED_VALUE"""),39866)</f>
        <v>39866</v>
      </c>
      <c r="C369" s="46">
        <f ca="1">IFERROR(__xludf.DUMMYFUNCTION("""COMPUTED_VALUE"""),39824)</f>
        <v>39824</v>
      </c>
      <c r="D369" s="47" t="str">
        <f ca="1">IFERROR(__xludf.DUMMYFUNCTION("""COMPUTED_VALUE"""),"Caspian Gull")</f>
        <v>Caspian Gull</v>
      </c>
      <c r="E369" s="52">
        <f ca="1">IFERROR(__xludf.DUMMYFUNCTION("""COMPUTED_VALUE"""),1)</f>
        <v>1</v>
      </c>
      <c r="F369" s="25" t="str">
        <f ca="1">IFERROR(__xludf.DUMMYFUNCTION("""COMPUTED_VALUE"""),"1st w")</f>
        <v>1st w</v>
      </c>
      <c r="G369" s="48" t="str">
        <f ca="1">IFERROR(__xludf.DUMMYFUNCTION("""COMPUTED_VALUE"""),"Richmond Bank")</f>
        <v>Richmond Bank</v>
      </c>
      <c r="H369" s="22">
        <f ca="1">IFERROR(__xludf.DUMMYFUNCTION("""COMPUTED_VALUE"""),39452)</f>
        <v>39452</v>
      </c>
      <c r="I369" s="22"/>
      <c r="J369" s="24" t="str">
        <f ca="1">IFERROR(__xludf.DUMMYFUNCTION("""COMPUTED_VALUE"""),"Vaughan, T")</f>
        <v>Vaughan, T</v>
      </c>
      <c r="K369" s="25"/>
      <c r="L369" s="27" t="str">
        <f ca="1">IFERROR(__xludf.DUMMYFUNCTION("""COMPUTED_VALUE"""),"closed")</f>
        <v>closed</v>
      </c>
      <c r="M369" s="27" t="str">
        <f ca="1">IFERROR(__xludf.DUMMYFUNCTION("""COMPUTED_VALUE"""),"1st U")</f>
        <v>1st U</v>
      </c>
      <c r="N369" s="25" t="str">
        <f ca="1">IFERROR(__xludf.DUMMYFUNCTION("""COMPUTED_VALUE"""),"Accepted")</f>
        <v>Accepted</v>
      </c>
      <c r="O369" s="28" t="str">
        <f ca="1">IFERROR(__xludf.DUMMYFUNCTION("""COMPUTED_VALUE"""),"1st-winter this afternoon till 12:55 plus three 1st-winter Yellow-legged Gulls")</f>
        <v>1st-winter this afternoon till 12:55 plus three 1st-winter Yellow-legged Gulls</v>
      </c>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c r="BY369" s="25"/>
      <c r="BZ369" s="25"/>
      <c r="CA369" s="25"/>
      <c r="CB369" s="25"/>
    </row>
    <row r="370" spans="1:80" ht="12.75" hidden="1" customHeight="1">
      <c r="A370" s="10">
        <f ca="1">IFERROR(__xludf.DUMMYFUNCTION("""COMPUTED_VALUE"""),2008)</f>
        <v>2008</v>
      </c>
      <c r="B370" s="50">
        <f ca="1">IFERROR(__xludf.DUMMYFUNCTION("""COMPUTED_VALUE"""),39866)</f>
        <v>39866</v>
      </c>
      <c r="C370" s="41">
        <f ca="1">IFERROR(__xludf.DUMMYFUNCTION("""COMPUTED_VALUE"""),39824)</f>
        <v>39824</v>
      </c>
      <c r="D370" s="42" t="str">
        <f ca="1">IFERROR(__xludf.DUMMYFUNCTION("""COMPUTED_VALUE"""),"Caspian Gull")</f>
        <v>Caspian Gull</v>
      </c>
      <c r="E370" s="53">
        <f ca="1">IFERROR(__xludf.DUMMYFUNCTION("""COMPUTED_VALUE"""),1)</f>
        <v>1</v>
      </c>
      <c r="F370" s="15" t="str">
        <f ca="1">IFERROR(__xludf.DUMMYFUNCTION("""COMPUTED_VALUE"""),"4th w")</f>
        <v>4th w</v>
      </c>
      <c r="G370" s="44" t="str">
        <f ca="1">IFERROR(__xludf.DUMMYFUNCTION("""COMPUTED_VALUE"""),"Richmond Bank")</f>
        <v>Richmond Bank</v>
      </c>
      <c r="H370" s="12">
        <f ca="1">IFERROR(__xludf.DUMMYFUNCTION("""COMPUTED_VALUE"""),39459)</f>
        <v>39459</v>
      </c>
      <c r="I370" s="12"/>
      <c r="J370" s="14" t="str">
        <f ca="1">IFERROR(__xludf.DUMMYFUNCTION("""COMPUTED_VALUE"""),"Vaughan, T")</f>
        <v>Vaughan, T</v>
      </c>
      <c r="K370" s="15"/>
      <c r="L370" s="17" t="str">
        <f ca="1">IFERROR(__xludf.DUMMYFUNCTION("""COMPUTED_VALUE"""),"closed")</f>
        <v>closed</v>
      </c>
      <c r="M370" s="17" t="str">
        <f ca="1">IFERROR(__xludf.DUMMYFUNCTION("""COMPUTED_VALUE"""),"1st U")</f>
        <v>1st U</v>
      </c>
      <c r="N370" s="15" t="str">
        <f ca="1">IFERROR(__xludf.DUMMYFUNCTION("""COMPUTED_VALUE"""),"Accepted")</f>
        <v>Accepted</v>
      </c>
      <c r="O370" s="18"/>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row>
    <row r="371" spans="1:80" ht="12.75" hidden="1" customHeight="1">
      <c r="A371" s="20">
        <f ca="1">IFERROR(__xludf.DUMMYFUNCTION("""COMPUTED_VALUE"""),2008)</f>
        <v>2008</v>
      </c>
      <c r="B371" s="45">
        <f ca="1">IFERROR(__xludf.DUMMYFUNCTION("""COMPUTED_VALUE"""),40026)</f>
        <v>40026</v>
      </c>
      <c r="C371" s="46">
        <f ca="1">IFERROR(__xludf.DUMMYFUNCTION("""COMPUTED_VALUE"""),39998)</f>
        <v>39998</v>
      </c>
      <c r="D371" s="47" t="str">
        <f ca="1">IFERROR(__xludf.DUMMYFUNCTION("""COMPUTED_VALUE"""),"caspian Gull")</f>
        <v>caspian Gull</v>
      </c>
      <c r="E371" s="52">
        <f ca="1">IFERROR(__xludf.DUMMYFUNCTION("""COMPUTED_VALUE"""),1)</f>
        <v>1</v>
      </c>
      <c r="F371" s="25" t="str">
        <f ca="1">IFERROR(__xludf.DUMMYFUNCTION("""COMPUTED_VALUE"""),"juv")</f>
        <v>juv</v>
      </c>
      <c r="G371" s="48" t="str">
        <f ca="1">IFERROR(__xludf.DUMMYFUNCTION("""COMPUTED_VALUE"""),"Moore")</f>
        <v>Moore</v>
      </c>
      <c r="H371" s="22">
        <f ca="1">IFERROR(__xludf.DUMMYFUNCTION("""COMPUTED_VALUE"""),39501)</f>
        <v>39501</v>
      </c>
      <c r="I371" s="22"/>
      <c r="J371" s="24" t="str">
        <f ca="1">IFERROR(__xludf.DUMMYFUNCTION("""COMPUTED_VALUE"""),"Vaughan, T")</f>
        <v>Vaughan, T</v>
      </c>
      <c r="K371" s="25" t="str">
        <f ca="1">IFERROR(__xludf.DUMMYFUNCTION("""COMPUTED_VALUE"""),"Tim Vaughan")</f>
        <v>Tim Vaughan</v>
      </c>
      <c r="L371" s="27" t="str">
        <f ca="1">IFERROR(__xludf.DUMMYFUNCTION("""COMPUTED_VALUE"""),"closed")</f>
        <v>closed</v>
      </c>
      <c r="M371" s="27" t="str">
        <f ca="1">IFERROR(__xludf.DUMMYFUNCTION("""COMPUTED_VALUE"""),"1st U")</f>
        <v>1st U</v>
      </c>
      <c r="N371" s="25" t="str">
        <f ca="1">IFERROR(__xludf.DUMMYFUNCTION("""COMPUTED_VALUE"""),"Accepted")</f>
        <v>Accepted</v>
      </c>
      <c r="O371" s="28"/>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c r="BY371" s="25"/>
      <c r="BZ371" s="25"/>
      <c r="CA371" s="25"/>
      <c r="CB371" s="25"/>
    </row>
    <row r="372" spans="1:80" ht="12.75" hidden="1" customHeight="1">
      <c r="A372" s="10">
        <f ca="1">IFERROR(__xludf.DUMMYFUNCTION("""COMPUTED_VALUE"""),2008)</f>
        <v>2008</v>
      </c>
      <c r="B372" s="50">
        <f ca="1">IFERROR(__xludf.DUMMYFUNCTION("""COMPUTED_VALUE"""),40026)</f>
        <v>40026</v>
      </c>
      <c r="C372" s="41">
        <f ca="1">IFERROR(__xludf.DUMMYFUNCTION("""COMPUTED_VALUE"""),39998)</f>
        <v>39998</v>
      </c>
      <c r="D372" s="42" t="str">
        <f ca="1">IFERROR(__xludf.DUMMYFUNCTION("""COMPUTED_VALUE"""),"Caspian Gull")</f>
        <v>Caspian Gull</v>
      </c>
      <c r="E372" s="53">
        <f ca="1">IFERROR(__xludf.DUMMYFUNCTION("""COMPUTED_VALUE"""),1)</f>
        <v>1</v>
      </c>
      <c r="F372" s="15" t="str">
        <f ca="1">IFERROR(__xludf.DUMMYFUNCTION("""COMPUTED_VALUE"""),"ad")</f>
        <v>ad</v>
      </c>
      <c r="G372" s="44" t="str">
        <f ca="1">IFERROR(__xludf.DUMMYFUNCTION("""COMPUTED_VALUE"""),"Moore")</f>
        <v>Moore</v>
      </c>
      <c r="H372" s="12">
        <f ca="1">IFERROR(__xludf.DUMMYFUNCTION("""COMPUTED_VALUE"""),39485)</f>
        <v>39485</v>
      </c>
      <c r="I372" s="12">
        <f ca="1">IFERROR(__xludf.DUMMYFUNCTION("""COMPUTED_VALUE"""),39512)</f>
        <v>39512</v>
      </c>
      <c r="J372" s="14"/>
      <c r="K372" s="15"/>
      <c r="L372" s="17" t="str">
        <f ca="1">IFERROR(__xludf.DUMMYFUNCTION("""COMPUTED_VALUE"""),"closed")</f>
        <v>closed</v>
      </c>
      <c r="M372" s="17" t="str">
        <f ca="1">IFERROR(__xludf.DUMMYFUNCTION("""COMPUTED_VALUE"""),"1st U")</f>
        <v>1st U</v>
      </c>
      <c r="N372" s="15" t="str">
        <f ca="1">IFERROR(__xludf.DUMMYFUNCTION("""COMPUTED_VALUE"""),"unproven")</f>
        <v>unproven</v>
      </c>
      <c r="O372" s="18" t="str">
        <f ca="1">IFERROR(__xludf.DUMMYFUNCTION("""COMPUTED_VALUE"""),"No description taken and and not enough in the photos to prove the identification. Also a suggestion that there were two birds from the photos provided")</f>
        <v>No description taken and and not enough in the photos to prove the identification. Also a suggestion that there were two birds from the photos provided</v>
      </c>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row>
    <row r="373" spans="1:80" ht="12.75" hidden="1" customHeight="1">
      <c r="A373" s="20">
        <f ca="1">IFERROR(__xludf.DUMMYFUNCTION("""COMPUTED_VALUE"""),2008)</f>
        <v>2008</v>
      </c>
      <c r="B373" s="45">
        <f ca="1">IFERROR(__xludf.DUMMYFUNCTION("""COMPUTED_VALUE"""),40586)</f>
        <v>40586</v>
      </c>
      <c r="C373" s="46">
        <f ca="1">IFERROR(__xludf.DUMMYFUNCTION("""COMPUTED_VALUE"""),40245)</f>
        <v>40245</v>
      </c>
      <c r="D373" s="47" t="str">
        <f ca="1">IFERROR(__xludf.DUMMYFUNCTION("""COMPUTED_VALUE"""),"Caspian Gull")</f>
        <v>Caspian Gull</v>
      </c>
      <c r="E373" s="52">
        <f ca="1">IFERROR(__xludf.DUMMYFUNCTION("""COMPUTED_VALUE"""),1)</f>
        <v>1</v>
      </c>
      <c r="F373" s="25" t="str">
        <f ca="1">IFERROR(__xludf.DUMMYFUNCTION("""COMPUTED_VALUE"""),"3rd W")</f>
        <v>3rd W</v>
      </c>
      <c r="G373" s="48" t="str">
        <f ca="1">IFERROR(__xludf.DUMMYFUNCTION("""COMPUTED_VALUE"""),"Birchwood Pool, Moore NR")</f>
        <v>Birchwood Pool, Moore NR</v>
      </c>
      <c r="H373" s="22">
        <f ca="1">IFERROR(__xludf.DUMMYFUNCTION("""COMPUTED_VALUE"""),39811)</f>
        <v>39811</v>
      </c>
      <c r="I373" s="22"/>
      <c r="J373" s="24" t="str">
        <f ca="1">IFERROR(__xludf.DUMMYFUNCTION("""COMPUTED_VALUE"""),"Kinsella, P")</f>
        <v>Kinsella, P</v>
      </c>
      <c r="K373" s="25" t="str">
        <f ca="1">IFERROR(__xludf.DUMMYFUNCTION("""COMPUTED_VALUE"""),"Kinsella, P")</f>
        <v>Kinsella, P</v>
      </c>
      <c r="L373" s="27" t="str">
        <f ca="1">IFERROR(__xludf.DUMMYFUNCTION("""COMPUTED_VALUE"""),"closed")</f>
        <v>closed</v>
      </c>
      <c r="M373" s="27" t="str">
        <f ca="1">IFERROR(__xludf.DUMMYFUNCTION("""COMPUTED_VALUE"""),"2ndM")</f>
        <v>2ndM</v>
      </c>
      <c r="N373" s="25" t="str">
        <f ca="1">IFERROR(__xludf.DUMMYFUNCTION("""COMPUTED_VALUE"""),"accepted")</f>
        <v>accepted</v>
      </c>
      <c r="O373" s="28"/>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c r="BY373" s="25"/>
      <c r="BZ373" s="25"/>
      <c r="CA373" s="25"/>
      <c r="CB373" s="25"/>
    </row>
    <row r="374" spans="1:80" ht="12.75" hidden="1" customHeight="1">
      <c r="A374" s="10">
        <f ca="1">IFERROR(__xludf.DUMMYFUNCTION("""COMPUTED_VALUE"""),2008)</f>
        <v>2008</v>
      </c>
      <c r="B374" s="50">
        <f ca="1">IFERROR(__xludf.DUMMYFUNCTION("""COMPUTED_VALUE"""),40736)</f>
        <v>40736</v>
      </c>
      <c r="C374" s="41">
        <f ca="1">IFERROR(__xludf.DUMMYFUNCTION("""COMPUTED_VALUE"""),40606)</f>
        <v>40606</v>
      </c>
      <c r="D374" s="42" t="str">
        <f ca="1">IFERROR(__xludf.DUMMYFUNCTION("""COMPUTED_VALUE"""),"Caspian Gull")</f>
        <v>Caspian Gull</v>
      </c>
      <c r="E374" s="53">
        <f ca="1">IFERROR(__xludf.DUMMYFUNCTION("""COMPUTED_VALUE"""),1)</f>
        <v>1</v>
      </c>
      <c r="F374" s="15" t="str">
        <f ca="1">IFERROR(__xludf.DUMMYFUNCTION("""COMPUTED_VALUE"""),"Ad")</f>
        <v>Ad</v>
      </c>
      <c r="G374" s="44" t="str">
        <f ca="1">IFERROR(__xludf.DUMMYFUNCTION("""COMPUTED_VALUE"""),"Richmond Bank")</f>
        <v>Richmond Bank</v>
      </c>
      <c r="H374" s="12">
        <f ca="1">IFERROR(__xludf.DUMMYFUNCTION("""COMPUTED_VALUE"""),39812)</f>
        <v>39812</v>
      </c>
      <c r="I374" s="13"/>
      <c r="J374" s="14" t="str">
        <f ca="1">IFERROR(__xludf.DUMMYFUNCTION("""COMPUTED_VALUE"""),"Kinsella, P")</f>
        <v>Kinsella, P</v>
      </c>
      <c r="K374" s="15" t="str">
        <f ca="1">IFERROR(__xludf.DUMMYFUNCTION("""COMPUTED_VALUE"""),"Pete Kinsella")</f>
        <v>Pete Kinsella</v>
      </c>
      <c r="L374" s="17" t="str">
        <f ca="1">IFERROR(__xludf.DUMMYFUNCTION("""COMPUTED_VALUE"""),"closed")</f>
        <v>closed</v>
      </c>
      <c r="M374" s="17" t="str">
        <f ca="1">IFERROR(__xludf.DUMMYFUNCTION("""COMPUTED_VALUE"""),"1st M")</f>
        <v>1st M</v>
      </c>
      <c r="N374" s="15" t="str">
        <f ca="1">IFERROR(__xludf.DUMMYFUNCTION("""COMPUTED_VALUE"""),"accepted")</f>
        <v>accepted</v>
      </c>
      <c r="O374" s="18"/>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row>
    <row r="375" spans="1:80" ht="12.75" hidden="1" customHeight="1">
      <c r="A375" s="20">
        <f ca="1">IFERROR(__xludf.DUMMYFUNCTION("""COMPUTED_VALUE"""),2008)</f>
        <v>2008</v>
      </c>
      <c r="B375" s="45">
        <f ca="1">IFERROR(__xludf.DUMMYFUNCTION("""COMPUTED_VALUE"""),39532)</f>
        <v>39532</v>
      </c>
      <c r="C375" s="46">
        <f ca="1">IFERROR(__xludf.DUMMYFUNCTION("""COMPUTED_VALUE"""),39517)</f>
        <v>39517</v>
      </c>
      <c r="D375" s="47" t="str">
        <f ca="1">IFERROR(__xludf.DUMMYFUNCTION("""COMPUTED_VALUE"""),"Arctic Skua")</f>
        <v>Arctic Skua</v>
      </c>
      <c r="E375" s="52">
        <f ca="1">IFERROR(__xludf.DUMMYFUNCTION("""COMPUTED_VALUE"""),1)</f>
        <v>1</v>
      </c>
      <c r="F375" s="25"/>
      <c r="G375" s="48" t="str">
        <f ca="1">IFERROR(__xludf.DUMMYFUNCTION("""COMPUTED_VALUE"""),"West Kirby")</f>
        <v>West Kirby</v>
      </c>
      <c r="H375" s="22">
        <f ca="1">IFERROR(__xludf.DUMMYFUNCTION("""COMPUTED_VALUE"""),39471)</f>
        <v>39471</v>
      </c>
      <c r="I375" s="22"/>
      <c r="J375" s="24"/>
      <c r="K375" s="25"/>
      <c r="L375" s="27" t="str">
        <f ca="1">IFERROR(__xludf.DUMMYFUNCTION("""COMPUTED_VALUE"""),"closed")</f>
        <v>closed</v>
      </c>
      <c r="M375" s="27" t="str">
        <f ca="1">IFERROR(__xludf.DUMMYFUNCTION("""COMPUTED_VALUE"""),"3rd U")</f>
        <v>3rd U</v>
      </c>
      <c r="N375" s="25" t="str">
        <f ca="1">IFERROR(__xludf.DUMMYFUNCTION("""COMPUTED_VALUE"""),"unproven")</f>
        <v>unproven</v>
      </c>
      <c r="O375" s="28" t="str">
        <f ca="1">IFERROR(__xludf.DUMMYFUNCTION("""COMPUTED_VALUE"""),"Accepted as skua spp.  Pomarine thought to be more likely on the description")</f>
        <v>Accepted as skua spp.  Pomarine thought to be more likely on the description</v>
      </c>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c r="BY375" s="25"/>
      <c r="BZ375" s="25"/>
      <c r="CA375" s="25"/>
      <c r="CB375" s="25"/>
    </row>
    <row r="376" spans="1:80" ht="12.75" hidden="1" customHeight="1">
      <c r="A376" s="10">
        <f ca="1">IFERROR(__xludf.DUMMYFUNCTION("""COMPUTED_VALUE"""),2008)</f>
        <v>2008</v>
      </c>
      <c r="B376" s="50">
        <f ca="1">IFERROR(__xludf.DUMMYFUNCTION("""COMPUTED_VALUE"""),40026)</f>
        <v>40026</v>
      </c>
      <c r="C376" s="41">
        <f ca="1">IFERROR(__xludf.DUMMYFUNCTION("""COMPUTED_VALUE"""),39998)</f>
        <v>39998</v>
      </c>
      <c r="D376" s="42" t="str">
        <f ca="1">IFERROR(__xludf.DUMMYFUNCTION("""COMPUTED_VALUE"""),"Puffin")</f>
        <v>Puffin</v>
      </c>
      <c r="E376" s="53">
        <f ca="1">IFERROR(__xludf.DUMMYFUNCTION("""COMPUTED_VALUE"""),1)</f>
        <v>1</v>
      </c>
      <c r="F376" s="15"/>
      <c r="G376" s="44" t="str">
        <f ca="1">IFERROR(__xludf.DUMMYFUNCTION("""COMPUTED_VALUE"""),"Hilbre ")</f>
        <v xml:space="preserve">Hilbre </v>
      </c>
      <c r="H376" s="12">
        <f ca="1">IFERROR(__xludf.DUMMYFUNCTION("""COMPUTED_VALUE"""),39574)</f>
        <v>39574</v>
      </c>
      <c r="I376" s="12"/>
      <c r="J376" s="14" t="str">
        <f ca="1">IFERROR(__xludf.DUMMYFUNCTION("""COMPUTED_VALUE"""),"Jones, C (Colin)")</f>
        <v>Jones, C (Colin)</v>
      </c>
      <c r="K376" s="15" t="str">
        <f ca="1">IFERROR(__xludf.DUMMYFUNCTION("""COMPUTED_VALUE"""),"Jones, C (Colin)")</f>
        <v>Jones, C (Colin)</v>
      </c>
      <c r="L376" s="17" t="str">
        <f ca="1">IFERROR(__xludf.DUMMYFUNCTION("""COMPUTED_VALUE"""),"closed")</f>
        <v>closed</v>
      </c>
      <c r="M376" s="17" t="str">
        <f ca="1">IFERROR(__xludf.DUMMYFUNCTION("""COMPUTED_VALUE"""),"1st U")</f>
        <v>1st U</v>
      </c>
      <c r="N376" s="15" t="str">
        <f ca="1">IFERROR(__xludf.DUMMYFUNCTION("""COMPUTED_VALUE"""),"Accepted")</f>
        <v>Accepted</v>
      </c>
      <c r="O376" s="18"/>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row>
    <row r="377" spans="1:80" ht="12.75" hidden="1" customHeight="1">
      <c r="A377" s="20">
        <f ca="1">IFERROR(__xludf.DUMMYFUNCTION("""COMPUTED_VALUE"""),2008)</f>
        <v>2008</v>
      </c>
      <c r="B377" s="45">
        <f ca="1">IFERROR(__xludf.DUMMYFUNCTION("""COMPUTED_VALUE"""),40085)</f>
        <v>40085</v>
      </c>
      <c r="C377" s="46">
        <f ca="1">IFERROR(__xludf.DUMMYFUNCTION("""COMPUTED_VALUE"""),40065)</f>
        <v>40065</v>
      </c>
      <c r="D377" s="47" t="str">
        <f ca="1">IFERROR(__xludf.DUMMYFUNCTION("""COMPUTED_VALUE"""),"Puffin")</f>
        <v>Puffin</v>
      </c>
      <c r="E377" s="52">
        <f ca="1">IFERROR(__xludf.DUMMYFUNCTION("""COMPUTED_VALUE"""),1)</f>
        <v>1</v>
      </c>
      <c r="F377" s="25"/>
      <c r="G377" s="48" t="str">
        <f ca="1">IFERROR(__xludf.DUMMYFUNCTION("""COMPUTED_VALUE"""),"Hilbre")</f>
        <v>Hilbre</v>
      </c>
      <c r="H377" s="22">
        <f ca="1">IFERROR(__xludf.DUMMYFUNCTION("""COMPUTED_VALUE"""),39645)</f>
        <v>39645</v>
      </c>
      <c r="I377" s="22">
        <f ca="1">IFERROR(__xludf.DUMMYFUNCTION("""COMPUTED_VALUE"""),39645)</f>
        <v>39645</v>
      </c>
      <c r="J377" s="24" t="str">
        <f ca="1">IFERROR(__xludf.DUMMYFUNCTION("""COMPUTED_VALUE"""),"Hilbre Bird Observatory")</f>
        <v>Hilbre Bird Observatory</v>
      </c>
      <c r="K377" s="25"/>
      <c r="L377" s="27" t="str">
        <f ca="1">IFERROR(__xludf.DUMMYFUNCTION("""COMPUTED_VALUE"""),"closed")</f>
        <v>closed</v>
      </c>
      <c r="M377" s="27" t="str">
        <f ca="1">IFERROR(__xludf.DUMMYFUNCTION("""COMPUTED_VALUE"""),"1st U")</f>
        <v>1st U</v>
      </c>
      <c r="N377" s="25" t="str">
        <f ca="1">IFERROR(__xludf.DUMMYFUNCTION("""COMPUTED_VALUE"""),"Accepted")</f>
        <v>Accepted</v>
      </c>
      <c r="O377" s="28" t="str">
        <f ca="1">IFERROR(__xludf.DUMMYFUNCTION("""COMPUTED_VALUE"""),"Dead")</f>
        <v>Dead</v>
      </c>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c r="BU377" s="25"/>
      <c r="BV377" s="25"/>
      <c r="BW377" s="25"/>
      <c r="BX377" s="25"/>
      <c r="BY377" s="25"/>
      <c r="BZ377" s="25"/>
      <c r="CA377" s="25"/>
      <c r="CB377" s="25"/>
    </row>
    <row r="378" spans="1:80" ht="12.75" hidden="1" customHeight="1">
      <c r="A378" s="10">
        <f ca="1">IFERROR(__xludf.DUMMYFUNCTION("""COMPUTED_VALUE"""),2008)</f>
        <v>2008</v>
      </c>
      <c r="B378" s="50"/>
      <c r="C378" s="41"/>
      <c r="D378" s="42" t="str">
        <f ca="1">IFERROR(__xludf.DUMMYFUNCTION("""COMPUTED_VALUE"""),"Great northern Diver")</f>
        <v>Great northern Diver</v>
      </c>
      <c r="E378" s="53">
        <f ca="1">IFERROR(__xludf.DUMMYFUNCTION("""COMPUTED_VALUE"""),1)</f>
        <v>1</v>
      </c>
      <c r="F378" s="15"/>
      <c r="G378" s="44" t="str">
        <f ca="1">IFERROR(__xludf.DUMMYFUNCTION("""COMPUTED_VALUE"""),"West Kirby Marine Lake")</f>
        <v>West Kirby Marine Lake</v>
      </c>
      <c r="H378" s="12">
        <f ca="1">IFERROR(__xludf.DUMMYFUNCTION("""COMPUTED_VALUE"""),39762)</f>
        <v>39762</v>
      </c>
      <c r="I378" s="12">
        <f ca="1">IFERROR(__xludf.DUMMYFUNCTION("""COMPUTED_VALUE"""),39798)</f>
        <v>39798</v>
      </c>
      <c r="J378" s="14"/>
      <c r="K378" s="15" t="str">
        <f ca="1">IFERROR(__xludf.DUMMYFUNCTION("""COMPUTED_VALUE"""),"Steve Hinde")</f>
        <v>Steve Hinde</v>
      </c>
      <c r="L378" s="17" t="str">
        <f ca="1">IFERROR(__xludf.DUMMYFUNCTION("""COMPUTED_VALUE"""),"closed")</f>
        <v>closed</v>
      </c>
      <c r="M378" s="17"/>
      <c r="N378" s="15" t="str">
        <f ca="1">IFERROR(__xludf.DUMMYFUNCTION("""COMPUTED_VALUE"""),"accepted")</f>
        <v>accepted</v>
      </c>
      <c r="O378" s="18"/>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row>
    <row r="379" spans="1:80" ht="12.75" hidden="1" customHeight="1">
      <c r="A379" s="20">
        <f ca="1">IFERROR(__xludf.DUMMYFUNCTION("""COMPUTED_VALUE"""),2008)</f>
        <v>2008</v>
      </c>
      <c r="B379" s="45">
        <f ca="1">IFERROR(__xludf.DUMMYFUNCTION("""COMPUTED_VALUE"""),39866)</f>
        <v>39866</v>
      </c>
      <c r="C379" s="46">
        <f ca="1">IFERROR(__xludf.DUMMYFUNCTION("""COMPUTED_VALUE"""),39824)</f>
        <v>39824</v>
      </c>
      <c r="D379" s="47" t="str">
        <f ca="1">IFERROR(__xludf.DUMMYFUNCTION("""COMPUTED_VALUE"""),"Great northern Diver")</f>
        <v>Great northern Diver</v>
      </c>
      <c r="E379" s="52">
        <f ca="1">IFERROR(__xludf.DUMMYFUNCTION("""COMPUTED_VALUE"""),1)</f>
        <v>1</v>
      </c>
      <c r="F379" s="25" t="str">
        <f ca="1">IFERROR(__xludf.DUMMYFUNCTION("""COMPUTED_VALUE"""),"juv")</f>
        <v>juv</v>
      </c>
      <c r="G379" s="48" t="str">
        <f ca="1">IFERROR(__xludf.DUMMYFUNCTION("""COMPUTED_VALUE"""),"West Kirby Marine Lake")</f>
        <v>West Kirby Marine Lake</v>
      </c>
      <c r="H379" s="22">
        <f ca="1">IFERROR(__xludf.DUMMYFUNCTION("""COMPUTED_VALUE"""),39768)</f>
        <v>39768</v>
      </c>
      <c r="I379" s="23"/>
      <c r="J379" s="24" t="str">
        <f ca="1">IFERROR(__xludf.DUMMYFUNCTION("""COMPUTED_VALUE"""),"Eades, R")</f>
        <v>Eades, R</v>
      </c>
      <c r="K379" s="25" t="str">
        <f ca="1">IFERROR(__xludf.DUMMYFUNCTION("""COMPUTED_VALUE"""),"Steve Hinde")</f>
        <v>Steve Hinde</v>
      </c>
      <c r="L379" s="27" t="str">
        <f ca="1">IFERROR(__xludf.DUMMYFUNCTION("""COMPUTED_VALUE"""),"closed")</f>
        <v>closed</v>
      </c>
      <c r="M379" s="27" t="str">
        <f ca="1">IFERROR(__xludf.DUMMYFUNCTION("""COMPUTED_VALUE"""),"1st U")</f>
        <v>1st U</v>
      </c>
      <c r="N379" s="25" t="str">
        <f ca="1">IFERROR(__xludf.DUMMYFUNCTION("""COMPUTED_VALUE"""),"Accepted")</f>
        <v>Accepted</v>
      </c>
      <c r="O379" s="28"/>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c r="BU379" s="25"/>
      <c r="BV379" s="25"/>
      <c r="BW379" s="25"/>
      <c r="BX379" s="25"/>
      <c r="BY379" s="25"/>
      <c r="BZ379" s="25"/>
      <c r="CA379" s="25"/>
      <c r="CB379" s="25"/>
    </row>
    <row r="380" spans="1:80" ht="12.75" hidden="1" customHeight="1">
      <c r="A380" s="10">
        <f ca="1">IFERROR(__xludf.DUMMYFUNCTION("""COMPUTED_VALUE"""),2008)</f>
        <v>2008</v>
      </c>
      <c r="B380" s="50">
        <f ca="1">IFERROR(__xludf.DUMMYFUNCTION("""COMPUTED_VALUE"""),40085)</f>
        <v>40085</v>
      </c>
      <c r="C380" s="41">
        <f ca="1">IFERROR(__xludf.DUMMYFUNCTION("""COMPUTED_VALUE"""),40065)</f>
        <v>40065</v>
      </c>
      <c r="D380" s="42" t="str">
        <f ca="1">IFERROR(__xludf.DUMMYFUNCTION("""COMPUTED_VALUE"""),"Great Northern Diver")</f>
        <v>Great Northern Diver</v>
      </c>
      <c r="E380" s="53">
        <f ca="1">IFERROR(__xludf.DUMMYFUNCTION("""COMPUTED_VALUE"""),1)</f>
        <v>1</v>
      </c>
      <c r="F380" s="15" t="str">
        <f ca="1">IFERROR(__xludf.DUMMYFUNCTION("""COMPUTED_VALUE"""),"Immature")</f>
        <v>Immature</v>
      </c>
      <c r="G380" s="44" t="str">
        <f ca="1">IFERROR(__xludf.DUMMYFUNCTION("""COMPUTED_VALUE"""),"Hilbre")</f>
        <v>Hilbre</v>
      </c>
      <c r="H380" s="12">
        <f ca="1">IFERROR(__xludf.DUMMYFUNCTION("""COMPUTED_VALUE"""),39758)</f>
        <v>39758</v>
      </c>
      <c r="I380" s="12">
        <f ca="1">IFERROR(__xludf.DUMMYFUNCTION("""COMPUTED_VALUE"""),39797)</f>
        <v>39797</v>
      </c>
      <c r="J380" s="14" t="str">
        <f ca="1">IFERROR(__xludf.DUMMYFUNCTION("""COMPUTED_VALUE"""),"HiBO")</f>
        <v>HiBO</v>
      </c>
      <c r="K380" s="15" t="str">
        <f ca="1">IFERROR(__xludf.DUMMYFUNCTION("""COMPUTED_VALUE"""),"Colin Jones &amp; Derek Bates")</f>
        <v>Colin Jones &amp; Derek Bates</v>
      </c>
      <c r="L380" s="17" t="str">
        <f ca="1">IFERROR(__xludf.DUMMYFUNCTION("""COMPUTED_VALUE"""),"closed")</f>
        <v>closed</v>
      </c>
      <c r="M380" s="17"/>
      <c r="N380" s="15" t="str">
        <f ca="1">IFERROR(__xludf.DUMMYFUNCTION("""COMPUTED_VALUE"""),"Accepted")</f>
        <v>Accepted</v>
      </c>
      <c r="O380" s="18"/>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row>
    <row r="381" spans="1:80" ht="12.75" hidden="1" customHeight="1">
      <c r="A381" s="20">
        <f ca="1">IFERROR(__xludf.DUMMYFUNCTION("""COMPUTED_VALUE"""),2008)</f>
        <v>2008</v>
      </c>
      <c r="B381" s="45">
        <f ca="1">IFERROR(__xludf.DUMMYFUNCTION("""COMPUTED_VALUE"""),40085)</f>
        <v>40085</v>
      </c>
      <c r="C381" s="46">
        <f ca="1">IFERROR(__xludf.DUMMYFUNCTION("""COMPUTED_VALUE"""),40065)</f>
        <v>40065</v>
      </c>
      <c r="D381" s="47" t="str">
        <f ca="1">IFERROR(__xludf.DUMMYFUNCTION("""COMPUTED_VALUE"""),"Great Northern Diver")</f>
        <v>Great Northern Diver</v>
      </c>
      <c r="E381" s="52">
        <f ca="1">IFERROR(__xludf.DUMMYFUNCTION("""COMPUTED_VALUE"""),1)</f>
        <v>1</v>
      </c>
      <c r="F381" s="25" t="str">
        <f ca="1">IFERROR(__xludf.DUMMYFUNCTION("""COMPUTED_VALUE"""),"Immature")</f>
        <v>Immature</v>
      </c>
      <c r="G381" s="48" t="str">
        <f ca="1">IFERROR(__xludf.DUMMYFUNCTION("""COMPUTED_VALUE"""),"Hilbre")</f>
        <v>Hilbre</v>
      </c>
      <c r="H381" s="22">
        <f ca="1">IFERROR(__xludf.DUMMYFUNCTION("""COMPUTED_VALUE"""),39758)</f>
        <v>39758</v>
      </c>
      <c r="I381" s="22">
        <f ca="1">IFERROR(__xludf.DUMMYFUNCTION("""COMPUTED_VALUE"""),39760)</f>
        <v>39760</v>
      </c>
      <c r="J381" s="24" t="str">
        <f ca="1">IFERROR(__xludf.DUMMYFUNCTION("""COMPUTED_VALUE"""),"Woollen, P")</f>
        <v>Woollen, P</v>
      </c>
      <c r="K381" s="25" t="str">
        <f ca="1">IFERROR(__xludf.DUMMYFUNCTION("""COMPUTED_VALUE"""),"Colin Jones &amp; Derek Bates")</f>
        <v>Colin Jones &amp; Derek Bates</v>
      </c>
      <c r="L381" s="27" t="str">
        <f ca="1">IFERROR(__xludf.DUMMYFUNCTION("""COMPUTED_VALUE"""),"closed")</f>
        <v>closed</v>
      </c>
      <c r="M381" s="27" t="str">
        <f ca="1">IFERROR(__xludf.DUMMYFUNCTION("""COMPUTED_VALUE"""),"1st U")</f>
        <v>1st U</v>
      </c>
      <c r="N381" s="25" t="str">
        <f ca="1">IFERROR(__xludf.DUMMYFUNCTION("""COMPUTED_VALUE"""),"Accepted")</f>
        <v>Accepted</v>
      </c>
      <c r="O381" s="28"/>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c r="BU381" s="25"/>
      <c r="BV381" s="25"/>
      <c r="BW381" s="25"/>
      <c r="BX381" s="25"/>
      <c r="BY381" s="25"/>
      <c r="BZ381" s="25"/>
      <c r="CA381" s="25"/>
      <c r="CB381" s="25"/>
    </row>
    <row r="382" spans="1:80" ht="12.75" hidden="1" customHeight="1">
      <c r="A382" s="10">
        <f ca="1">IFERROR(__xludf.DUMMYFUNCTION("""COMPUTED_VALUE"""),2008)</f>
        <v>2008</v>
      </c>
      <c r="B382" s="50">
        <f ca="1">IFERROR(__xludf.DUMMYFUNCTION("""COMPUTED_VALUE"""),40026)</f>
        <v>40026</v>
      </c>
      <c r="C382" s="41">
        <f ca="1">IFERROR(__xludf.DUMMYFUNCTION("""COMPUTED_VALUE"""),40016)</f>
        <v>40016</v>
      </c>
      <c r="D382" s="42" t="str">
        <f ca="1">IFERROR(__xludf.DUMMYFUNCTION("""COMPUTED_VALUE"""),"Great Northern Diver")</f>
        <v>Great Northern Diver</v>
      </c>
      <c r="E382" s="53">
        <f ca="1">IFERROR(__xludf.DUMMYFUNCTION("""COMPUTED_VALUE"""),1)</f>
        <v>1</v>
      </c>
      <c r="F382" s="15"/>
      <c r="G382" s="44" t="str">
        <f ca="1">IFERROR(__xludf.DUMMYFUNCTION("""COMPUTED_VALUE"""),"Hilbre")</f>
        <v>Hilbre</v>
      </c>
      <c r="H382" s="12">
        <f ca="1">IFERROR(__xludf.DUMMYFUNCTION("""COMPUTED_VALUE"""),39765)</f>
        <v>39765</v>
      </c>
      <c r="I382" s="12">
        <f ca="1">IFERROR(__xludf.DUMMYFUNCTION("""COMPUTED_VALUE"""),39765)</f>
        <v>39765</v>
      </c>
      <c r="J382" s="14" t="str">
        <f ca="1">IFERROR(__xludf.DUMMYFUNCTION("""COMPUTED_VALUE"""),"Hilbre Bird Observatory")</f>
        <v>Hilbre Bird Observatory</v>
      </c>
      <c r="K382" s="15"/>
      <c r="L382" s="17" t="str">
        <f ca="1">IFERROR(__xludf.DUMMYFUNCTION("""COMPUTED_VALUE"""),"closed")</f>
        <v>closed</v>
      </c>
      <c r="M382" s="17" t="str">
        <f ca="1">IFERROR(__xludf.DUMMYFUNCTION("""COMPUTED_VALUE"""),"1st U")</f>
        <v>1st U</v>
      </c>
      <c r="N382" s="15" t="str">
        <f ca="1">IFERROR(__xludf.DUMMYFUNCTION("""COMPUTED_VALUE"""),"accepted")</f>
        <v>accepted</v>
      </c>
      <c r="O382" s="18"/>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row>
    <row r="383" spans="1:80" ht="12.75" hidden="1" customHeight="1">
      <c r="A383" s="20">
        <f ca="1">IFERROR(__xludf.DUMMYFUNCTION("""COMPUTED_VALUE"""),2008)</f>
        <v>2008</v>
      </c>
      <c r="B383" s="45">
        <f ca="1">IFERROR(__xludf.DUMMYFUNCTION("""COMPUTED_VALUE"""),44568)</f>
        <v>44568</v>
      </c>
      <c r="C383" s="46"/>
      <c r="D383" s="47" t="str">
        <f ca="1">IFERROR(__xludf.DUMMYFUNCTION("""COMPUTED_VALUE"""),"Glossy Ibis")</f>
        <v>Glossy Ibis</v>
      </c>
      <c r="E383" s="52">
        <f ca="1">IFERROR(__xludf.DUMMYFUNCTION("""COMPUTED_VALUE"""),1)</f>
        <v>1</v>
      </c>
      <c r="F383" s="25"/>
      <c r="G383" s="48" t="str">
        <f ca="1">IFERROR(__xludf.DUMMYFUNCTION("""COMPUTED_VALUE"""),"Inner Marsh Farm RSPB")</f>
        <v>Inner Marsh Farm RSPB</v>
      </c>
      <c r="H383" s="22">
        <f ca="1">IFERROR(__xludf.DUMMYFUNCTION("""COMPUTED_VALUE"""),39645)</f>
        <v>39645</v>
      </c>
      <c r="I383" s="23"/>
      <c r="J383" s="24"/>
      <c r="K383" s="25"/>
      <c r="L383" s="27" t="str">
        <f ca="1">IFERROR(__xludf.DUMMYFUNCTION("""COMPUTED_VALUE"""),"closed")</f>
        <v>closed</v>
      </c>
      <c r="M383" s="27"/>
      <c r="N383" s="25" t="str">
        <f ca="1">IFERROR(__xludf.DUMMYFUNCTION("""COMPUTED_VALUE"""),"BBRC-OK")</f>
        <v>BBRC-OK</v>
      </c>
      <c r="O383" s="28" t="str">
        <f ca="1">IFERROR(__xludf.DUMMYFUNCTION("""COMPUTED_VALUE"""),"Inner Marsh Farm RSPB, adult, 16th to 17th July, photo; same as Lancashire &amp; North Merseyside; also in Greater Manchester, Yorkshire.")</f>
        <v>Inner Marsh Farm RSPB, adult, 16th to 17th July, photo; same as Lancashire &amp; North Merseyside; also in Greater Manchester, Yorkshire.</v>
      </c>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c r="BU383" s="25"/>
      <c r="BV383" s="25"/>
      <c r="BW383" s="25"/>
      <c r="BX383" s="25"/>
      <c r="BY383" s="25"/>
      <c r="BZ383" s="25"/>
      <c r="CA383" s="25"/>
      <c r="CB383" s="25"/>
    </row>
    <row r="384" spans="1:80" ht="12.75" hidden="1" customHeight="1">
      <c r="A384" s="10">
        <f ca="1">IFERROR(__xludf.DUMMYFUNCTION("""COMPUTED_VALUE"""),2008)</f>
        <v>2008</v>
      </c>
      <c r="B384" s="50"/>
      <c r="C384" s="41"/>
      <c r="D384" s="42" t="str">
        <f ca="1">IFERROR(__xludf.DUMMYFUNCTION("""COMPUTED_VALUE"""),"Great White Egret")</f>
        <v>Great White Egret</v>
      </c>
      <c r="E384" s="53">
        <f ca="1">IFERROR(__xludf.DUMMYFUNCTION("""COMPUTED_VALUE"""),1)</f>
        <v>1</v>
      </c>
      <c r="F384" s="15"/>
      <c r="G384" s="44" t="str">
        <f ca="1">IFERROR(__xludf.DUMMYFUNCTION("""COMPUTED_VALUE"""),"Rostherne Mere NNR")</f>
        <v>Rostherne Mere NNR</v>
      </c>
      <c r="H384" s="12">
        <f ca="1">IFERROR(__xludf.DUMMYFUNCTION("""COMPUTED_VALUE"""),39490)</f>
        <v>39490</v>
      </c>
      <c r="I384" s="13"/>
      <c r="J384" s="14"/>
      <c r="K384" s="15" t="str">
        <f ca="1">IFERROR(__xludf.DUMMYFUNCTION("""COMPUTED_VALUE"""),"L R Dunkley")</f>
        <v>L R Dunkley</v>
      </c>
      <c r="L384" s="17" t="str">
        <f ca="1">IFERROR(__xludf.DUMMYFUNCTION("""COMPUTED_VALUE"""),"closed")</f>
        <v>closed</v>
      </c>
      <c r="M384" s="17"/>
      <c r="N384" s="15" t="str">
        <f ca="1">IFERROR(__xludf.DUMMYFUNCTION("""COMPUTED_VALUE"""),"Accepted")</f>
        <v>Accepted</v>
      </c>
      <c r="O384" s="18"/>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row>
    <row r="385" spans="1:80" ht="12.75" hidden="1" customHeight="1">
      <c r="A385" s="20">
        <f ca="1">IFERROR(__xludf.DUMMYFUNCTION("""COMPUTED_VALUE"""),2008)</f>
        <v>2008</v>
      </c>
      <c r="B385" s="45">
        <f ca="1">IFERROR(__xludf.DUMMYFUNCTION("""COMPUTED_VALUE"""),39532)</f>
        <v>39532</v>
      </c>
      <c r="C385" s="46">
        <f ca="1">IFERROR(__xludf.DUMMYFUNCTION("""COMPUTED_VALUE"""),39517)</f>
        <v>39517</v>
      </c>
      <c r="D385" s="47" t="str">
        <f ca="1">IFERROR(__xludf.DUMMYFUNCTION("""COMPUTED_VALUE"""),"Great White Egret")</f>
        <v>Great White Egret</v>
      </c>
      <c r="E385" s="52">
        <f ca="1">IFERROR(__xludf.DUMMYFUNCTION("""COMPUTED_VALUE"""),1)</f>
        <v>1</v>
      </c>
      <c r="F385" s="25"/>
      <c r="G385" s="48" t="str">
        <f ca="1">IFERROR(__xludf.DUMMYFUNCTION("""COMPUTED_VALUE"""),"Rostherne Mere NNR")</f>
        <v>Rostherne Mere NNR</v>
      </c>
      <c r="H385" s="22">
        <f ca="1">IFERROR(__xludf.DUMMYFUNCTION("""COMPUTED_VALUE"""),39490)</f>
        <v>39490</v>
      </c>
      <c r="I385" s="23"/>
      <c r="J385" s="24" t="str">
        <f ca="1">IFERROR(__xludf.DUMMYFUNCTION("""COMPUTED_VALUE"""),"Dunkley, LR")</f>
        <v>Dunkley, LR</v>
      </c>
      <c r="K385" s="25" t="str">
        <f ca="1">IFERROR(__xludf.DUMMYFUNCTION("""COMPUTED_VALUE"""),"L R Dunkley")</f>
        <v>L R Dunkley</v>
      </c>
      <c r="L385" s="27" t="str">
        <f ca="1">IFERROR(__xludf.DUMMYFUNCTION("""COMPUTED_VALUE"""),"closed")</f>
        <v>closed</v>
      </c>
      <c r="M385" s="27" t="str">
        <f ca="1">IFERROR(__xludf.DUMMYFUNCTION("""COMPUTED_VALUE"""),"1st U")</f>
        <v>1st U</v>
      </c>
      <c r="N385" s="25" t="str">
        <f ca="1">IFERROR(__xludf.DUMMYFUNCTION("""COMPUTED_VALUE"""),"Accepted")</f>
        <v>Accepted</v>
      </c>
      <c r="O385" s="28"/>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c r="BS385" s="25"/>
      <c r="BT385" s="25"/>
      <c r="BU385" s="25"/>
      <c r="BV385" s="25"/>
      <c r="BW385" s="25"/>
      <c r="BX385" s="25"/>
      <c r="BY385" s="25"/>
      <c r="BZ385" s="25"/>
      <c r="CA385" s="25"/>
      <c r="CB385" s="25"/>
    </row>
    <row r="386" spans="1:80" ht="12.75" hidden="1" customHeight="1">
      <c r="A386" s="10">
        <f ca="1">IFERROR(__xludf.DUMMYFUNCTION("""COMPUTED_VALUE"""),2008)</f>
        <v>2008</v>
      </c>
      <c r="B386" s="50">
        <f ca="1">IFERROR(__xludf.DUMMYFUNCTION("""COMPUTED_VALUE"""),39532)</f>
        <v>39532</v>
      </c>
      <c r="C386" s="41">
        <f ca="1">IFERROR(__xludf.DUMMYFUNCTION("""COMPUTED_VALUE"""),39517)</f>
        <v>39517</v>
      </c>
      <c r="D386" s="42" t="str">
        <f ca="1">IFERROR(__xludf.DUMMYFUNCTION("""COMPUTED_VALUE"""),"Great White Egret")</f>
        <v>Great White Egret</v>
      </c>
      <c r="E386" s="53">
        <f ca="1">IFERROR(__xludf.DUMMYFUNCTION("""COMPUTED_VALUE"""),1)</f>
        <v>1</v>
      </c>
      <c r="F386" s="15"/>
      <c r="G386" s="44" t="str">
        <f ca="1">IFERROR(__xludf.DUMMYFUNCTION("""COMPUTED_VALUE"""),"Rostherne Mere NNR")</f>
        <v>Rostherne Mere NNR</v>
      </c>
      <c r="H386" s="12">
        <f ca="1">IFERROR(__xludf.DUMMYFUNCTION("""COMPUTED_VALUE"""),39490)</f>
        <v>39490</v>
      </c>
      <c r="I386" s="13"/>
      <c r="J386" s="14" t="str">
        <f ca="1">IFERROR(__xludf.DUMMYFUNCTION("""COMPUTED_VALUE"""),"Payne, M")</f>
        <v>Payne, M</v>
      </c>
      <c r="K386" s="15" t="str">
        <f ca="1">IFERROR(__xludf.DUMMYFUNCTION("""COMPUTED_VALUE"""),"L R Dunkley")</f>
        <v>L R Dunkley</v>
      </c>
      <c r="L386" s="17" t="str">
        <f ca="1">IFERROR(__xludf.DUMMYFUNCTION("""COMPUTED_VALUE"""),"closed")</f>
        <v>closed</v>
      </c>
      <c r="M386" s="17" t="str">
        <f ca="1">IFERROR(__xludf.DUMMYFUNCTION("""COMPUTED_VALUE"""),"1st U")</f>
        <v>1st U</v>
      </c>
      <c r="N386" s="15" t="str">
        <f ca="1">IFERROR(__xludf.DUMMYFUNCTION("""COMPUTED_VALUE"""),"Accepted")</f>
        <v>Accepted</v>
      </c>
      <c r="O386" s="18"/>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row>
    <row r="387" spans="1:80" ht="12.75" hidden="1" customHeight="1">
      <c r="A387" s="20">
        <f ca="1">IFERROR(__xludf.DUMMYFUNCTION("""COMPUTED_VALUE"""),2008)</f>
        <v>2008</v>
      </c>
      <c r="B387" s="45">
        <f ca="1">IFERROR(__xludf.DUMMYFUNCTION("""COMPUTED_VALUE"""),39532)</f>
        <v>39532</v>
      </c>
      <c r="C387" s="46">
        <f ca="1">IFERROR(__xludf.DUMMYFUNCTION("""COMPUTED_VALUE"""),39517)</f>
        <v>39517</v>
      </c>
      <c r="D387" s="47" t="str">
        <f ca="1">IFERROR(__xludf.DUMMYFUNCTION("""COMPUTED_VALUE"""),"Great White Egret")</f>
        <v>Great White Egret</v>
      </c>
      <c r="E387" s="52">
        <f ca="1">IFERROR(__xludf.DUMMYFUNCTION("""COMPUTED_VALUE"""),1)</f>
        <v>1</v>
      </c>
      <c r="F387" s="25"/>
      <c r="G387" s="48" t="str">
        <f ca="1">IFERROR(__xludf.DUMMYFUNCTION("""COMPUTED_VALUE"""),"Rostherne Mere NNR")</f>
        <v>Rostherne Mere NNR</v>
      </c>
      <c r="H387" s="22">
        <f ca="1">IFERROR(__xludf.DUMMYFUNCTION("""COMPUTED_VALUE"""),39490)</f>
        <v>39490</v>
      </c>
      <c r="I387" s="22"/>
      <c r="J387" s="24" t="str">
        <f ca="1">IFERROR(__xludf.DUMMYFUNCTION("""COMPUTED_VALUE"""),"Woollen, P")</f>
        <v>Woollen, P</v>
      </c>
      <c r="K387" s="25" t="str">
        <f ca="1">IFERROR(__xludf.DUMMYFUNCTION("""COMPUTED_VALUE"""),"L R Dunkley")</f>
        <v>L R Dunkley</v>
      </c>
      <c r="L387" s="27" t="str">
        <f ca="1">IFERROR(__xludf.DUMMYFUNCTION("""COMPUTED_VALUE"""),"closed")</f>
        <v>closed</v>
      </c>
      <c r="M387" s="27" t="str">
        <f ca="1">IFERROR(__xludf.DUMMYFUNCTION("""COMPUTED_VALUE"""),"1st U")</f>
        <v>1st U</v>
      </c>
      <c r="N387" s="25" t="str">
        <f ca="1">IFERROR(__xludf.DUMMYFUNCTION("""COMPUTED_VALUE"""),"Accepted")</f>
        <v>Accepted</v>
      </c>
      <c r="O387" s="28"/>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c r="BU387" s="25"/>
      <c r="BV387" s="25"/>
      <c r="BW387" s="25"/>
      <c r="BX387" s="25"/>
      <c r="BY387" s="25"/>
      <c r="BZ387" s="25"/>
      <c r="CA387" s="25"/>
      <c r="CB387" s="25"/>
    </row>
    <row r="388" spans="1:80" ht="12.75" hidden="1" customHeight="1">
      <c r="A388" s="10">
        <f ca="1">IFERROR(__xludf.DUMMYFUNCTION("""COMPUTED_VALUE"""),2008)</f>
        <v>2008</v>
      </c>
      <c r="B388" s="50">
        <f ca="1">IFERROR(__xludf.DUMMYFUNCTION("""COMPUTED_VALUE"""),39532)</f>
        <v>39532</v>
      </c>
      <c r="C388" s="41">
        <f ca="1">IFERROR(__xludf.DUMMYFUNCTION("""COMPUTED_VALUE"""),39517)</f>
        <v>39517</v>
      </c>
      <c r="D388" s="42" t="str">
        <f ca="1">IFERROR(__xludf.DUMMYFUNCTION("""COMPUTED_VALUE"""),"Great White Egret")</f>
        <v>Great White Egret</v>
      </c>
      <c r="E388" s="53">
        <f ca="1">IFERROR(__xludf.DUMMYFUNCTION("""COMPUTED_VALUE"""),1)</f>
        <v>1</v>
      </c>
      <c r="F388" s="15"/>
      <c r="G388" s="44" t="str">
        <f ca="1">IFERROR(__xludf.DUMMYFUNCTION("""COMPUTED_VALUE"""),"Marbury Country Park")</f>
        <v>Marbury Country Park</v>
      </c>
      <c r="H388" s="12">
        <f ca="1">IFERROR(__xludf.DUMMYFUNCTION("""COMPUTED_VALUE"""),39494)</f>
        <v>39494</v>
      </c>
      <c r="I388" s="12"/>
      <c r="J388" s="14" t="str">
        <f ca="1">IFERROR(__xludf.DUMMYFUNCTION("""COMPUTED_VALUE"""),"Gregory, J")</f>
        <v>Gregory, J</v>
      </c>
      <c r="K388" s="15" t="str">
        <f ca="1">IFERROR(__xludf.DUMMYFUNCTION("""COMPUTED_VALUE"""),"?")</f>
        <v>?</v>
      </c>
      <c r="L388" s="17" t="str">
        <f ca="1">IFERROR(__xludf.DUMMYFUNCTION("""COMPUTED_VALUE"""),"closed")</f>
        <v>closed</v>
      </c>
      <c r="M388" s="17" t="str">
        <f ca="1">IFERROR(__xludf.DUMMYFUNCTION("""COMPUTED_VALUE"""),"1st U")</f>
        <v>1st U</v>
      </c>
      <c r="N388" s="15" t="str">
        <f ca="1">IFERROR(__xludf.DUMMYFUNCTION("""COMPUTED_VALUE"""),"Accepted")</f>
        <v>Accepted</v>
      </c>
      <c r="O388" s="18"/>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row>
    <row r="389" spans="1:80" ht="12.75" hidden="1" customHeight="1">
      <c r="A389" s="20">
        <f ca="1">IFERROR(__xludf.DUMMYFUNCTION("""COMPUTED_VALUE"""),2008)</f>
        <v>2008</v>
      </c>
      <c r="B389" s="45">
        <f ca="1">IFERROR(__xludf.DUMMYFUNCTION("""COMPUTED_VALUE"""),39532)</f>
        <v>39532</v>
      </c>
      <c r="C389" s="46">
        <f ca="1">IFERROR(__xludf.DUMMYFUNCTION("""COMPUTED_VALUE"""),39517)</f>
        <v>39517</v>
      </c>
      <c r="D389" s="47" t="str">
        <f ca="1">IFERROR(__xludf.DUMMYFUNCTION("""COMPUTED_VALUE"""),"Osprey")</f>
        <v>Osprey</v>
      </c>
      <c r="E389" s="52">
        <f ca="1">IFERROR(__xludf.DUMMYFUNCTION("""COMPUTED_VALUE"""),1)</f>
        <v>1</v>
      </c>
      <c r="F389" s="25"/>
      <c r="G389" s="48" t="str">
        <f ca="1">IFERROR(__xludf.DUMMYFUNCTION("""COMPUTED_VALUE"""),"Heswall")</f>
        <v>Heswall</v>
      </c>
      <c r="H389" s="22">
        <f ca="1">IFERROR(__xludf.DUMMYFUNCTION("""COMPUTED_VALUE"""),39482)</f>
        <v>39482</v>
      </c>
      <c r="I389" s="23"/>
      <c r="J389" s="24"/>
      <c r="K389" s="25"/>
      <c r="L389" s="27" t="str">
        <f ca="1">IFERROR(__xludf.DUMMYFUNCTION("""COMPUTED_VALUE"""),"closed")</f>
        <v>closed</v>
      </c>
      <c r="M389" s="27" t="str">
        <f ca="1">IFERROR(__xludf.DUMMYFUNCTION("""COMPUTED_VALUE"""),"1st U")</f>
        <v>1st U</v>
      </c>
      <c r="N389" s="25" t="str">
        <f ca="1">IFERROR(__xludf.DUMMYFUNCTION("""COMPUTED_VALUE"""),"unproven")</f>
        <v>unproven</v>
      </c>
      <c r="O389" s="28"/>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5"/>
      <c r="BV389" s="25"/>
      <c r="BW389" s="25"/>
      <c r="BX389" s="25"/>
      <c r="BY389" s="25"/>
      <c r="BZ389" s="25"/>
      <c r="CA389" s="25"/>
      <c r="CB389" s="25"/>
    </row>
    <row r="390" spans="1:80" ht="12.75" hidden="1" customHeight="1">
      <c r="A390" s="10">
        <f ca="1">IFERROR(__xludf.DUMMYFUNCTION("""COMPUTED_VALUE"""),2008)</f>
        <v>2008</v>
      </c>
      <c r="B390" s="50">
        <f ca="1">IFERROR(__xludf.DUMMYFUNCTION("""COMPUTED_VALUE"""),39958)</f>
        <v>39958</v>
      </c>
      <c r="C390" s="41">
        <f ca="1">IFERROR(__xludf.DUMMYFUNCTION("""COMPUTED_VALUE"""),39824)</f>
        <v>39824</v>
      </c>
      <c r="D390" s="42" t="str">
        <f ca="1">IFERROR(__xludf.DUMMYFUNCTION("""COMPUTED_VALUE"""),"Honey-Buzzard")</f>
        <v>Honey-Buzzard</v>
      </c>
      <c r="E390" s="53">
        <f ca="1">IFERROR(__xludf.DUMMYFUNCTION("""COMPUTED_VALUE"""),1)</f>
        <v>1</v>
      </c>
      <c r="F390" s="15"/>
      <c r="G390" s="62" t="str">
        <f ca="1">IFERROR(__xludf.DUMMYFUNCTION("""COMPUTED_VALUE"""),"Sandbach Elworth, ")</f>
        <v xml:space="preserve">Sandbach Elworth, </v>
      </c>
      <c r="H390" s="12">
        <f ca="1">IFERROR(__xludf.DUMMYFUNCTION("""COMPUTED_VALUE"""),39719)</f>
        <v>39719</v>
      </c>
      <c r="I390" s="12"/>
      <c r="J390" s="14" t="str">
        <f ca="1">IFERROR(__xludf.DUMMYFUNCTION("""COMPUTED_VALUE"""),"Atherton, P")</f>
        <v>Atherton, P</v>
      </c>
      <c r="K390" s="15" t="str">
        <f ca="1">IFERROR(__xludf.DUMMYFUNCTION("""COMPUTED_VALUE"""),"Atherton, P")</f>
        <v>Atherton, P</v>
      </c>
      <c r="L390" s="17" t="str">
        <f ca="1">IFERROR(__xludf.DUMMYFUNCTION("""COMPUTED_VALUE"""),"closed")</f>
        <v>closed</v>
      </c>
      <c r="M390" s="17" t="str">
        <f ca="1">IFERROR(__xludf.DUMMYFUNCTION("""COMPUTED_VALUE"""),"3rd M")</f>
        <v>3rd M</v>
      </c>
      <c r="N390" s="15" t="str">
        <f ca="1">IFERROR(__xludf.DUMMYFUNCTION("""COMPUTED_VALUE"""),"Accepted")</f>
        <v>Accepted</v>
      </c>
      <c r="O390" s="18" t="str">
        <f ca="1">IFERROR(__xludf.DUMMYFUNCTION("""COMPUTED_VALUE"""),"one seen flying south over Elworth at 12-40.  ")</f>
        <v xml:space="preserve">one seen flying south over Elworth at 12-40.  </v>
      </c>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row>
    <row r="391" spans="1:80" ht="12.75" hidden="1" customHeight="1">
      <c r="A391" s="20">
        <f ca="1">IFERROR(__xludf.DUMMYFUNCTION("""COMPUTED_VALUE"""),2008)</f>
        <v>2008</v>
      </c>
      <c r="B391" s="45"/>
      <c r="C391" s="46"/>
      <c r="D391" s="47" t="str">
        <f ca="1">IFERROR(__xludf.DUMMYFUNCTION("""COMPUTED_VALUE"""),"Honey-Buzzard")</f>
        <v>Honey-Buzzard</v>
      </c>
      <c r="E391" s="52">
        <f ca="1">IFERROR(__xludf.DUMMYFUNCTION("""COMPUTED_VALUE"""),1)</f>
        <v>1</v>
      </c>
      <c r="F391" s="25"/>
      <c r="G391" s="48" t="str">
        <f ca="1">IFERROR(__xludf.DUMMYFUNCTION("""COMPUTED_VALUE"""),"Nantwich")</f>
        <v>Nantwich</v>
      </c>
      <c r="H391" s="22">
        <f ca="1">IFERROR(__xludf.DUMMYFUNCTION("""COMPUTED_VALUE"""),39727)</f>
        <v>39727</v>
      </c>
      <c r="I391" s="22"/>
      <c r="J391" s="24" t="str">
        <f ca="1">IFERROR(__xludf.DUMMYFUNCTION("""COMPUTED_VALUE"""),"Anderson, R")</f>
        <v>Anderson, R</v>
      </c>
      <c r="K391" s="25" t="str">
        <f ca="1">IFERROR(__xludf.DUMMYFUNCTION("""COMPUTED_VALUE"""),"Anderson, R")</f>
        <v>Anderson, R</v>
      </c>
      <c r="L391" s="27" t="str">
        <f ca="1">IFERROR(__xludf.DUMMYFUNCTION("""COMPUTED_VALUE"""),"closed")</f>
        <v>closed</v>
      </c>
      <c r="M391" s="27" t="str">
        <f ca="1">IFERROR(__xludf.DUMMYFUNCTION("""COMPUTED_VALUE"""),"1st U")</f>
        <v>1st U</v>
      </c>
      <c r="N391" s="25" t="str">
        <f ca="1">IFERROR(__xludf.DUMMYFUNCTION("""COMPUTED_VALUE"""),"Accepted")</f>
        <v>Accepted</v>
      </c>
      <c r="O391" s="28"/>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5"/>
      <c r="BY391" s="25"/>
      <c r="BZ391" s="25"/>
      <c r="CA391" s="25"/>
      <c r="CB391" s="25"/>
    </row>
    <row r="392" spans="1:80" ht="12.75" hidden="1" customHeight="1">
      <c r="A392" s="10">
        <f ca="1">IFERROR(__xludf.DUMMYFUNCTION("""COMPUTED_VALUE"""),2008)</f>
        <v>2008</v>
      </c>
      <c r="B392" s="50">
        <f ca="1">IFERROR(__xludf.DUMMYFUNCTION("""COMPUTED_VALUE"""),40026)</f>
        <v>40026</v>
      </c>
      <c r="C392" s="41">
        <f ca="1">IFERROR(__xludf.DUMMYFUNCTION("""COMPUTED_VALUE"""),39998)</f>
        <v>39998</v>
      </c>
      <c r="D392" s="42" t="str">
        <f ca="1">IFERROR(__xludf.DUMMYFUNCTION("""COMPUTED_VALUE"""),"Honey-Buzzard")</f>
        <v>Honey-Buzzard</v>
      </c>
      <c r="E392" s="53">
        <f ca="1">IFERROR(__xludf.DUMMYFUNCTION("""COMPUTED_VALUE"""),1)</f>
        <v>1</v>
      </c>
      <c r="F392" s="15"/>
      <c r="G392" s="44" t="str">
        <f ca="1">IFERROR(__xludf.DUMMYFUNCTION("""COMPUTED_VALUE"""),"Leasowe")</f>
        <v>Leasowe</v>
      </c>
      <c r="H392" s="12">
        <f ca="1">IFERROR(__xludf.DUMMYFUNCTION("""COMPUTED_VALUE"""),39577)</f>
        <v>39577</v>
      </c>
      <c r="I392" s="13"/>
      <c r="J392" s="14" t="str">
        <f ca="1">IFERROR(__xludf.DUMMYFUNCTION("""COMPUTED_VALUE"""),"Conlin, A")</f>
        <v>Conlin, A</v>
      </c>
      <c r="K392" s="15" t="str">
        <f ca="1">IFERROR(__xludf.DUMMYFUNCTION("""COMPUTED_VALUE"""),"Conlin, A")</f>
        <v>Conlin, A</v>
      </c>
      <c r="L392" s="17" t="str">
        <f ca="1">IFERROR(__xludf.DUMMYFUNCTION("""COMPUTED_VALUE"""),"closed")</f>
        <v>closed</v>
      </c>
      <c r="M392" s="17" t="str">
        <f ca="1">IFERROR(__xludf.DUMMYFUNCTION("""COMPUTED_VALUE"""),"1st U")</f>
        <v>1st U</v>
      </c>
      <c r="N392" s="15" t="str">
        <f ca="1">IFERROR(__xludf.DUMMYFUNCTION("""COMPUTED_VALUE"""),"accepted")</f>
        <v>accepted</v>
      </c>
      <c r="O392" s="18"/>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row>
    <row r="393" spans="1:80" ht="13.5" hidden="1">
      <c r="A393" s="20">
        <f ca="1">IFERROR(__xludf.DUMMYFUNCTION("""COMPUTED_VALUE"""),2008)</f>
        <v>2008</v>
      </c>
      <c r="B393" s="45">
        <f ca="1">IFERROR(__xludf.DUMMYFUNCTION("""COMPUTED_VALUE"""),40026)</f>
        <v>40026</v>
      </c>
      <c r="C393" s="46">
        <f ca="1">IFERROR(__xludf.DUMMYFUNCTION("""COMPUTED_VALUE"""),39998)</f>
        <v>39998</v>
      </c>
      <c r="D393" s="47" t="str">
        <f ca="1">IFERROR(__xludf.DUMMYFUNCTION("""COMPUTED_VALUE"""),"Honey-Buzzard")</f>
        <v>Honey-Buzzard</v>
      </c>
      <c r="E393" s="52">
        <f ca="1">IFERROR(__xludf.DUMMYFUNCTION("""COMPUTED_VALUE"""),1)</f>
        <v>1</v>
      </c>
      <c r="F393" s="25"/>
      <c r="G393" s="48" t="str">
        <f ca="1">IFERROR(__xludf.DUMMYFUNCTION("""COMPUTED_VALUE"""),"Leasowe")</f>
        <v>Leasowe</v>
      </c>
      <c r="H393" s="22">
        <f ca="1">IFERROR(__xludf.DUMMYFUNCTION("""COMPUTED_VALUE"""),39577)</f>
        <v>39577</v>
      </c>
      <c r="I393" s="23"/>
      <c r="J393" s="24" t="str">
        <f ca="1">IFERROR(__xludf.DUMMYFUNCTION("""COMPUTED_VALUE"""),"Jones, C (Colin)")</f>
        <v>Jones, C (Colin)</v>
      </c>
      <c r="K393" s="25" t="str">
        <f ca="1">IFERROR(__xludf.DUMMYFUNCTION("""COMPUTED_VALUE"""),"Allan Conlin")</f>
        <v>Allan Conlin</v>
      </c>
      <c r="L393" s="27" t="str">
        <f ca="1">IFERROR(__xludf.DUMMYFUNCTION("""COMPUTED_VALUE"""),"closed")</f>
        <v>closed</v>
      </c>
      <c r="M393" s="27" t="str">
        <f ca="1">IFERROR(__xludf.DUMMYFUNCTION("""COMPUTED_VALUE"""),"1st U")</f>
        <v>1st U</v>
      </c>
      <c r="N393" s="25" t="str">
        <f ca="1">IFERROR(__xludf.DUMMYFUNCTION("""COMPUTED_VALUE"""),"accepted")</f>
        <v>accepted</v>
      </c>
      <c r="O393" s="28"/>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5"/>
      <c r="BY393" s="25"/>
      <c r="BZ393" s="25"/>
      <c r="CA393" s="25"/>
      <c r="CB393" s="25"/>
    </row>
    <row r="394" spans="1:80" ht="12.75" hidden="1" customHeight="1">
      <c r="A394" s="10">
        <f ca="1">IFERROR(__xludf.DUMMYFUNCTION("""COMPUTED_VALUE"""),2008)</f>
        <v>2008</v>
      </c>
      <c r="B394" s="50">
        <f ca="1">IFERROR(__xludf.DUMMYFUNCTION("""COMPUTED_VALUE"""),40085)</f>
        <v>40085</v>
      </c>
      <c r="C394" s="41">
        <f ca="1">IFERROR(__xludf.DUMMYFUNCTION("""COMPUTED_VALUE"""),40065)</f>
        <v>40065</v>
      </c>
      <c r="D394" s="42" t="str">
        <f ca="1">IFERROR(__xludf.DUMMYFUNCTION("""COMPUTED_VALUE"""),"Honey-Buzzard")</f>
        <v>Honey-Buzzard</v>
      </c>
      <c r="E394" s="53">
        <f ca="1">IFERROR(__xludf.DUMMYFUNCTION("""COMPUTED_VALUE"""),1)</f>
        <v>1</v>
      </c>
      <c r="F394" s="15"/>
      <c r="G394" s="44" t="str">
        <f ca="1">IFERROR(__xludf.DUMMYFUNCTION("""COMPUTED_VALUE"""),"Dunkirk, Ellesmere Port")</f>
        <v>Dunkirk, Ellesmere Port</v>
      </c>
      <c r="H394" s="12">
        <f ca="1">IFERROR(__xludf.DUMMYFUNCTION("""COMPUTED_VALUE"""),39606)</f>
        <v>39606</v>
      </c>
      <c r="I394" s="12">
        <f ca="1">IFERROR(__xludf.DUMMYFUNCTION("""COMPUTED_VALUE"""),39606)</f>
        <v>39606</v>
      </c>
      <c r="J394" s="14" t="str">
        <f ca="1">IFERROR(__xludf.DUMMYFUNCTION("""COMPUTED_VALUE"""),"Woollen, P")</f>
        <v>Woollen, P</v>
      </c>
      <c r="K394" s="15"/>
      <c r="L394" s="17" t="str">
        <f ca="1">IFERROR(__xludf.DUMMYFUNCTION("""COMPUTED_VALUE"""),"closed")</f>
        <v>closed</v>
      </c>
      <c r="M394" s="17" t="str">
        <f ca="1">IFERROR(__xludf.DUMMYFUNCTION("""COMPUTED_VALUE"""),"1st U")</f>
        <v>1st U</v>
      </c>
      <c r="N394" s="15" t="str">
        <f ca="1">IFERROR(__xludf.DUMMYFUNCTION("""COMPUTED_VALUE"""),"Accepted")</f>
        <v>Accepted</v>
      </c>
      <c r="O394" s="18"/>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row>
    <row r="395" spans="1:80" ht="12.75" hidden="1" customHeight="1">
      <c r="A395" s="20">
        <f ca="1">IFERROR(__xludf.DUMMYFUNCTION("""COMPUTED_VALUE"""),2008)</f>
        <v>2008</v>
      </c>
      <c r="B395" s="45">
        <f ca="1">IFERROR(__xludf.DUMMYFUNCTION("""COMPUTED_VALUE"""),40085)</f>
        <v>40085</v>
      </c>
      <c r="C395" s="46">
        <f ca="1">IFERROR(__xludf.DUMMYFUNCTION("""COMPUTED_VALUE"""),40065)</f>
        <v>40065</v>
      </c>
      <c r="D395" s="47" t="str">
        <f ca="1">IFERROR(__xludf.DUMMYFUNCTION("""COMPUTED_VALUE"""),"Honey-Buzzard")</f>
        <v>Honey-Buzzard</v>
      </c>
      <c r="E395" s="52">
        <f ca="1">IFERROR(__xludf.DUMMYFUNCTION("""COMPUTED_VALUE"""),1)</f>
        <v>1</v>
      </c>
      <c r="F395" s="25" t="str">
        <f ca="1">IFERROR(__xludf.DUMMYFUNCTION("""COMPUTED_VALUE"""),"M")</f>
        <v>M</v>
      </c>
      <c r="G395" s="48" t="str">
        <f ca="1">IFERROR(__xludf.DUMMYFUNCTION("""COMPUTED_VALUE"""),"Hartford")</f>
        <v>Hartford</v>
      </c>
      <c r="H395" s="22">
        <f ca="1">IFERROR(__xludf.DUMMYFUNCTION("""COMPUTED_VALUE"""),39706)</f>
        <v>39706</v>
      </c>
      <c r="I395" s="22">
        <f ca="1">IFERROR(__xludf.DUMMYFUNCTION("""COMPUTED_VALUE"""),39706)</f>
        <v>39706</v>
      </c>
      <c r="J395" s="24" t="str">
        <f ca="1">IFERROR(__xludf.DUMMYFUNCTION("""COMPUTED_VALUE"""),"Baker, G")</f>
        <v>Baker, G</v>
      </c>
      <c r="K395" s="25" t="str">
        <f ca="1">IFERROR(__xludf.DUMMYFUNCTION("""COMPUTED_VALUE"""),"Baker, G")</f>
        <v>Baker, G</v>
      </c>
      <c r="L395" s="27" t="str">
        <f ca="1">IFERROR(__xludf.DUMMYFUNCTION("""COMPUTED_VALUE"""),"closed")</f>
        <v>closed</v>
      </c>
      <c r="M395" s="27" t="str">
        <f ca="1">IFERROR(__xludf.DUMMYFUNCTION("""COMPUTED_VALUE"""),"1st U")</f>
        <v>1st U</v>
      </c>
      <c r="N395" s="25" t="str">
        <f ca="1">IFERROR(__xludf.DUMMYFUNCTION("""COMPUTED_VALUE"""),"Accepted")</f>
        <v>Accepted</v>
      </c>
      <c r="O395" s="28"/>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c r="BS395" s="25"/>
      <c r="BT395" s="25"/>
      <c r="BU395" s="25"/>
      <c r="BV395" s="25"/>
      <c r="BW395" s="25"/>
      <c r="BX395" s="25"/>
      <c r="BY395" s="25"/>
      <c r="BZ395" s="25"/>
      <c r="CA395" s="25"/>
      <c r="CB395" s="25"/>
    </row>
    <row r="396" spans="1:80" ht="12.75" hidden="1" customHeight="1">
      <c r="A396" s="10">
        <f ca="1">IFERROR(__xludf.DUMMYFUNCTION("""COMPUTED_VALUE"""),2008)</f>
        <v>2008</v>
      </c>
      <c r="B396" s="50">
        <f ca="1">IFERROR(__xludf.DUMMYFUNCTION("""COMPUTED_VALUE"""),39955)</f>
        <v>39955</v>
      </c>
      <c r="C396" s="41">
        <f ca="1">IFERROR(__xludf.DUMMYFUNCTION("""COMPUTED_VALUE"""),39921)</f>
        <v>39921</v>
      </c>
      <c r="D396" s="42" t="str">
        <f ca="1">IFERROR(__xludf.DUMMYFUNCTION("""COMPUTED_VALUE"""),"Rough-legged Buzzard")</f>
        <v>Rough-legged Buzzard</v>
      </c>
      <c r="E396" s="53">
        <f ca="1">IFERROR(__xludf.DUMMYFUNCTION("""COMPUTED_VALUE"""),1)</f>
        <v>1</v>
      </c>
      <c r="F396" s="15" t="str">
        <f ca="1">IFERROR(__xludf.DUMMYFUNCTION("""COMPUTED_VALUE"""),"juv")</f>
        <v>juv</v>
      </c>
      <c r="G396" s="44" t="str">
        <f ca="1">IFERROR(__xludf.DUMMYFUNCTION("""COMPUTED_VALUE"""),"Hilbre")</f>
        <v>Hilbre</v>
      </c>
      <c r="H396" s="12">
        <f ca="1">IFERROR(__xludf.DUMMYFUNCTION("""COMPUTED_VALUE"""),39757)</f>
        <v>39757</v>
      </c>
      <c r="I396" s="12"/>
      <c r="J396" s="14" t="str">
        <f ca="1">IFERROR(__xludf.DUMMYFUNCTION("""COMPUTED_VALUE"""),"Williams, SR")</f>
        <v>Williams, SR</v>
      </c>
      <c r="K396" s="15" t="str">
        <f ca="1">IFERROR(__xludf.DUMMYFUNCTION("""COMPUTED_VALUE"""),"John Coup")</f>
        <v>John Coup</v>
      </c>
      <c r="L396" s="17" t="str">
        <f ca="1">IFERROR(__xludf.DUMMYFUNCTION("""COMPUTED_VALUE"""),"closed")</f>
        <v>closed</v>
      </c>
      <c r="M396" s="17" t="str">
        <f ca="1">IFERROR(__xludf.DUMMYFUNCTION("""COMPUTED_VALUE"""),"1st U")</f>
        <v>1st U</v>
      </c>
      <c r="N396" s="15" t="str">
        <f ca="1">IFERROR(__xludf.DUMMYFUNCTION("""COMPUTED_VALUE"""),"Accepted")</f>
        <v>Accepted</v>
      </c>
      <c r="O396" s="18"/>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row>
    <row r="397" spans="1:80" ht="12.75" hidden="1" customHeight="1">
      <c r="A397" s="20">
        <f ca="1">IFERROR(__xludf.DUMMYFUNCTION("""COMPUTED_VALUE"""),2008)</f>
        <v>2008</v>
      </c>
      <c r="B397" s="45">
        <f ca="1">IFERROR(__xludf.DUMMYFUNCTION("""COMPUTED_VALUE"""),39955)</f>
        <v>39955</v>
      </c>
      <c r="C397" s="46">
        <f ca="1">IFERROR(__xludf.DUMMYFUNCTION("""COMPUTED_VALUE"""),39921)</f>
        <v>39921</v>
      </c>
      <c r="D397" s="47" t="str">
        <f ca="1">IFERROR(__xludf.DUMMYFUNCTION("""COMPUTED_VALUE"""),"Rough-legged Buzzard")</f>
        <v>Rough-legged Buzzard</v>
      </c>
      <c r="E397" s="52">
        <f ca="1">IFERROR(__xludf.DUMMYFUNCTION("""COMPUTED_VALUE"""),1)</f>
        <v>1</v>
      </c>
      <c r="F397" s="25" t="str">
        <f ca="1">IFERROR(__xludf.DUMMYFUNCTION("""COMPUTED_VALUE"""),"juv")</f>
        <v>juv</v>
      </c>
      <c r="G397" s="48" t="str">
        <f ca="1">IFERROR(__xludf.DUMMYFUNCTION("""COMPUTED_VALUE"""),"Red Rocks, Hoylake")</f>
        <v>Red Rocks, Hoylake</v>
      </c>
      <c r="H397" s="22">
        <f ca="1">IFERROR(__xludf.DUMMYFUNCTION("""COMPUTED_VALUE"""),39758)</f>
        <v>39758</v>
      </c>
      <c r="I397" s="22"/>
      <c r="J397" s="24" t="str">
        <f ca="1">IFERROR(__xludf.DUMMYFUNCTION("""COMPUTED_VALUE"""),"Turner, MG")</f>
        <v>Turner, MG</v>
      </c>
      <c r="K397" s="25" t="str">
        <f ca="1">IFERROR(__xludf.DUMMYFUNCTION("""COMPUTED_VALUE"""),"John Coup")</f>
        <v>John Coup</v>
      </c>
      <c r="L397" s="27" t="str">
        <f ca="1">IFERROR(__xludf.DUMMYFUNCTION("""COMPUTED_VALUE"""),"closed")</f>
        <v>closed</v>
      </c>
      <c r="M397" s="27" t="str">
        <f ca="1">IFERROR(__xludf.DUMMYFUNCTION("""COMPUTED_VALUE"""),"1st U")</f>
        <v>1st U</v>
      </c>
      <c r="N397" s="25" t="str">
        <f ca="1">IFERROR(__xludf.DUMMYFUNCTION("""COMPUTED_VALUE"""),"Accepted")</f>
        <v>Accepted</v>
      </c>
      <c r="O397" s="28"/>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c r="BS397" s="25"/>
      <c r="BT397" s="25"/>
      <c r="BU397" s="25"/>
      <c r="BV397" s="25"/>
      <c r="BW397" s="25"/>
      <c r="BX397" s="25"/>
      <c r="BY397" s="25"/>
      <c r="BZ397" s="25"/>
      <c r="CA397" s="25"/>
      <c r="CB397" s="25"/>
    </row>
    <row r="398" spans="1:80" ht="12.75" hidden="1" customHeight="1">
      <c r="A398" s="10">
        <f ca="1">IFERROR(__xludf.DUMMYFUNCTION("""COMPUTED_VALUE"""),2008)</f>
        <v>2008</v>
      </c>
      <c r="B398" s="50">
        <f ca="1">IFERROR(__xludf.DUMMYFUNCTION("""COMPUTED_VALUE"""),39866)</f>
        <v>39866</v>
      </c>
      <c r="C398" s="41">
        <f ca="1">IFERROR(__xludf.DUMMYFUNCTION("""COMPUTED_VALUE"""),39824)</f>
        <v>39824</v>
      </c>
      <c r="D398" s="42" t="str">
        <f ca="1">IFERROR(__xludf.DUMMYFUNCTION("""COMPUTED_VALUE"""),"Rough-legged Buzzard")</f>
        <v>Rough-legged Buzzard</v>
      </c>
      <c r="E398" s="53">
        <f ca="1">IFERROR(__xludf.DUMMYFUNCTION("""COMPUTED_VALUE"""),1)</f>
        <v>1</v>
      </c>
      <c r="F398" s="15" t="str">
        <f ca="1">IFERROR(__xludf.DUMMYFUNCTION("""COMPUTED_VALUE"""),"juv")</f>
        <v>juv</v>
      </c>
      <c r="G398" s="44" t="str">
        <f ca="1">IFERROR(__xludf.DUMMYFUNCTION("""COMPUTED_VALUE"""),"Red Rocks, Hoylake")</f>
        <v>Red Rocks, Hoylake</v>
      </c>
      <c r="H398" s="12">
        <f ca="1">IFERROR(__xludf.DUMMYFUNCTION("""COMPUTED_VALUE"""),39758)</f>
        <v>39758</v>
      </c>
      <c r="I398" s="13"/>
      <c r="J398" s="14" t="str">
        <f ca="1">IFERROR(__xludf.DUMMYFUNCTION("""COMPUTED_VALUE"""),"Round, S")</f>
        <v>Round, S</v>
      </c>
      <c r="K398" s="15" t="str">
        <f ca="1">IFERROR(__xludf.DUMMYFUNCTION("""COMPUTED_VALUE"""),"John Coup")</f>
        <v>John Coup</v>
      </c>
      <c r="L398" s="17" t="str">
        <f ca="1">IFERROR(__xludf.DUMMYFUNCTION("""COMPUTED_VALUE"""),"closed")</f>
        <v>closed</v>
      </c>
      <c r="M398" s="17" t="str">
        <f ca="1">IFERROR(__xludf.DUMMYFUNCTION("""COMPUTED_VALUE"""),"1st U")</f>
        <v>1st U</v>
      </c>
      <c r="N398" s="15" t="str">
        <f ca="1">IFERROR(__xludf.DUMMYFUNCTION("""COMPUTED_VALUE"""),"Accepted")</f>
        <v>Accepted</v>
      </c>
      <c r="O398" s="18"/>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row>
    <row r="399" spans="1:80" ht="12.75" hidden="1" customHeight="1">
      <c r="A399" s="20">
        <f ca="1">IFERROR(__xludf.DUMMYFUNCTION("""COMPUTED_VALUE"""),2008)</f>
        <v>2008</v>
      </c>
      <c r="B399" s="45">
        <f ca="1">IFERROR(__xludf.DUMMYFUNCTION("""COMPUTED_VALUE"""),39955)</f>
        <v>39955</v>
      </c>
      <c r="C399" s="46">
        <f ca="1">IFERROR(__xludf.DUMMYFUNCTION("""COMPUTED_VALUE"""),39921)</f>
        <v>39921</v>
      </c>
      <c r="D399" s="47" t="str">
        <f ca="1">IFERROR(__xludf.DUMMYFUNCTION("""COMPUTED_VALUE"""),"Rough-legged Buzzard")</f>
        <v>Rough-legged Buzzard</v>
      </c>
      <c r="E399" s="52">
        <f ca="1">IFERROR(__xludf.DUMMYFUNCTION("""COMPUTED_VALUE"""),1)</f>
        <v>1</v>
      </c>
      <c r="F399" s="25"/>
      <c r="G399" s="48" t="str">
        <f ca="1">IFERROR(__xludf.DUMMYFUNCTION("""COMPUTED_VALUE"""),"Waverton")</f>
        <v>Waverton</v>
      </c>
      <c r="H399" s="22">
        <f ca="1">IFERROR(__xludf.DUMMYFUNCTION("""COMPUTED_VALUE"""),39805)</f>
        <v>39805</v>
      </c>
      <c r="I399" s="22">
        <f ca="1">IFERROR(__xludf.DUMMYFUNCTION("""COMPUTED_VALUE"""),39836)</f>
        <v>39836</v>
      </c>
      <c r="J399" s="24"/>
      <c r="K399" s="25"/>
      <c r="L399" s="27" t="str">
        <f ca="1">IFERROR(__xludf.DUMMYFUNCTION("""COMPUTED_VALUE"""),"closed")</f>
        <v>closed</v>
      </c>
      <c r="M399" s="27" t="str">
        <f ca="1">IFERROR(__xludf.DUMMYFUNCTION("""COMPUTED_VALUE"""),"2nd U")</f>
        <v>2nd U</v>
      </c>
      <c r="N399" s="25" t="str">
        <f ca="1">IFERROR(__xludf.DUMMYFUNCTION("""COMPUTED_VALUE"""),"unproven")</f>
        <v>unproven</v>
      </c>
      <c r="O399" s="28" t="str">
        <f ca="1">IFERROR(__xludf.DUMMYFUNCTION("""COMPUTED_VALUE"""),"Photo was of common buzzard")</f>
        <v>Photo was of common buzzard</v>
      </c>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c r="BS399" s="25"/>
      <c r="BT399" s="25"/>
      <c r="BU399" s="25"/>
      <c r="BV399" s="25"/>
      <c r="BW399" s="25"/>
      <c r="BX399" s="25"/>
      <c r="BY399" s="25"/>
      <c r="BZ399" s="25"/>
      <c r="CA399" s="25"/>
      <c r="CB399" s="25"/>
    </row>
    <row r="400" spans="1:80" ht="12.75" hidden="1" customHeight="1">
      <c r="A400" s="10">
        <f ca="1">IFERROR(__xludf.DUMMYFUNCTION("""COMPUTED_VALUE"""),2008)</f>
        <v>2008</v>
      </c>
      <c r="B400" s="50"/>
      <c r="C400" s="41"/>
      <c r="D400" s="42" t="str">
        <f ca="1">IFERROR(__xludf.DUMMYFUNCTION("""COMPUTED_VALUE"""),"Rough-Legged Buzzard")</f>
        <v>Rough-Legged Buzzard</v>
      </c>
      <c r="E400" s="53">
        <f ca="1">IFERROR(__xludf.DUMMYFUNCTION("""COMPUTED_VALUE"""),1)</f>
        <v>1</v>
      </c>
      <c r="F400" s="15"/>
      <c r="G400" s="44" t="str">
        <f ca="1">IFERROR(__xludf.DUMMYFUNCTION("""COMPUTED_VALUE"""),"Hilbre")</f>
        <v>Hilbre</v>
      </c>
      <c r="H400" s="12">
        <f ca="1">IFERROR(__xludf.DUMMYFUNCTION("""COMPUTED_VALUE"""),39757)</f>
        <v>39757</v>
      </c>
      <c r="I400" s="12">
        <f ca="1">IFERROR(__xludf.DUMMYFUNCTION("""COMPUTED_VALUE"""),39757)</f>
        <v>39757</v>
      </c>
      <c r="J400" s="14" t="str">
        <f ca="1">IFERROR(__xludf.DUMMYFUNCTION("""COMPUTED_VALUE"""),"Hilbre Bird Observatory")</f>
        <v>Hilbre Bird Observatory</v>
      </c>
      <c r="K400" s="15"/>
      <c r="L400" s="17" t="str">
        <f ca="1">IFERROR(__xludf.DUMMYFUNCTION("""COMPUTED_VALUE"""),"closed")</f>
        <v>closed</v>
      </c>
      <c r="M400" s="17"/>
      <c r="N400" s="15" t="str">
        <f ca="1">IFERROR(__xludf.DUMMYFUNCTION("""COMPUTED_VALUE"""),"Accepted")</f>
        <v>Accepted</v>
      </c>
      <c r="O400" s="18"/>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row>
    <row r="401" spans="1:80" ht="12.75" hidden="1" customHeight="1">
      <c r="A401" s="20">
        <f ca="1">IFERROR(__xludf.DUMMYFUNCTION("""COMPUTED_VALUE"""),2008)</f>
        <v>2008</v>
      </c>
      <c r="B401" s="45"/>
      <c r="C401" s="46"/>
      <c r="D401" s="47" t="str">
        <f ca="1">IFERROR(__xludf.DUMMYFUNCTION("""COMPUTED_VALUE"""),"Rough-Legged Buzzard")</f>
        <v>Rough-Legged Buzzard</v>
      </c>
      <c r="E401" s="52">
        <f ca="1">IFERROR(__xludf.DUMMYFUNCTION("""COMPUTED_VALUE"""),1)</f>
        <v>1</v>
      </c>
      <c r="F401" s="25"/>
      <c r="G401" s="48" t="str">
        <f ca="1">IFERROR(__xludf.DUMMYFUNCTION("""COMPUTED_VALUE"""),"Hilbre")</f>
        <v>Hilbre</v>
      </c>
      <c r="H401" s="22">
        <f ca="1">IFERROR(__xludf.DUMMYFUNCTION("""COMPUTED_VALUE"""),39758)</f>
        <v>39758</v>
      </c>
      <c r="I401" s="22">
        <f ca="1">IFERROR(__xludf.DUMMYFUNCTION("""COMPUTED_VALUE"""),39758)</f>
        <v>39758</v>
      </c>
      <c r="J401" s="24" t="str">
        <f ca="1">IFERROR(__xludf.DUMMYFUNCTION("""COMPUTED_VALUE"""),"Hilbre Bird Observatory")</f>
        <v>Hilbre Bird Observatory</v>
      </c>
      <c r="K401" s="25"/>
      <c r="L401" s="27" t="str">
        <f ca="1">IFERROR(__xludf.DUMMYFUNCTION("""COMPUTED_VALUE"""),"closed")</f>
        <v>closed</v>
      </c>
      <c r="M401" s="27"/>
      <c r="N401" s="25" t="str">
        <f ca="1">IFERROR(__xludf.DUMMYFUNCTION("""COMPUTED_VALUE"""),"Accepted by Proxy")</f>
        <v>Accepted by Proxy</v>
      </c>
      <c r="O401" s="28" t="str">
        <f ca="1">IFERROR(__xludf.DUMMYFUNCTION("""COMPUTED_VALUE"""),"not submitted but accepted as same as Hoylake")</f>
        <v>not submitted but accepted as same as Hoylake</v>
      </c>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c r="BU401" s="25"/>
      <c r="BV401" s="25"/>
      <c r="BW401" s="25"/>
      <c r="BX401" s="25"/>
      <c r="BY401" s="25"/>
      <c r="BZ401" s="25"/>
      <c r="CA401" s="25"/>
      <c r="CB401" s="25"/>
    </row>
    <row r="402" spans="1:80" ht="12.75" hidden="1" customHeight="1">
      <c r="A402" s="10">
        <f ca="1">IFERROR(__xludf.DUMMYFUNCTION("""COMPUTED_VALUE"""),2008)</f>
        <v>2008</v>
      </c>
      <c r="B402" s="50"/>
      <c r="C402" s="41"/>
      <c r="D402" s="42" t="str">
        <f ca="1">IFERROR(__xludf.DUMMYFUNCTION("""COMPUTED_VALUE"""),"Rough-Legged Buzzard")</f>
        <v>Rough-Legged Buzzard</v>
      </c>
      <c r="E402" s="53">
        <f ca="1">IFERROR(__xludf.DUMMYFUNCTION("""COMPUTED_VALUE"""),1)</f>
        <v>1</v>
      </c>
      <c r="F402" s="15"/>
      <c r="G402" s="44" t="str">
        <f ca="1">IFERROR(__xludf.DUMMYFUNCTION("""COMPUTED_VALUE"""),"Hilbre")</f>
        <v>Hilbre</v>
      </c>
      <c r="H402" s="12">
        <f ca="1">IFERROR(__xludf.DUMMYFUNCTION("""COMPUTED_VALUE"""),39759)</f>
        <v>39759</v>
      </c>
      <c r="I402" s="12">
        <f ca="1">IFERROR(__xludf.DUMMYFUNCTION("""COMPUTED_VALUE"""),39759)</f>
        <v>39759</v>
      </c>
      <c r="J402" s="14" t="str">
        <f ca="1">IFERROR(__xludf.DUMMYFUNCTION("""COMPUTED_VALUE"""),"Hilbre Bird Observatory")</f>
        <v>Hilbre Bird Observatory</v>
      </c>
      <c r="K402" s="15"/>
      <c r="L402" s="17" t="str">
        <f ca="1">IFERROR(__xludf.DUMMYFUNCTION("""COMPUTED_VALUE"""),"closed")</f>
        <v>closed</v>
      </c>
      <c r="M402" s="17"/>
      <c r="N402" s="15" t="str">
        <f ca="1">IFERROR(__xludf.DUMMYFUNCTION("""COMPUTED_VALUE"""),"Accepted by Proxy")</f>
        <v>Accepted by Proxy</v>
      </c>
      <c r="O402" s="18" t="str">
        <f ca="1">IFERROR(__xludf.DUMMYFUNCTION("""COMPUTED_VALUE"""),"not submitted but accepted as same as Hoylake")</f>
        <v>not submitted but accepted as same as Hoylake</v>
      </c>
      <c r="P402" s="15"/>
      <c r="Q402" s="58"/>
      <c r="R402" s="58"/>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row>
    <row r="403" spans="1:80" ht="12.75" hidden="1" customHeight="1">
      <c r="A403" s="20">
        <f ca="1">IFERROR(__xludf.DUMMYFUNCTION("""COMPUTED_VALUE"""),2008)</f>
        <v>2008</v>
      </c>
      <c r="B403" s="45">
        <f ca="1">IFERROR(__xludf.DUMMYFUNCTION("""COMPUTED_VALUE"""),40085)</f>
        <v>40085</v>
      </c>
      <c r="C403" s="46">
        <f ca="1">IFERROR(__xludf.DUMMYFUNCTION("""COMPUTED_VALUE"""),40065)</f>
        <v>40065</v>
      </c>
      <c r="D403" s="47" t="str">
        <f ca="1">IFERROR(__xludf.DUMMYFUNCTION("""COMPUTED_VALUE"""),"Long-eared Owl")</f>
        <v>Long-eared Owl</v>
      </c>
      <c r="E403" s="52">
        <f ca="1">IFERROR(__xludf.DUMMYFUNCTION("""COMPUTED_VALUE"""),1)</f>
        <v>1</v>
      </c>
      <c r="F403" s="25"/>
      <c r="G403" s="48" t="str">
        <f ca="1">IFERROR(__xludf.DUMMYFUNCTION("""COMPUTED_VALUE"""),"Fiddler's Ferry")</f>
        <v>Fiddler's Ferry</v>
      </c>
      <c r="H403" s="22">
        <f ca="1">IFERROR(__xludf.DUMMYFUNCTION("""COMPUTED_VALUE"""),39508)</f>
        <v>39508</v>
      </c>
      <c r="I403" s="22">
        <f ca="1">IFERROR(__xludf.DUMMYFUNCTION("""COMPUTED_VALUE"""),39531)</f>
        <v>39531</v>
      </c>
      <c r="J403" s="24" t="str">
        <f ca="1">IFERROR(__xludf.DUMMYFUNCTION("""COMPUTED_VALUE"""),"Massey, K")</f>
        <v>Massey, K</v>
      </c>
      <c r="K403" s="25" t="str">
        <f ca="1">IFERROR(__xludf.DUMMYFUNCTION("""COMPUTED_VALUE"""),"Keith Massey and Richard Surman")</f>
        <v>Keith Massey and Richard Surman</v>
      </c>
      <c r="L403" s="27" t="str">
        <f ca="1">IFERROR(__xludf.DUMMYFUNCTION("""COMPUTED_VALUE"""),"closed")</f>
        <v>closed</v>
      </c>
      <c r="M403" s="27" t="str">
        <f ca="1">IFERROR(__xludf.DUMMYFUNCTION("""COMPUTED_VALUE"""),"1st U")</f>
        <v>1st U</v>
      </c>
      <c r="N403" s="25" t="str">
        <f ca="1">IFERROR(__xludf.DUMMYFUNCTION("""COMPUTED_VALUE"""),"Accepted")</f>
        <v>Accepted</v>
      </c>
      <c r="O403" s="28"/>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c r="BS403" s="25"/>
      <c r="BT403" s="25"/>
      <c r="BU403" s="25"/>
      <c r="BV403" s="25"/>
      <c r="BW403" s="25"/>
      <c r="BX403" s="25"/>
      <c r="BY403" s="25"/>
      <c r="BZ403" s="25"/>
      <c r="CA403" s="25"/>
      <c r="CB403" s="25"/>
    </row>
    <row r="404" spans="1:80" ht="12.75" hidden="1" customHeight="1">
      <c r="A404" s="10">
        <f ca="1">IFERROR(__xludf.DUMMYFUNCTION("""COMPUTED_VALUE"""),2008)</f>
        <v>2008</v>
      </c>
      <c r="B404" s="50">
        <f ca="1">IFERROR(__xludf.DUMMYFUNCTION("""COMPUTED_VALUE"""),39722)</f>
        <v>39722</v>
      </c>
      <c r="C404" s="41">
        <f ca="1">IFERROR(__xludf.DUMMYFUNCTION("""COMPUTED_VALUE"""),39703)</f>
        <v>39703</v>
      </c>
      <c r="D404" s="42" t="str">
        <f ca="1">IFERROR(__xludf.DUMMYFUNCTION("""COMPUTED_VALUE"""),"Hoopoe")</f>
        <v>Hoopoe</v>
      </c>
      <c r="E404" s="53">
        <f ca="1">IFERROR(__xludf.DUMMYFUNCTION("""COMPUTED_VALUE"""),1)</f>
        <v>1</v>
      </c>
      <c r="F404" s="15"/>
      <c r="G404" s="44" t="str">
        <f ca="1">IFERROR(__xludf.DUMMYFUNCTION("""COMPUTED_VALUE"""),"Bridgemere")</f>
        <v>Bridgemere</v>
      </c>
      <c r="H404" s="12">
        <f ca="1">IFERROR(__xludf.DUMMYFUNCTION("""COMPUTED_VALUE"""),39574)</f>
        <v>39574</v>
      </c>
      <c r="I404" s="13"/>
      <c r="J404" s="14" t="str">
        <f ca="1">IFERROR(__xludf.DUMMYFUNCTION("""COMPUTED_VALUE"""),"Friend, P")</f>
        <v>Friend, P</v>
      </c>
      <c r="K404" s="15"/>
      <c r="L404" s="17" t="str">
        <f ca="1">IFERROR(__xludf.DUMMYFUNCTION("""COMPUTED_VALUE"""),"closed")</f>
        <v>closed</v>
      </c>
      <c r="M404" s="17" t="str">
        <f ca="1">IFERROR(__xludf.DUMMYFUNCTION("""COMPUTED_VALUE"""),"1st U")</f>
        <v>1st U</v>
      </c>
      <c r="N404" s="15" t="str">
        <f ca="1">IFERROR(__xludf.DUMMYFUNCTION("""COMPUTED_VALUE"""),"Accepted")</f>
        <v>Accepted</v>
      </c>
      <c r="O404" s="18"/>
      <c r="P404" s="15"/>
      <c r="Q404" s="58"/>
      <c r="R404" s="58"/>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row>
    <row r="405" spans="1:80" ht="12.75" hidden="1" customHeight="1">
      <c r="A405" s="20">
        <f ca="1">IFERROR(__xludf.DUMMYFUNCTION("""COMPUTED_VALUE"""),2008)</f>
        <v>2008</v>
      </c>
      <c r="B405" s="45">
        <f ca="1">IFERROR(__xludf.DUMMYFUNCTION("""COMPUTED_VALUE"""),40026)</f>
        <v>40026</v>
      </c>
      <c r="C405" s="46">
        <f ca="1">IFERROR(__xludf.DUMMYFUNCTION("""COMPUTED_VALUE"""),39998)</f>
        <v>39998</v>
      </c>
      <c r="D405" s="47" t="str">
        <f ca="1">IFERROR(__xludf.DUMMYFUNCTION("""COMPUTED_VALUE"""),"Great Grey Shrike")</f>
        <v>Great Grey Shrike</v>
      </c>
      <c r="E405" s="52">
        <f ca="1">IFERROR(__xludf.DUMMYFUNCTION("""COMPUTED_VALUE"""),1)</f>
        <v>1</v>
      </c>
      <c r="F405" s="25" t="str">
        <f ca="1">IFERROR(__xludf.DUMMYFUNCTION("""COMPUTED_VALUE"""),"AdS")</f>
        <v>AdS</v>
      </c>
      <c r="G405" s="48" t="str">
        <f ca="1">IFERROR(__xludf.DUMMYFUNCTION("""COMPUTED_VALUE"""),"upper Moss side")</f>
        <v>upper Moss side</v>
      </c>
      <c r="H405" s="22">
        <f ca="1">IFERROR(__xludf.DUMMYFUNCTION("""COMPUTED_VALUE"""),39548)</f>
        <v>39548</v>
      </c>
      <c r="I405" s="23"/>
      <c r="J405" s="24" t="str">
        <f ca="1">IFERROR(__xludf.DUMMYFUNCTION("""COMPUTED_VALUE"""),"Feltham, M")</f>
        <v>Feltham, M</v>
      </c>
      <c r="K405" s="25" t="str">
        <f ca="1">IFERROR(__xludf.DUMMYFUNCTION("""COMPUTED_VALUE"""),"Feltham, M")</f>
        <v>Feltham, M</v>
      </c>
      <c r="L405" s="27" t="str">
        <f ca="1">IFERROR(__xludf.DUMMYFUNCTION("""COMPUTED_VALUE"""),"closed")</f>
        <v>closed</v>
      </c>
      <c r="M405" s="27" t="str">
        <f ca="1">IFERROR(__xludf.DUMMYFUNCTION("""COMPUTED_VALUE"""),"1st U")</f>
        <v>1st U</v>
      </c>
      <c r="N405" s="25" t="str">
        <f ca="1">IFERROR(__xludf.DUMMYFUNCTION("""COMPUTED_VALUE"""),"accepted")</f>
        <v>accepted</v>
      </c>
      <c r="O405" s="28"/>
      <c r="P405" s="25"/>
      <c r="Q405" s="40"/>
      <c r="R405" s="40"/>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c r="BS405" s="25"/>
      <c r="BT405" s="25"/>
      <c r="BU405" s="25"/>
      <c r="BV405" s="25"/>
      <c r="BW405" s="25"/>
      <c r="BX405" s="25"/>
      <c r="BY405" s="25"/>
      <c r="BZ405" s="25"/>
      <c r="CA405" s="25"/>
      <c r="CB405" s="25"/>
    </row>
    <row r="406" spans="1:80" ht="12.75" hidden="1" customHeight="1">
      <c r="A406" s="10">
        <f ca="1">IFERROR(__xludf.DUMMYFUNCTION("""COMPUTED_VALUE"""),2008)</f>
        <v>2008</v>
      </c>
      <c r="B406" s="50"/>
      <c r="C406" s="41"/>
      <c r="D406" s="42" t="str">
        <f ca="1">IFERROR(__xludf.DUMMYFUNCTION("""COMPUTED_VALUE"""),"Red-rumped Swallow")</f>
        <v>Red-rumped Swallow</v>
      </c>
      <c r="E406" s="53">
        <f ca="1">IFERROR(__xludf.DUMMYFUNCTION("""COMPUTED_VALUE"""),1)</f>
        <v>1</v>
      </c>
      <c r="F406" s="15"/>
      <c r="G406" s="44" t="str">
        <f ca="1">IFERROR(__xludf.DUMMYFUNCTION("""COMPUTED_VALUE"""),"Leasowe")</f>
        <v>Leasowe</v>
      </c>
      <c r="H406" s="12">
        <f ca="1">IFERROR(__xludf.DUMMYFUNCTION("""COMPUTED_VALUE"""),39585)</f>
        <v>39585</v>
      </c>
      <c r="I406" s="13"/>
      <c r="J406" s="14" t="str">
        <f ca="1">IFERROR(__xludf.DUMMYFUNCTION("""COMPUTED_VALUE"""),"Conlin, A")</f>
        <v>Conlin, A</v>
      </c>
      <c r="K406" s="15" t="str">
        <f ca="1">IFERROR(__xludf.DUMMYFUNCTION("""COMPUTED_VALUE"""),"Colin Roe")</f>
        <v>Colin Roe</v>
      </c>
      <c r="L406" s="17" t="str">
        <f ca="1">IFERROR(__xludf.DUMMYFUNCTION("""COMPUTED_VALUE"""),"closed")</f>
        <v>closed</v>
      </c>
      <c r="M406" s="17" t="str">
        <f ca="1">IFERROR(__xludf.DUMMYFUNCTION("""COMPUTED_VALUE"""),"1st U")</f>
        <v>1st U</v>
      </c>
      <c r="N406" s="15" t="str">
        <f ca="1">IFERROR(__xludf.DUMMYFUNCTION("""COMPUTED_VALUE"""),"Accepted")</f>
        <v>Accepted</v>
      </c>
      <c r="O406" s="18"/>
      <c r="P406" s="15"/>
      <c r="Q406" s="58"/>
      <c r="R406" s="58"/>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row>
    <row r="407" spans="1:80" ht="12.75" hidden="1" customHeight="1">
      <c r="A407" s="20">
        <f ca="1">IFERROR(__xludf.DUMMYFUNCTION("""COMPUTED_VALUE"""),2008)</f>
        <v>2008</v>
      </c>
      <c r="B407" s="45">
        <f ca="1">IFERROR(__xludf.DUMMYFUNCTION("""COMPUTED_VALUE"""),39955)</f>
        <v>39955</v>
      </c>
      <c r="C407" s="46">
        <f ca="1">IFERROR(__xludf.DUMMYFUNCTION("""COMPUTED_VALUE"""),39921)</f>
        <v>39921</v>
      </c>
      <c r="D407" s="47" t="str">
        <f ca="1">IFERROR(__xludf.DUMMYFUNCTION("""COMPUTED_VALUE"""),"Red-rumped Swallow")</f>
        <v>Red-rumped Swallow</v>
      </c>
      <c r="E407" s="52">
        <f ca="1">IFERROR(__xludf.DUMMYFUNCTION("""COMPUTED_VALUE"""),1)</f>
        <v>1</v>
      </c>
      <c r="F407" s="25"/>
      <c r="G407" s="48" t="str">
        <f ca="1">IFERROR(__xludf.DUMMYFUNCTION("""COMPUTED_VALUE"""),"Hoylake")</f>
        <v>Hoylake</v>
      </c>
      <c r="H407" s="22">
        <f ca="1">IFERROR(__xludf.DUMMYFUNCTION("""COMPUTED_VALUE"""),39575)</f>
        <v>39575</v>
      </c>
      <c r="I407" s="23"/>
      <c r="J407" s="24" t="str">
        <f ca="1">IFERROR(__xludf.DUMMYFUNCTION("""COMPUTED_VALUE"""),"Turner, JE")</f>
        <v>Turner, JE</v>
      </c>
      <c r="K407" s="25" t="str">
        <f ca="1">IFERROR(__xludf.DUMMYFUNCTION("""COMPUTED_VALUE"""),"Turner, JE")</f>
        <v>Turner, JE</v>
      </c>
      <c r="L407" s="27" t="str">
        <f ca="1">IFERROR(__xludf.DUMMYFUNCTION("""COMPUTED_VALUE"""),"closed")</f>
        <v>closed</v>
      </c>
      <c r="M407" s="27" t="str">
        <f ca="1">IFERROR(__xludf.DUMMYFUNCTION("""COMPUTED_VALUE"""),"1st U")</f>
        <v>1st U</v>
      </c>
      <c r="N407" s="25" t="str">
        <f ca="1">IFERROR(__xludf.DUMMYFUNCTION("""COMPUTED_VALUE"""),"Accepted")</f>
        <v>Accepted</v>
      </c>
      <c r="O407" s="28"/>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row>
    <row r="408" spans="1:80" ht="12.75" hidden="1" customHeight="1">
      <c r="A408" s="10">
        <f ca="1">IFERROR(__xludf.DUMMYFUNCTION("""COMPUTED_VALUE"""),2008)</f>
        <v>2008</v>
      </c>
      <c r="B408" s="50">
        <f ca="1">IFERROR(__xludf.DUMMYFUNCTION("""COMPUTED_VALUE"""),39866)</f>
        <v>39866</v>
      </c>
      <c r="C408" s="41">
        <f ca="1">IFERROR(__xludf.DUMMYFUNCTION("""COMPUTED_VALUE"""),39824)</f>
        <v>39824</v>
      </c>
      <c r="D408" s="42" t="str">
        <f ca="1">IFERROR(__xludf.DUMMYFUNCTION("""COMPUTED_VALUE"""),"Cetti's Warbler")</f>
        <v>Cetti's Warbler</v>
      </c>
      <c r="E408" s="53">
        <f ca="1">IFERROR(__xludf.DUMMYFUNCTION("""COMPUTED_VALUE"""),1)</f>
        <v>1</v>
      </c>
      <c r="F408" s="15"/>
      <c r="G408" s="44" t="str">
        <f ca="1">IFERROR(__xludf.DUMMYFUNCTION("""COMPUTED_VALUE"""),"Woolston")</f>
        <v>Woolston</v>
      </c>
      <c r="H408" s="12">
        <f ca="1">IFERROR(__xludf.DUMMYFUNCTION("""COMPUTED_VALUE"""),39746)</f>
        <v>39746</v>
      </c>
      <c r="I408" s="13"/>
      <c r="J408" s="14" t="str">
        <f ca="1">IFERROR(__xludf.DUMMYFUNCTION("""COMPUTED_VALUE"""),"Hitchmough, A")</f>
        <v>Hitchmough, A</v>
      </c>
      <c r="K408" s="15"/>
      <c r="L408" s="17" t="str">
        <f ca="1">IFERROR(__xludf.DUMMYFUNCTION("""COMPUTED_VALUE"""),"closed")</f>
        <v>closed</v>
      </c>
      <c r="M408" s="17" t="str">
        <f ca="1">IFERROR(__xludf.DUMMYFUNCTION("""COMPUTED_VALUE"""),"1st U")</f>
        <v>1st U</v>
      </c>
      <c r="N408" s="15" t="str">
        <f ca="1">IFERROR(__xludf.DUMMYFUNCTION("""COMPUTED_VALUE"""),"Accepted")</f>
        <v>Accepted</v>
      </c>
      <c r="O408" s="18" t="str">
        <f ca="1">IFERROR(__xludf.DUMMYFUNCTION("""COMPUTED_VALUE"""),"Woolston Eyes No1. x1 1st year female caught and ringed at 07.45hrs; &lt;Observer: Alan Hitchmough&gt;")</f>
        <v>Woolston Eyes No1. x1 1st year female caught and ringed at 07.45hrs; &lt;Observer: Alan Hitchmough&gt;</v>
      </c>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row>
    <row r="409" spans="1:80" ht="12.75" hidden="1" customHeight="1">
      <c r="A409" s="20">
        <f ca="1">IFERROR(__xludf.DUMMYFUNCTION("""COMPUTED_VALUE"""),2008)</f>
        <v>2008</v>
      </c>
      <c r="B409" s="45">
        <f ca="1">IFERROR(__xludf.DUMMYFUNCTION("""COMPUTED_VALUE"""),40085)</f>
        <v>40085</v>
      </c>
      <c r="C409" s="46">
        <f ca="1">IFERROR(__xludf.DUMMYFUNCTION("""COMPUTED_VALUE"""),40065)</f>
        <v>40065</v>
      </c>
      <c r="D409" s="47" t="str">
        <f ca="1">IFERROR(__xludf.DUMMYFUNCTION("""COMPUTED_VALUE"""),"Cetti's Warbler")</f>
        <v>Cetti's Warbler</v>
      </c>
      <c r="E409" s="52">
        <f ca="1">IFERROR(__xludf.DUMMYFUNCTION("""COMPUTED_VALUE"""),1)</f>
        <v>1</v>
      </c>
      <c r="F409" s="25" t="str">
        <f ca="1">IFERROR(__xludf.DUMMYFUNCTION("""COMPUTED_VALUE"""),"Ist W F")</f>
        <v>Ist W F</v>
      </c>
      <c r="G409" s="48" t="str">
        <f ca="1">IFERROR(__xludf.DUMMYFUNCTION("""COMPUTED_VALUE"""),"Oxmoor Wood LNR, Runcorn")</f>
        <v>Oxmoor Wood LNR, Runcorn</v>
      </c>
      <c r="H409" s="22">
        <f ca="1">IFERROR(__xludf.DUMMYFUNCTION("""COMPUTED_VALUE"""),39705)</f>
        <v>39705</v>
      </c>
      <c r="I409" s="22">
        <f ca="1">IFERROR(__xludf.DUMMYFUNCTION("""COMPUTED_VALUE"""),39705)</f>
        <v>39705</v>
      </c>
      <c r="J409" s="24" t="str">
        <f ca="1">IFERROR(__xludf.DUMMYFUNCTION("""COMPUTED_VALUE"""),"Norman, D")</f>
        <v>Norman, D</v>
      </c>
      <c r="K409" s="25"/>
      <c r="L409" s="27" t="str">
        <f ca="1">IFERROR(__xludf.DUMMYFUNCTION("""COMPUTED_VALUE"""),"closed")</f>
        <v>closed</v>
      </c>
      <c r="M409" s="27" t="str">
        <f ca="1">IFERROR(__xludf.DUMMYFUNCTION("""COMPUTED_VALUE"""),"1st U")</f>
        <v>1st U</v>
      </c>
      <c r="N409" s="25" t="str">
        <f ca="1">IFERROR(__xludf.DUMMYFUNCTION("""COMPUTED_VALUE"""),"accepted")</f>
        <v>accepted</v>
      </c>
      <c r="O409" s="28" t="str">
        <f ca="1">IFERROR(__xludf.DUMMYFUNCTION("""COMPUTED_VALUE"""),"Today's bird was a first-year female, the species and age easily determined from the 'mystery photograph' of its tail: only 10 rectrices, and a clear growth bar at the same distance (from the end of the tail) on all feathers.")</f>
        <v>Today's bird was a first-year female, the species and age easily determined from the 'mystery photograph' of its tail: only 10 rectrices, and a clear growth bar at the same distance (from the end of the tail) on all feathers.</v>
      </c>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row>
    <row r="410" spans="1:80" ht="12.75" hidden="1" customHeight="1">
      <c r="A410" s="10">
        <f ca="1">IFERROR(__xludf.DUMMYFUNCTION("""COMPUTED_VALUE"""),2008)</f>
        <v>2008</v>
      </c>
      <c r="B410" s="50">
        <f ca="1">IFERROR(__xludf.DUMMYFUNCTION("""COMPUTED_VALUE"""),40026)</f>
        <v>40026</v>
      </c>
      <c r="C410" s="41">
        <f ca="1">IFERROR(__xludf.DUMMYFUNCTION("""COMPUTED_VALUE"""),39998)</f>
        <v>39998</v>
      </c>
      <c r="D410" s="42" t="str">
        <f ca="1">IFERROR(__xludf.DUMMYFUNCTION("""COMPUTED_VALUE"""),"Cetti's Warbler")</f>
        <v>Cetti's Warbler</v>
      </c>
      <c r="E410" s="53">
        <f ca="1">IFERROR(__xludf.DUMMYFUNCTION("""COMPUTED_VALUE"""),1)</f>
        <v>1</v>
      </c>
      <c r="F410" s="15" t="str">
        <f ca="1">IFERROR(__xludf.DUMMYFUNCTION("""COMPUTED_VALUE"""),"Male")</f>
        <v>Male</v>
      </c>
      <c r="G410" s="44" t="str">
        <f ca="1">IFERROR(__xludf.DUMMYFUNCTION("""COMPUTED_VALUE"""),"Eastern Reedbed, Moore NR")</f>
        <v>Eastern Reedbed, Moore NR</v>
      </c>
      <c r="H410" s="12">
        <f ca="1">IFERROR(__xludf.DUMMYFUNCTION("""COMPUTED_VALUE"""),39559)</f>
        <v>39559</v>
      </c>
      <c r="I410" s="12">
        <f ca="1">IFERROR(__xludf.DUMMYFUNCTION("""COMPUTED_VALUE"""),39945)</f>
        <v>39945</v>
      </c>
      <c r="J410" s="14" t="str">
        <f ca="1">IFERROR(__xludf.DUMMYFUNCTION("""COMPUTED_VALUE"""),"Feltham, M")</f>
        <v>Feltham, M</v>
      </c>
      <c r="K410" s="15" t="str">
        <f ca="1">IFERROR(__xludf.DUMMYFUNCTION("""COMPUTED_VALUE"""),"Feltham, M")</f>
        <v>Feltham, M</v>
      </c>
      <c r="L410" s="17" t="str">
        <f ca="1">IFERROR(__xludf.DUMMYFUNCTION("""COMPUTED_VALUE"""),"closed")</f>
        <v>closed</v>
      </c>
      <c r="M410" s="17" t="str">
        <f ca="1">IFERROR(__xludf.DUMMYFUNCTION("""COMPUTED_VALUE"""),"1st U")</f>
        <v>1st U</v>
      </c>
      <c r="N410" s="15" t="str">
        <f ca="1">IFERROR(__xludf.DUMMYFUNCTION("""COMPUTED_VALUE"""),"accepted")</f>
        <v>accepted</v>
      </c>
      <c r="O410" s="18"/>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row>
    <row r="411" spans="1:80" ht="12.75" hidden="1" customHeight="1">
      <c r="A411" s="20">
        <f ca="1">IFERROR(__xludf.DUMMYFUNCTION("""COMPUTED_VALUE"""),2008)</f>
        <v>2008</v>
      </c>
      <c r="B411" s="45"/>
      <c r="C411" s="46"/>
      <c r="D411" s="47" t="str">
        <f ca="1">IFERROR(__xludf.DUMMYFUNCTION("""COMPUTED_VALUE"""),"Cetti's Warbler")</f>
        <v>Cetti's Warbler</v>
      </c>
      <c r="E411" s="52">
        <f ca="1">IFERROR(__xludf.DUMMYFUNCTION("""COMPUTED_VALUE"""),1)</f>
        <v>1</v>
      </c>
      <c r="F411" s="25"/>
      <c r="G411" s="48" t="str">
        <f ca="1">IFERROR(__xludf.DUMMYFUNCTION("""COMPUTED_VALUE"""),"Eastern Reedbed, Moore NR")</f>
        <v>Eastern Reedbed, Moore NR</v>
      </c>
      <c r="H411" s="22">
        <f ca="1">IFERROR(__xludf.DUMMYFUNCTION("""COMPUTED_VALUE"""),39560)</f>
        <v>39560</v>
      </c>
      <c r="I411" s="22">
        <f ca="1">IFERROR(__xludf.DUMMYFUNCTION("""COMPUTED_VALUE"""),39560)</f>
        <v>39560</v>
      </c>
      <c r="J411" s="24" t="str">
        <f ca="1">IFERROR(__xludf.DUMMYFUNCTION("""COMPUTED_VALUE"""),"Feltham, M")</f>
        <v>Feltham, M</v>
      </c>
      <c r="K411" s="25"/>
      <c r="L411" s="27" t="str">
        <f ca="1">IFERROR(__xludf.DUMMYFUNCTION("""COMPUTED_VALUE"""),"closed")</f>
        <v>closed</v>
      </c>
      <c r="M411" s="27"/>
      <c r="N411" s="25" t="str">
        <f ca="1">IFERROR(__xludf.DUMMYFUNCTION("""COMPUTED_VALUE"""),"accepted")</f>
        <v>accepted</v>
      </c>
      <c r="O411" s="28"/>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row>
    <row r="412" spans="1:80" ht="12.75" hidden="1" customHeight="1">
      <c r="A412" s="10">
        <f ca="1">IFERROR(__xludf.DUMMYFUNCTION("""COMPUTED_VALUE"""),2008)</f>
        <v>2008</v>
      </c>
      <c r="B412" s="50"/>
      <c r="C412" s="41"/>
      <c r="D412" s="42" t="str">
        <f ca="1">IFERROR(__xludf.DUMMYFUNCTION("""COMPUTED_VALUE"""),"Cetti's Warbler")</f>
        <v>Cetti's Warbler</v>
      </c>
      <c r="E412" s="53">
        <f ca="1">IFERROR(__xludf.DUMMYFUNCTION("""COMPUTED_VALUE"""),1)</f>
        <v>1</v>
      </c>
      <c r="F412" s="15"/>
      <c r="G412" s="44" t="str">
        <f ca="1">IFERROR(__xludf.DUMMYFUNCTION("""COMPUTED_VALUE"""),"Eastern Reedbed, Moore NR")</f>
        <v>Eastern Reedbed, Moore NR</v>
      </c>
      <c r="H412" s="12">
        <f ca="1">IFERROR(__xludf.DUMMYFUNCTION("""COMPUTED_VALUE"""),39563)</f>
        <v>39563</v>
      </c>
      <c r="I412" s="12">
        <f ca="1">IFERROR(__xludf.DUMMYFUNCTION("""COMPUTED_VALUE"""),39563)</f>
        <v>39563</v>
      </c>
      <c r="J412" s="14" t="str">
        <f ca="1">IFERROR(__xludf.DUMMYFUNCTION("""COMPUTED_VALUE"""),"Feltham, M")</f>
        <v>Feltham, M</v>
      </c>
      <c r="K412" s="15"/>
      <c r="L412" s="17" t="str">
        <f ca="1">IFERROR(__xludf.DUMMYFUNCTION("""COMPUTED_VALUE"""),"closed")</f>
        <v>closed</v>
      </c>
      <c r="M412" s="17"/>
      <c r="N412" s="15" t="str">
        <f ca="1">IFERROR(__xludf.DUMMYFUNCTION("""COMPUTED_VALUE"""),"accepted")</f>
        <v>accepted</v>
      </c>
      <c r="O412" s="18"/>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row>
    <row r="413" spans="1:80" ht="12.75" hidden="1" customHeight="1">
      <c r="A413" s="20">
        <f ca="1">IFERROR(__xludf.DUMMYFUNCTION("""COMPUTED_VALUE"""),2008)</f>
        <v>2008</v>
      </c>
      <c r="B413" s="45"/>
      <c r="C413" s="46"/>
      <c r="D413" s="47" t="str">
        <f ca="1">IFERROR(__xludf.DUMMYFUNCTION("""COMPUTED_VALUE"""),"Cetti's Warbler")</f>
        <v>Cetti's Warbler</v>
      </c>
      <c r="E413" s="52">
        <f ca="1">IFERROR(__xludf.DUMMYFUNCTION("""COMPUTED_VALUE"""),1)</f>
        <v>1</v>
      </c>
      <c r="F413" s="25"/>
      <c r="G413" s="48" t="str">
        <f ca="1">IFERROR(__xludf.DUMMYFUNCTION("""COMPUTED_VALUE"""),"Eastern Reedbed, Moore NR")</f>
        <v>Eastern Reedbed, Moore NR</v>
      </c>
      <c r="H413" s="22">
        <f ca="1">IFERROR(__xludf.DUMMYFUNCTION("""COMPUTED_VALUE"""),39580)</f>
        <v>39580</v>
      </c>
      <c r="I413" s="22">
        <f ca="1">IFERROR(__xludf.DUMMYFUNCTION("""COMPUTED_VALUE"""),39580)</f>
        <v>39580</v>
      </c>
      <c r="J413" s="24" t="str">
        <f ca="1">IFERROR(__xludf.DUMMYFUNCTION("""COMPUTED_VALUE"""),"Feltham, M")</f>
        <v>Feltham, M</v>
      </c>
      <c r="K413" s="25"/>
      <c r="L413" s="27" t="str">
        <f ca="1">IFERROR(__xludf.DUMMYFUNCTION("""COMPUTED_VALUE"""),"closed")</f>
        <v>closed</v>
      </c>
      <c r="M413" s="27"/>
      <c r="N413" s="25" t="str">
        <f ca="1">IFERROR(__xludf.DUMMYFUNCTION("""COMPUTED_VALUE"""),"accepted")</f>
        <v>accepted</v>
      </c>
      <c r="O413" s="28"/>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c r="BS413" s="25"/>
      <c r="BT413" s="25"/>
      <c r="BU413" s="25"/>
      <c r="BV413" s="25"/>
      <c r="BW413" s="25"/>
      <c r="BX413" s="25"/>
      <c r="BY413" s="25"/>
      <c r="BZ413" s="25"/>
      <c r="CA413" s="25"/>
      <c r="CB413" s="25"/>
    </row>
    <row r="414" spans="1:80" ht="13.5" hidden="1">
      <c r="A414" s="10">
        <f ca="1">IFERROR(__xludf.DUMMYFUNCTION("""COMPUTED_VALUE"""),2008)</f>
        <v>2008</v>
      </c>
      <c r="B414" s="50">
        <f ca="1">IFERROR(__xludf.DUMMYFUNCTION("""COMPUTED_VALUE"""),39955)</f>
        <v>39955</v>
      </c>
      <c r="C414" s="41">
        <f ca="1">IFERROR(__xludf.DUMMYFUNCTION("""COMPUTED_VALUE"""),39921)</f>
        <v>39921</v>
      </c>
      <c r="D414" s="42" t="str">
        <f ca="1">IFERROR(__xludf.DUMMYFUNCTION("""COMPUTED_VALUE"""),"Yellow-browed Warbler")</f>
        <v>Yellow-browed Warbler</v>
      </c>
      <c r="E414" s="53">
        <f ca="1">IFERROR(__xludf.DUMMYFUNCTION("""COMPUTED_VALUE"""),1)</f>
        <v>1</v>
      </c>
      <c r="F414" s="15"/>
      <c r="G414" s="44" t="str">
        <f ca="1">IFERROR(__xludf.DUMMYFUNCTION("""COMPUTED_VALUE"""),"Red Rocks, Hoylake")</f>
        <v>Red Rocks, Hoylake</v>
      </c>
      <c r="H414" s="12">
        <f ca="1">IFERROR(__xludf.DUMMYFUNCTION("""COMPUTED_VALUE"""),39717)</f>
        <v>39717</v>
      </c>
      <c r="I414" s="13"/>
      <c r="J414" s="14" t="str">
        <f ca="1">IFERROR(__xludf.DUMMYFUNCTION("""COMPUTED_VALUE"""),"Turner, JE")</f>
        <v>Turner, JE</v>
      </c>
      <c r="K414" s="15" t="str">
        <f ca="1">IFERROR(__xludf.DUMMYFUNCTION("""COMPUTED_VALUE"""),"Turner, JE")</f>
        <v>Turner, JE</v>
      </c>
      <c r="L414" s="17" t="str">
        <f ca="1">IFERROR(__xludf.DUMMYFUNCTION("""COMPUTED_VALUE"""),"closed")</f>
        <v>closed</v>
      </c>
      <c r="M414" s="17" t="str">
        <f ca="1">IFERROR(__xludf.DUMMYFUNCTION("""COMPUTED_VALUE"""),"1st U")</f>
        <v>1st U</v>
      </c>
      <c r="N414" s="15" t="str">
        <f ca="1">IFERROR(__xludf.DUMMYFUNCTION("""COMPUTED_VALUE"""),"Accepted")</f>
        <v>Accepted</v>
      </c>
      <c r="O414" s="18" t="str">
        <f ca="1">IFERROR(__xludf.DUMMYFUNCTION("""COMPUTED_VALUE"""),"There were two birds present, Two-barred Greenish Warbler was not ruled out on the second bird.")</f>
        <v>There were two birds present, Two-barred Greenish Warbler was not ruled out on the second bird.</v>
      </c>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row>
    <row r="415" spans="1:80" ht="12.75" hidden="1" customHeight="1">
      <c r="A415" s="20">
        <f ca="1">IFERROR(__xludf.DUMMYFUNCTION("""COMPUTED_VALUE"""),2008)</f>
        <v>2008</v>
      </c>
      <c r="B415" s="45">
        <f ca="1">IFERROR(__xludf.DUMMYFUNCTION("""COMPUTED_VALUE"""),40336)</f>
        <v>40336</v>
      </c>
      <c r="C415" s="46">
        <f ca="1">IFERROR(__xludf.DUMMYFUNCTION("""COMPUTED_VALUE"""),40245)</f>
        <v>40245</v>
      </c>
      <c r="D415" s="47" t="str">
        <f ca="1">IFERROR(__xludf.DUMMYFUNCTION("""COMPUTED_VALUE"""),"Siberian Chiffchaff [tristis race]")</f>
        <v>Siberian Chiffchaff [tristis race]</v>
      </c>
      <c r="E415" s="52">
        <f ca="1">IFERROR(__xludf.DUMMYFUNCTION("""COMPUTED_VALUE"""),1)</f>
        <v>1</v>
      </c>
      <c r="F415" s="25"/>
      <c r="G415" s="48" t="str">
        <f ca="1">IFERROR(__xludf.DUMMYFUNCTION("""COMPUTED_VALUE"""),"Neston Sewage Works")</f>
        <v>Neston Sewage Works</v>
      </c>
      <c r="H415" s="22">
        <f ca="1">IFERROR(__xludf.DUMMYFUNCTION("""COMPUTED_VALUE"""),39495)</f>
        <v>39495</v>
      </c>
      <c r="I415" s="23"/>
      <c r="J415" s="24" t="str">
        <f ca="1">IFERROR(__xludf.DUMMYFUNCTION("""COMPUTED_VALUE"""),"Duff, F")</f>
        <v>Duff, F</v>
      </c>
      <c r="K415" s="25" t="str">
        <f ca="1">IFERROR(__xludf.DUMMYFUNCTION("""COMPUTED_VALUE"""),"S R Williams")</f>
        <v>S R Williams</v>
      </c>
      <c r="L415" s="27" t="str">
        <f ca="1">IFERROR(__xludf.DUMMYFUNCTION("""COMPUTED_VALUE"""),"closed")</f>
        <v>closed</v>
      </c>
      <c r="M415" s="27" t="str">
        <f ca="1">IFERROR(__xludf.DUMMYFUNCTION("""COMPUTED_VALUE"""),"1st U")</f>
        <v>1st U</v>
      </c>
      <c r="N415" s="25" t="str">
        <f ca="1">IFERROR(__xludf.DUMMYFUNCTION("""COMPUTED_VALUE"""),"accepted")</f>
        <v>accepted</v>
      </c>
      <c r="O415" s="28"/>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5"/>
      <c r="BY415" s="25"/>
      <c r="BZ415" s="25"/>
      <c r="CA415" s="25"/>
      <c r="CB415" s="25"/>
    </row>
    <row r="416" spans="1:80" ht="12.75" hidden="1" customHeight="1">
      <c r="A416" s="10">
        <f ca="1">IFERROR(__xludf.DUMMYFUNCTION("""COMPUTED_VALUE"""),2008)</f>
        <v>2008</v>
      </c>
      <c r="B416" s="50">
        <f ca="1">IFERROR(__xludf.DUMMYFUNCTION("""COMPUTED_VALUE"""),40336)</f>
        <v>40336</v>
      </c>
      <c r="C416" s="41">
        <f ca="1">IFERROR(__xludf.DUMMYFUNCTION("""COMPUTED_VALUE"""),40245)</f>
        <v>40245</v>
      </c>
      <c r="D416" s="42" t="str">
        <f ca="1">IFERROR(__xludf.DUMMYFUNCTION("""COMPUTED_VALUE"""),"Siberian Chiffchaff [tristis race]")</f>
        <v>Siberian Chiffchaff [tristis race]</v>
      </c>
      <c r="E416" s="53">
        <f ca="1">IFERROR(__xludf.DUMMYFUNCTION("""COMPUTED_VALUE"""),1)</f>
        <v>1</v>
      </c>
      <c r="F416" s="15"/>
      <c r="G416" s="44" t="str">
        <f ca="1">IFERROR(__xludf.DUMMYFUNCTION("""COMPUTED_VALUE"""),"Neston Sewage Works")</f>
        <v>Neston Sewage Works</v>
      </c>
      <c r="H416" s="12">
        <f ca="1">IFERROR(__xludf.DUMMYFUNCTION("""COMPUTED_VALUE"""),39495)</f>
        <v>39495</v>
      </c>
      <c r="I416" s="13"/>
      <c r="J416" s="14" t="str">
        <f ca="1">IFERROR(__xludf.DUMMYFUNCTION("""COMPUTED_VALUE"""),"Williams, SR ")</f>
        <v xml:space="preserve">Williams, SR </v>
      </c>
      <c r="K416" s="15" t="str">
        <f ca="1">IFERROR(__xludf.DUMMYFUNCTION("""COMPUTED_VALUE"""),"Williams, SR ")</f>
        <v xml:space="preserve">Williams, SR </v>
      </c>
      <c r="L416" s="17" t="str">
        <f ca="1">IFERROR(__xludf.DUMMYFUNCTION("""COMPUTED_VALUE"""),"closed")</f>
        <v>closed</v>
      </c>
      <c r="M416" s="17" t="str">
        <f ca="1">IFERROR(__xludf.DUMMYFUNCTION("""COMPUTED_VALUE"""),"1st U")</f>
        <v>1st U</v>
      </c>
      <c r="N416" s="15" t="str">
        <f ca="1">IFERROR(__xludf.DUMMYFUNCTION("""COMPUTED_VALUE"""),"accepted")</f>
        <v>accepted</v>
      </c>
      <c r="O416" s="18"/>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row>
    <row r="417" spans="1:80" ht="12.75" hidden="1" customHeight="1">
      <c r="A417" s="20">
        <f ca="1">IFERROR(__xludf.DUMMYFUNCTION("""COMPUTED_VALUE"""),2008)</f>
        <v>2008</v>
      </c>
      <c r="B417" s="45">
        <f ca="1">IFERROR(__xludf.DUMMYFUNCTION("""COMPUTED_VALUE"""),39967)</f>
        <v>39967</v>
      </c>
      <c r="C417" s="46">
        <f ca="1">IFERROR(__xludf.DUMMYFUNCTION("""COMPUTED_VALUE"""),39921)</f>
        <v>39921</v>
      </c>
      <c r="D417" s="47" t="str">
        <f ca="1">IFERROR(__xludf.DUMMYFUNCTION("""COMPUTED_VALUE"""),"Chiffchaff (Abientinus)")</f>
        <v>Chiffchaff (Abientinus)</v>
      </c>
      <c r="E417" s="52">
        <f ca="1">IFERROR(__xludf.DUMMYFUNCTION("""COMPUTED_VALUE"""),1)</f>
        <v>1</v>
      </c>
      <c r="F417" s="25"/>
      <c r="G417" s="48" t="str">
        <f ca="1">IFERROR(__xludf.DUMMYFUNCTION("""COMPUTED_VALUE"""),"Neston")</f>
        <v>Neston</v>
      </c>
      <c r="H417" s="22">
        <f ca="1">IFERROR(__xludf.DUMMYFUNCTION("""COMPUTED_VALUE"""),39537)</f>
        <v>39537</v>
      </c>
      <c r="I417" s="23"/>
      <c r="J417" s="24" t="str">
        <f ca="1">IFERROR(__xludf.DUMMYFUNCTION("""COMPUTED_VALUE"""),"Washington, M")</f>
        <v>Washington, M</v>
      </c>
      <c r="K417" s="25" t="str">
        <f ca="1">IFERROR(__xludf.DUMMYFUNCTION("""COMPUTED_VALUE"""),"Mark Washington")</f>
        <v>Mark Washington</v>
      </c>
      <c r="L417" s="27" t="str">
        <f ca="1">IFERROR(__xludf.DUMMYFUNCTION("""COMPUTED_VALUE"""),"closed")</f>
        <v>closed</v>
      </c>
      <c r="M417" s="27" t="str">
        <f ca="1">IFERROR(__xludf.DUMMYFUNCTION("""COMPUTED_VALUE"""),"2nd U")</f>
        <v>2nd U</v>
      </c>
      <c r="N417" s="25" t="str">
        <f ca="1">IFERROR(__xludf.DUMMYFUNCTION("""COMPUTED_VALUE"""),"Accepted")</f>
        <v>Accepted</v>
      </c>
      <c r="O417" s="28" t="str">
        <f ca="1">IFERROR(__xludf.DUMMYFUNCTION("""COMPUTED_VALUE"""),"Accepted as ""Eastern Chiffchaff"" race not assigned. May be the bird reported as tristis earlier in the month.")</f>
        <v>Accepted as "Eastern Chiffchaff" race not assigned. May be the bird reported as tristis earlier in the month.</v>
      </c>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5"/>
      <c r="BV417" s="25"/>
      <c r="BW417" s="25"/>
      <c r="BX417" s="25"/>
      <c r="BY417" s="25"/>
      <c r="BZ417" s="25"/>
      <c r="CA417" s="25"/>
      <c r="CB417" s="25"/>
    </row>
    <row r="418" spans="1:80" ht="12.75" hidden="1" customHeight="1">
      <c r="A418" s="10">
        <f ca="1">IFERROR(__xludf.DUMMYFUNCTION("""COMPUTED_VALUE"""),2008)</f>
        <v>2008</v>
      </c>
      <c r="B418" s="50">
        <f ca="1">IFERROR(__xludf.DUMMYFUNCTION("""COMPUTED_VALUE"""),39955)</f>
        <v>39955</v>
      </c>
      <c r="C418" s="41">
        <f ca="1">IFERROR(__xludf.DUMMYFUNCTION("""COMPUTED_VALUE"""),39921)</f>
        <v>39921</v>
      </c>
      <c r="D418" s="42" t="str">
        <f ca="1">IFERROR(__xludf.DUMMYFUNCTION("""COMPUTED_VALUE"""),"Bluethroat")</f>
        <v>Bluethroat</v>
      </c>
      <c r="E418" s="53">
        <f ca="1">IFERROR(__xludf.DUMMYFUNCTION("""COMPUTED_VALUE"""),1)</f>
        <v>1</v>
      </c>
      <c r="F418" s="15" t="str">
        <f ca="1">IFERROR(__xludf.DUMMYFUNCTION("""COMPUTED_VALUE"""),"m")</f>
        <v>m</v>
      </c>
      <c r="G418" s="44" t="str">
        <f ca="1">IFERROR(__xludf.DUMMYFUNCTION("""COMPUTED_VALUE"""),"Hilbre")</f>
        <v>Hilbre</v>
      </c>
      <c r="H418" s="12">
        <f ca="1">IFERROR(__xludf.DUMMYFUNCTION("""COMPUTED_VALUE"""),39589)</f>
        <v>39589</v>
      </c>
      <c r="I418" s="13"/>
      <c r="J418" s="14" t="str">
        <f ca="1">IFERROR(__xludf.DUMMYFUNCTION("""COMPUTED_VALUE"""),"Woollen, P")</f>
        <v>Woollen, P</v>
      </c>
      <c r="K418" s="15" t="str">
        <f ca="1">IFERROR(__xludf.DUMMYFUNCTION("""COMPUTED_VALUE"""),"Phil Woollen Steve Villiams Pete Williams")</f>
        <v>Phil Woollen Steve Villiams Pete Williams</v>
      </c>
      <c r="L418" s="17" t="str">
        <f ca="1">IFERROR(__xludf.DUMMYFUNCTION("""COMPUTED_VALUE"""),"closed")</f>
        <v>closed</v>
      </c>
      <c r="M418" s="17" t="str">
        <f ca="1">IFERROR(__xludf.DUMMYFUNCTION("""COMPUTED_VALUE"""),"1st U")</f>
        <v>1st U</v>
      </c>
      <c r="N418" s="15" t="str">
        <f ca="1">IFERROR(__xludf.DUMMYFUNCTION("""COMPUTED_VALUE"""),"Accepted")</f>
        <v>Accepted</v>
      </c>
      <c r="O418" s="18" t="str">
        <f ca="1">IFERROR(__xludf.DUMMYFUNCTION("""COMPUTED_VALUE"""),"1st-summer red-spotted in brambles at the southern end,")</f>
        <v>1st-summer red-spotted in brambles at the southern end,</v>
      </c>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row>
    <row r="419" spans="1:80" ht="12.75" hidden="1" customHeight="1">
      <c r="A419" s="20">
        <f ca="1">IFERROR(__xludf.DUMMYFUNCTION("""COMPUTED_VALUE"""),2008)</f>
        <v>2008</v>
      </c>
      <c r="B419" s="45">
        <f ca="1">IFERROR(__xludf.DUMMYFUNCTION("""COMPUTED_VALUE"""),39532)</f>
        <v>39532</v>
      </c>
      <c r="C419" s="46">
        <f ca="1">IFERROR(__xludf.DUMMYFUNCTION("""COMPUTED_VALUE"""),39517)</f>
        <v>39517</v>
      </c>
      <c r="D419" s="47" t="str">
        <f ca="1">IFERROR(__xludf.DUMMYFUNCTION("""COMPUTED_VALUE"""),"Black Redstart")</f>
        <v>Black Redstart</v>
      </c>
      <c r="E419" s="52">
        <f ca="1">IFERROR(__xludf.DUMMYFUNCTION("""COMPUTED_VALUE"""),1)</f>
        <v>1</v>
      </c>
      <c r="F419" s="25" t="str">
        <f ca="1">IFERROR(__xludf.DUMMYFUNCTION("""COMPUTED_VALUE"""),"m")</f>
        <v>m</v>
      </c>
      <c r="G419" s="48" t="str">
        <f ca="1">IFERROR(__xludf.DUMMYFUNCTION("""COMPUTED_VALUE"""),"Holmes Chapel")</f>
        <v>Holmes Chapel</v>
      </c>
      <c r="H419" s="22">
        <f ca="1">IFERROR(__xludf.DUMMYFUNCTION("""COMPUTED_VALUE"""),39477)</f>
        <v>39477</v>
      </c>
      <c r="I419" s="22"/>
      <c r="J419" s="24" t="str">
        <f ca="1">IFERROR(__xludf.DUMMYFUNCTION("""COMPUTED_VALUE"""),"Cogger, D")</f>
        <v>Cogger, D</v>
      </c>
      <c r="K419" s="25"/>
      <c r="L419" s="27" t="str">
        <f ca="1">IFERROR(__xludf.DUMMYFUNCTION("""COMPUTED_VALUE"""),"closed")</f>
        <v>closed</v>
      </c>
      <c r="M419" s="27" t="str">
        <f ca="1">IFERROR(__xludf.DUMMYFUNCTION("""COMPUTED_VALUE"""),"1st U")</f>
        <v>1st U</v>
      </c>
      <c r="N419" s="25" t="str">
        <f ca="1">IFERROR(__xludf.DUMMYFUNCTION("""COMPUTED_VALUE"""),"Accepted")</f>
        <v>Accepted</v>
      </c>
      <c r="O419" s="28" t="str">
        <f ca="1">IFERROR(__xludf.DUMMYFUNCTION("""COMPUTED_VALUE"""),"In garden of bungalow.  County Rarity description submitted")</f>
        <v>In garden of bungalow.  County Rarity description submitted</v>
      </c>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c r="BP419" s="25"/>
      <c r="BQ419" s="25"/>
      <c r="BR419" s="25"/>
      <c r="BS419" s="25"/>
      <c r="BT419" s="25"/>
      <c r="BU419" s="25"/>
      <c r="BV419" s="25"/>
      <c r="BW419" s="25"/>
      <c r="BX419" s="25"/>
      <c r="BY419" s="25"/>
      <c r="BZ419" s="25"/>
      <c r="CA419" s="25"/>
      <c r="CB419" s="25"/>
    </row>
    <row r="420" spans="1:80" ht="12.75" hidden="1" customHeight="1">
      <c r="A420" s="10">
        <f ca="1">IFERROR(__xludf.DUMMYFUNCTION("""COMPUTED_VALUE"""),2008)</f>
        <v>2008</v>
      </c>
      <c r="B420" s="50">
        <f ca="1">IFERROR(__xludf.DUMMYFUNCTION("""COMPUTED_VALUE"""),39532)</f>
        <v>39532</v>
      </c>
      <c r="C420" s="41">
        <f ca="1">IFERROR(__xludf.DUMMYFUNCTION("""COMPUTED_VALUE"""),39517)</f>
        <v>39517</v>
      </c>
      <c r="D420" s="42" t="str">
        <f ca="1">IFERROR(__xludf.DUMMYFUNCTION("""COMPUTED_VALUE"""),"Black Redstart")</f>
        <v>Black Redstart</v>
      </c>
      <c r="E420" s="53">
        <f ca="1">IFERROR(__xludf.DUMMYFUNCTION("""COMPUTED_VALUE"""),1)</f>
        <v>1</v>
      </c>
      <c r="F420" s="15" t="str">
        <f ca="1">IFERROR(__xludf.DUMMYFUNCTION("""COMPUTED_VALUE"""),"1stW m")</f>
        <v>1stW m</v>
      </c>
      <c r="G420" s="44" t="str">
        <f ca="1">IFERROR(__xludf.DUMMYFUNCTION("""COMPUTED_VALUE"""),"Saltersford Corner, Holmes Chapel")</f>
        <v>Saltersford Corner, Holmes Chapel</v>
      </c>
      <c r="H420" s="12">
        <f ca="1">IFERROR(__xludf.DUMMYFUNCTION("""COMPUTED_VALUE"""),39478)</f>
        <v>39478</v>
      </c>
      <c r="I420" s="12">
        <f ca="1">IFERROR(__xludf.DUMMYFUNCTION("""COMPUTED_VALUE"""),39479)</f>
        <v>39479</v>
      </c>
      <c r="J420" s="14" t="str">
        <f ca="1">IFERROR(__xludf.DUMMYFUNCTION("""COMPUTED_VALUE"""),"Barber S&amp;G")</f>
        <v>Barber S&amp;G</v>
      </c>
      <c r="K420" s="15"/>
      <c r="L420" s="17" t="str">
        <f ca="1">IFERROR(__xludf.DUMMYFUNCTION("""COMPUTED_VALUE"""),"closed")</f>
        <v>closed</v>
      </c>
      <c r="M420" s="17" t="str">
        <f ca="1">IFERROR(__xludf.DUMMYFUNCTION("""COMPUTED_VALUE"""),"1st U")</f>
        <v>1st U</v>
      </c>
      <c r="N420" s="15" t="str">
        <f ca="1">IFERROR(__xludf.DUMMYFUNCTION("""COMPUTED_VALUE"""),"Accepted")</f>
        <v>Accepted</v>
      </c>
      <c r="O420" s="18"/>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row>
    <row r="421" spans="1:80" ht="12.75" hidden="1" customHeight="1">
      <c r="A421" s="20">
        <f ca="1">IFERROR(__xludf.DUMMYFUNCTION("""COMPUTED_VALUE"""),2008)</f>
        <v>2008</v>
      </c>
      <c r="B421" s="45">
        <f ca="1">IFERROR(__xludf.DUMMYFUNCTION("""COMPUTED_VALUE"""),40239)</f>
        <v>40239</v>
      </c>
      <c r="C421" s="46">
        <f ca="1">IFERROR(__xludf.DUMMYFUNCTION("""COMPUTED_VALUE"""),40205)</f>
        <v>40205</v>
      </c>
      <c r="D421" s="47" t="str">
        <f ca="1">IFERROR(__xludf.DUMMYFUNCTION("""COMPUTED_VALUE"""),"Yellow Wagtail [Blue-headed]")</f>
        <v>Yellow Wagtail [Blue-headed]</v>
      </c>
      <c r="E421" s="52">
        <f ca="1">IFERROR(__xludf.DUMMYFUNCTION("""COMPUTED_VALUE"""),1)</f>
        <v>1</v>
      </c>
      <c r="F421" s="25"/>
      <c r="G421" s="48" t="str">
        <f ca="1">IFERROR(__xludf.DUMMYFUNCTION("""COMPUTED_VALUE"""),"Stowford")</f>
        <v>Stowford</v>
      </c>
      <c r="H421" s="22">
        <f ca="1">IFERROR(__xludf.DUMMYFUNCTION("""COMPUTED_VALUE"""),39579)</f>
        <v>39579</v>
      </c>
      <c r="I421" s="22">
        <f ca="1">IFERROR(__xludf.DUMMYFUNCTION("""COMPUTED_VALUE"""),39579)</f>
        <v>39579</v>
      </c>
      <c r="J421" s="24" t="str">
        <f ca="1">IFERROR(__xludf.DUMMYFUNCTION("""COMPUTED_VALUE"""),"Brydges, A")</f>
        <v>Brydges, A</v>
      </c>
      <c r="K421" s="25" t="str">
        <f ca="1">IFERROR(__xludf.DUMMYFUNCTION("""COMPUTED_VALUE"""),"Brydges, A")</f>
        <v>Brydges, A</v>
      </c>
      <c r="L421" s="27" t="str">
        <f ca="1">IFERROR(__xludf.DUMMYFUNCTION("""COMPUTED_VALUE"""),"closed")</f>
        <v>closed</v>
      </c>
      <c r="M421" s="27" t="str">
        <f ca="1">IFERROR(__xludf.DUMMYFUNCTION("""COMPUTED_VALUE"""),"1st U")</f>
        <v>1st U</v>
      </c>
      <c r="N421" s="25" t="str">
        <f ca="1">IFERROR(__xludf.DUMMYFUNCTION("""COMPUTED_VALUE"""),"accepted")</f>
        <v>accepted</v>
      </c>
      <c r="O421" s="28" t="str">
        <f ca="1">IFERROR(__xludf.DUMMYFUNCTION("""COMPUTED_VALUE"""),"in the ploughed field behind the farm house. Pictures taken; &lt;Observer: ayb&gt;")</f>
        <v>in the ploughed field behind the farm house. Pictures taken; &lt;Observer: ayb&gt;</v>
      </c>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c r="BU421" s="25"/>
      <c r="BV421" s="25"/>
      <c r="BW421" s="25"/>
      <c r="BX421" s="25"/>
      <c r="BY421" s="25"/>
      <c r="BZ421" s="25"/>
      <c r="CA421" s="25"/>
      <c r="CB421" s="25"/>
    </row>
    <row r="422" spans="1:80" ht="12.75" hidden="1" customHeight="1">
      <c r="A422" s="10">
        <f ca="1">IFERROR(__xludf.DUMMYFUNCTION("""COMPUTED_VALUE"""),2008)</f>
        <v>2008</v>
      </c>
      <c r="B422" s="50">
        <f ca="1">IFERROR(__xludf.DUMMYFUNCTION("""COMPUTED_VALUE"""),40239)</f>
        <v>40239</v>
      </c>
      <c r="C422" s="41">
        <f ca="1">IFERROR(__xludf.DUMMYFUNCTION("""COMPUTED_VALUE"""),40205)</f>
        <v>40205</v>
      </c>
      <c r="D422" s="42" t="str">
        <f ca="1">IFERROR(__xludf.DUMMYFUNCTION("""COMPUTED_VALUE"""),"Yellow Wagtail [Blue-headed]")</f>
        <v>Yellow Wagtail [Blue-headed]</v>
      </c>
      <c r="E422" s="53">
        <f ca="1">IFERROR(__xludf.DUMMYFUNCTION("""COMPUTED_VALUE"""),1)</f>
        <v>1</v>
      </c>
      <c r="F422" s="15" t="str">
        <f ca="1">IFERROR(__xludf.DUMMYFUNCTION("""COMPUTED_VALUE"""),"male")</f>
        <v>male</v>
      </c>
      <c r="G422" s="44" t="str">
        <f ca="1">IFERROR(__xludf.DUMMYFUNCTION("""COMPUTED_VALUE"""),"Leasowe")</f>
        <v>Leasowe</v>
      </c>
      <c r="H422" s="12">
        <f ca="1">IFERROR(__xludf.DUMMYFUNCTION("""COMPUTED_VALUE"""),39575)</f>
        <v>39575</v>
      </c>
      <c r="I422" s="13"/>
      <c r="J422" s="14" t="str">
        <f ca="1">IFERROR(__xludf.DUMMYFUNCTION("""COMPUTED_VALUE"""),"Williams, SR")</f>
        <v>Williams, SR</v>
      </c>
      <c r="K422" s="15" t="str">
        <f ca="1">IFERROR(__xludf.DUMMYFUNCTION("""COMPUTED_VALUE"""),"Allan Conlin")</f>
        <v>Allan Conlin</v>
      </c>
      <c r="L422" s="17" t="str">
        <f ca="1">IFERROR(__xludf.DUMMYFUNCTION("""COMPUTED_VALUE"""),"closed")</f>
        <v>closed</v>
      </c>
      <c r="M422" s="17" t="str">
        <f ca="1">IFERROR(__xludf.DUMMYFUNCTION("""COMPUTED_VALUE"""),"1st U")</f>
        <v>1st U</v>
      </c>
      <c r="N422" s="15" t="str">
        <f ca="1">IFERROR(__xludf.DUMMYFUNCTION("""COMPUTED_VALUE"""),"accepted")</f>
        <v>accepted</v>
      </c>
      <c r="O422" s="18"/>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row>
    <row r="423" spans="1:80" ht="12.75" hidden="1" customHeight="1">
      <c r="A423" s="20">
        <f ca="1">IFERROR(__xludf.DUMMYFUNCTION("""COMPUTED_VALUE"""),2008)</f>
        <v>2008</v>
      </c>
      <c r="B423" s="45">
        <f ca="1">IFERROR(__xludf.DUMMYFUNCTION("""COMPUTED_VALUE"""),40085)</f>
        <v>40085</v>
      </c>
      <c r="C423" s="46">
        <f ca="1">IFERROR(__xludf.DUMMYFUNCTION("""COMPUTED_VALUE"""),40065)</f>
        <v>40065</v>
      </c>
      <c r="D423" s="47" t="str">
        <f ca="1">IFERROR(__xludf.DUMMYFUNCTION("""COMPUTED_VALUE"""),"YellowxBlue-headed Wagtail [Channel]")</f>
        <v>YellowxBlue-headed Wagtail [Channel]</v>
      </c>
      <c r="E423" s="52">
        <f ca="1">IFERROR(__xludf.DUMMYFUNCTION("""COMPUTED_VALUE"""),1)</f>
        <v>1</v>
      </c>
      <c r="F423" s="25"/>
      <c r="G423" s="48" t="str">
        <f ca="1">IFERROR(__xludf.DUMMYFUNCTION("""COMPUTED_VALUE"""),"Hilbre")</f>
        <v>Hilbre</v>
      </c>
      <c r="H423" s="22">
        <f ca="1">IFERROR(__xludf.DUMMYFUNCTION("""COMPUTED_VALUE"""),39572)</f>
        <v>39572</v>
      </c>
      <c r="I423" s="22">
        <f ca="1">IFERROR(__xludf.DUMMYFUNCTION("""COMPUTED_VALUE"""),39572)</f>
        <v>39572</v>
      </c>
      <c r="J423" s="24" t="str">
        <f ca="1">IFERROR(__xludf.DUMMYFUNCTION("""COMPUTED_VALUE"""),"Hilbre Bird Observatory")</f>
        <v>Hilbre Bird Observatory</v>
      </c>
      <c r="K423" s="25" t="str">
        <f ca="1">IFERROR(__xludf.DUMMYFUNCTION("""COMPUTED_VALUE"""),"Willams, P.G")</f>
        <v>Willams, P.G</v>
      </c>
      <c r="L423" s="27" t="str">
        <f ca="1">IFERROR(__xludf.DUMMYFUNCTION("""COMPUTED_VALUE"""),"closed")</f>
        <v>closed</v>
      </c>
      <c r="M423" s="27" t="str">
        <f ca="1">IFERROR(__xludf.DUMMYFUNCTION("""COMPUTED_VALUE"""),"1st U")</f>
        <v>1st U</v>
      </c>
      <c r="N423" s="25" t="str">
        <f ca="1">IFERROR(__xludf.DUMMYFUNCTION("""COMPUTED_VALUE"""),"Accepted")</f>
        <v>Accepted</v>
      </c>
      <c r="O423" s="28" t="str">
        <f ca="1">IFERROR(__xludf.DUMMYFUNCTION("""COMPUTED_VALUE"""),"with 5 yellow wags")</f>
        <v>with 5 yellow wags</v>
      </c>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c r="BP423" s="25"/>
      <c r="BQ423" s="25"/>
      <c r="BR423" s="25"/>
      <c r="BS423" s="25"/>
      <c r="BT423" s="25"/>
      <c r="BU423" s="25"/>
      <c r="BV423" s="25"/>
      <c r="BW423" s="25"/>
      <c r="BX423" s="25"/>
      <c r="BY423" s="25"/>
      <c r="BZ423" s="25"/>
      <c r="CA423" s="25"/>
      <c r="CB423" s="25"/>
    </row>
    <row r="424" spans="1:80" ht="12.75" hidden="1" customHeight="1">
      <c r="A424" s="10">
        <f ca="1">IFERROR(__xludf.DUMMYFUNCTION("""COMPUTED_VALUE"""),2008)</f>
        <v>2008</v>
      </c>
      <c r="B424" s="50">
        <f ca="1">IFERROR(__xludf.DUMMYFUNCTION("""COMPUTED_VALUE"""),40239)</f>
        <v>40239</v>
      </c>
      <c r="C424" s="41">
        <f ca="1">IFERROR(__xludf.DUMMYFUNCTION("""COMPUTED_VALUE"""),40205)</f>
        <v>40205</v>
      </c>
      <c r="D424" s="42" t="str">
        <f ca="1">IFERROR(__xludf.DUMMYFUNCTION("""COMPUTED_VALUE"""),"YellowxBlue-headed Wagtail [Channel]")</f>
        <v>YellowxBlue-headed Wagtail [Channel]</v>
      </c>
      <c r="E424" s="53">
        <f ca="1">IFERROR(__xludf.DUMMYFUNCTION("""COMPUTED_VALUE"""),1)</f>
        <v>1</v>
      </c>
      <c r="F424" s="15"/>
      <c r="G424" s="44"/>
      <c r="H424" s="12">
        <f ca="1">IFERROR(__xludf.DUMMYFUNCTION("""COMPUTED_VALUE"""),39552)</f>
        <v>39552</v>
      </c>
      <c r="I424" s="12"/>
      <c r="J424" s="14" t="str">
        <f ca="1">IFERROR(__xludf.DUMMYFUNCTION("""COMPUTED_VALUE"""),"Williams, SR")</f>
        <v>Williams, SR</v>
      </c>
      <c r="K424" s="15" t="str">
        <f ca="1">IFERROR(__xludf.DUMMYFUNCTION("""COMPUTED_VALUE"""),"Colin Jones")</f>
        <v>Colin Jones</v>
      </c>
      <c r="L424" s="17" t="str">
        <f ca="1">IFERROR(__xludf.DUMMYFUNCTION("""COMPUTED_VALUE"""),"closed")</f>
        <v>closed</v>
      </c>
      <c r="M424" s="17" t="str">
        <f ca="1">IFERROR(__xludf.DUMMYFUNCTION("""COMPUTED_VALUE"""),"1st U")</f>
        <v>1st U</v>
      </c>
      <c r="N424" s="15" t="str">
        <f ca="1">IFERROR(__xludf.DUMMYFUNCTION("""COMPUTED_VALUE"""),"accepted")</f>
        <v>accepted</v>
      </c>
      <c r="O424" s="18"/>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row>
    <row r="425" spans="1:80" ht="12.75" hidden="1" customHeight="1">
      <c r="A425" s="20">
        <f ca="1">IFERROR(__xludf.DUMMYFUNCTION("""COMPUTED_VALUE"""),2008)</f>
        <v>2008</v>
      </c>
      <c r="B425" s="45">
        <f ca="1">IFERROR(__xludf.DUMMYFUNCTION("""COMPUTED_VALUE"""),39866)</f>
        <v>39866</v>
      </c>
      <c r="C425" s="46">
        <f ca="1">IFERROR(__xludf.DUMMYFUNCTION("""COMPUTED_VALUE"""),39824)</f>
        <v>39824</v>
      </c>
      <c r="D425" s="47" t="str">
        <f ca="1">IFERROR(__xludf.DUMMYFUNCTION("""COMPUTED_VALUE"""),"Richard's Pipit")</f>
        <v>Richard's Pipit</v>
      </c>
      <c r="E425" s="52">
        <f ca="1">IFERROR(__xludf.DUMMYFUNCTION("""COMPUTED_VALUE"""),1)</f>
        <v>1</v>
      </c>
      <c r="F425" s="25"/>
      <c r="G425" s="48" t="str">
        <f ca="1">IFERROR(__xludf.DUMMYFUNCTION("""COMPUTED_VALUE"""),"Parkgate")</f>
        <v>Parkgate</v>
      </c>
      <c r="H425" s="22">
        <f ca="1">IFERROR(__xludf.DUMMYFUNCTION("""COMPUTED_VALUE"""),39798)</f>
        <v>39798</v>
      </c>
      <c r="I425" s="22">
        <f ca="1">IFERROR(__xludf.DUMMYFUNCTION("""COMPUTED_VALUE"""),39818)</f>
        <v>39818</v>
      </c>
      <c r="J425" s="24" t="str">
        <f ca="1">IFERROR(__xludf.DUMMYFUNCTION("""COMPUTED_VALUE"""),"Woollen, P")</f>
        <v>Woollen, P</v>
      </c>
      <c r="K425" s="25" t="str">
        <f ca="1">IFERROR(__xludf.DUMMYFUNCTION("""COMPUTED_VALUE"""),"Phil Woollen")</f>
        <v>Phil Woollen</v>
      </c>
      <c r="L425" s="27" t="str">
        <f ca="1">IFERROR(__xludf.DUMMYFUNCTION("""COMPUTED_VALUE"""),"closed")</f>
        <v>closed</v>
      </c>
      <c r="M425" s="27" t="str">
        <f ca="1">IFERROR(__xludf.DUMMYFUNCTION("""COMPUTED_VALUE"""),"1st U")</f>
        <v>1st U</v>
      </c>
      <c r="N425" s="25" t="str">
        <f ca="1">IFERROR(__xludf.DUMMYFUNCTION("""COMPUTED_VALUE"""),"Accepted")</f>
        <v>Accepted</v>
      </c>
      <c r="O425" s="28" t="str">
        <f ca="1">IFERROR(__xludf.DUMMYFUNCTION("""COMPUTED_VALUE"""),"Commuting between the golf course and the salt marsh")</f>
        <v>Commuting between the golf course and the salt marsh</v>
      </c>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c r="BU425" s="25"/>
      <c r="BV425" s="25"/>
      <c r="BW425" s="25"/>
      <c r="BX425" s="25"/>
      <c r="BY425" s="25"/>
      <c r="BZ425" s="25"/>
      <c r="CA425" s="25"/>
      <c r="CB425" s="25"/>
    </row>
    <row r="426" spans="1:80" ht="12.75" hidden="1" customHeight="1">
      <c r="A426" s="10">
        <f ca="1">IFERROR(__xludf.DUMMYFUNCTION("""COMPUTED_VALUE"""),2008)</f>
        <v>2008</v>
      </c>
      <c r="B426" s="50">
        <f ca="1">IFERROR(__xludf.DUMMYFUNCTION("""COMPUTED_VALUE"""),39866)</f>
        <v>39866</v>
      </c>
      <c r="C426" s="41">
        <f ca="1">IFERROR(__xludf.DUMMYFUNCTION("""COMPUTED_VALUE"""),39824)</f>
        <v>39824</v>
      </c>
      <c r="D426" s="42" t="str">
        <f ca="1">IFERROR(__xludf.DUMMYFUNCTION("""COMPUTED_VALUE"""),"Richard's Pipit")</f>
        <v>Richard's Pipit</v>
      </c>
      <c r="E426" s="53">
        <f ca="1">IFERROR(__xludf.DUMMYFUNCTION("""COMPUTED_VALUE"""),1)</f>
        <v>1</v>
      </c>
      <c r="F426" s="15"/>
      <c r="G426" s="44" t="str">
        <f ca="1">IFERROR(__xludf.DUMMYFUNCTION("""COMPUTED_VALUE"""),"Woolston")</f>
        <v>Woolston</v>
      </c>
      <c r="H426" s="12">
        <f ca="1">IFERROR(__xludf.DUMMYFUNCTION("""COMPUTED_VALUE"""),39725)</f>
        <v>39725</v>
      </c>
      <c r="I426" s="13"/>
      <c r="J426" s="14" t="str">
        <f ca="1">IFERROR(__xludf.DUMMYFUNCTION("""COMPUTED_VALUE"""),"Hitchmough, A")</f>
        <v>Hitchmough, A</v>
      </c>
      <c r="K426" s="15"/>
      <c r="L426" s="17" t="str">
        <f ca="1">IFERROR(__xludf.DUMMYFUNCTION("""COMPUTED_VALUE"""),"closed")</f>
        <v>closed</v>
      </c>
      <c r="M426" s="17" t="str">
        <f ca="1">IFERROR(__xludf.DUMMYFUNCTION("""COMPUTED_VALUE"""),"1st M")</f>
        <v>1st M</v>
      </c>
      <c r="N426" s="15" t="str">
        <f ca="1">IFERROR(__xludf.DUMMYFUNCTION("""COMPUTED_VALUE"""),"Accepted")</f>
        <v>Accepted</v>
      </c>
      <c r="O426" s="18"/>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row>
    <row r="427" spans="1:80" ht="12.75" hidden="1" customHeight="1">
      <c r="A427" s="20">
        <f ca="1">IFERROR(__xludf.DUMMYFUNCTION("""COMPUTED_VALUE"""),2008)</f>
        <v>2008</v>
      </c>
      <c r="B427" s="45">
        <f ca="1">IFERROR(__xludf.DUMMYFUNCTION("""COMPUTED_VALUE"""),39955)</f>
        <v>39955</v>
      </c>
      <c r="C427" s="46">
        <f ca="1">IFERROR(__xludf.DUMMYFUNCTION("""COMPUTED_VALUE"""),39921)</f>
        <v>39921</v>
      </c>
      <c r="D427" s="47" t="str">
        <f ca="1">IFERROR(__xludf.DUMMYFUNCTION("""COMPUTED_VALUE"""),"Hawfinch")</f>
        <v>Hawfinch</v>
      </c>
      <c r="E427" s="52">
        <f ca="1">IFERROR(__xludf.DUMMYFUNCTION("""COMPUTED_VALUE"""),2)</f>
        <v>2</v>
      </c>
      <c r="F427" s="25" t="str">
        <f ca="1">IFERROR(__xludf.DUMMYFUNCTION("""COMPUTED_VALUE"""),"m/f")</f>
        <v>m/f</v>
      </c>
      <c r="G427" s="48" t="str">
        <f ca="1">IFERROR(__xludf.DUMMYFUNCTION("""COMPUTED_VALUE"""),"Disley")</f>
        <v>Disley</v>
      </c>
      <c r="H427" s="22">
        <f ca="1">IFERROR(__xludf.DUMMYFUNCTION("""COMPUTED_VALUE"""),39798)</f>
        <v>39798</v>
      </c>
      <c r="I427" s="22">
        <f ca="1">IFERROR(__xludf.DUMMYFUNCTION("""COMPUTED_VALUE"""),39851)</f>
        <v>39851</v>
      </c>
      <c r="J427" s="24" t="str">
        <f ca="1">IFERROR(__xludf.DUMMYFUNCTION("""COMPUTED_VALUE"""),"Turmer J (John)")</f>
        <v>Turmer J (John)</v>
      </c>
      <c r="K427" s="25" t="str">
        <f ca="1">IFERROR(__xludf.DUMMYFUNCTION("""COMPUTED_VALUE"""),"John Turner")</f>
        <v>John Turner</v>
      </c>
      <c r="L427" s="27" t="str">
        <f ca="1">IFERROR(__xludf.DUMMYFUNCTION("""COMPUTED_VALUE"""),"closed")</f>
        <v>closed</v>
      </c>
      <c r="M427" s="27" t="str">
        <f ca="1">IFERROR(__xludf.DUMMYFUNCTION("""COMPUTED_VALUE"""),"1st U")</f>
        <v>1st U</v>
      </c>
      <c r="N427" s="25" t="str">
        <f ca="1">IFERROR(__xludf.DUMMYFUNCTION("""COMPUTED_VALUE"""),"Accepted")</f>
        <v>Accepted</v>
      </c>
      <c r="O427" s="28"/>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row>
    <row r="428" spans="1:80" ht="12.75" hidden="1" customHeight="1">
      <c r="A428" s="10">
        <f ca="1">IFERROR(__xludf.DUMMYFUNCTION("""COMPUTED_VALUE"""),2008)</f>
        <v>2008</v>
      </c>
      <c r="B428" s="50">
        <f ca="1">IFERROR(__xludf.DUMMYFUNCTION("""COMPUTED_VALUE"""),39866)</f>
        <v>39866</v>
      </c>
      <c r="C428" s="41">
        <f ca="1">IFERROR(__xludf.DUMMYFUNCTION("""COMPUTED_VALUE"""),39824)</f>
        <v>39824</v>
      </c>
      <c r="D428" s="42" t="str">
        <f ca="1">IFERROR(__xludf.DUMMYFUNCTION("""COMPUTED_VALUE"""),"Hawfinch")</f>
        <v>Hawfinch</v>
      </c>
      <c r="E428" s="53">
        <f ca="1">IFERROR(__xludf.DUMMYFUNCTION("""COMPUTED_VALUE"""),2)</f>
        <v>2</v>
      </c>
      <c r="F428" s="15"/>
      <c r="G428" s="44" t="str">
        <f ca="1">IFERROR(__xludf.DUMMYFUNCTION("""COMPUTED_VALUE"""),"Disley")</f>
        <v>Disley</v>
      </c>
      <c r="H428" s="12">
        <f ca="1">IFERROR(__xludf.DUMMYFUNCTION("""COMPUTED_VALUE"""),39799)</f>
        <v>39799</v>
      </c>
      <c r="I428" s="12">
        <f ca="1">IFERROR(__xludf.DUMMYFUNCTION("""COMPUTED_VALUE"""),39815)</f>
        <v>39815</v>
      </c>
      <c r="J428" s="14" t="str">
        <f ca="1">IFERROR(__xludf.DUMMYFUNCTION("""COMPUTED_VALUE"""),"Hind, S")</f>
        <v>Hind, S</v>
      </c>
      <c r="K428" s="15" t="str">
        <f ca="1">IFERROR(__xludf.DUMMYFUNCTION("""COMPUTED_VALUE"""),"John Turner")</f>
        <v>John Turner</v>
      </c>
      <c r="L428" s="17" t="str">
        <f ca="1">IFERROR(__xludf.DUMMYFUNCTION("""COMPUTED_VALUE"""),"closed")</f>
        <v>closed</v>
      </c>
      <c r="M428" s="17" t="str">
        <f ca="1">IFERROR(__xludf.DUMMYFUNCTION("""COMPUTED_VALUE"""),"1st U")</f>
        <v>1st U</v>
      </c>
      <c r="N428" s="15" t="str">
        <f ca="1">IFERROR(__xludf.DUMMYFUNCTION("""COMPUTED_VALUE"""),"Accepted")</f>
        <v>Accepted</v>
      </c>
      <c r="O428" s="18"/>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row>
    <row r="429" spans="1:80" ht="12.75" hidden="1" customHeight="1">
      <c r="A429" s="20">
        <f ca="1">IFERROR(__xludf.DUMMYFUNCTION("""COMPUTED_VALUE"""),2008)</f>
        <v>2008</v>
      </c>
      <c r="B429" s="45">
        <f ca="1">IFERROR(__xludf.DUMMYFUNCTION("""COMPUTED_VALUE"""),39866)</f>
        <v>39866</v>
      </c>
      <c r="C429" s="46">
        <f ca="1">IFERROR(__xludf.DUMMYFUNCTION("""COMPUTED_VALUE"""),39824)</f>
        <v>39824</v>
      </c>
      <c r="D429" s="47" t="str">
        <f ca="1">IFERROR(__xludf.DUMMYFUNCTION("""COMPUTED_VALUE"""),"Hawfinch")</f>
        <v>Hawfinch</v>
      </c>
      <c r="E429" s="52">
        <f ca="1">IFERROR(__xludf.DUMMYFUNCTION("""COMPUTED_VALUE"""),1)</f>
        <v>1</v>
      </c>
      <c r="F429" s="25" t="str">
        <f ca="1">IFERROR(__xludf.DUMMYFUNCTION("""COMPUTED_VALUE"""),"male")</f>
        <v>male</v>
      </c>
      <c r="G429" s="48" t="str">
        <f ca="1">IFERROR(__xludf.DUMMYFUNCTION("""COMPUTED_VALUE"""),"Weston")</f>
        <v>Weston</v>
      </c>
      <c r="H429" s="22">
        <f ca="1">IFERROR(__xludf.DUMMYFUNCTION("""COMPUTED_VALUE"""),39754)</f>
        <v>39754</v>
      </c>
      <c r="I429" s="23"/>
      <c r="J429" s="24" t="str">
        <f ca="1">IFERROR(__xludf.DUMMYFUNCTION("""COMPUTED_VALUE"""),"Brydges, A")</f>
        <v>Brydges, A</v>
      </c>
      <c r="K429" s="63"/>
      <c r="L429" s="27" t="str">
        <f ca="1">IFERROR(__xludf.DUMMYFUNCTION("""COMPUTED_VALUE"""),"closed")</f>
        <v>closed</v>
      </c>
      <c r="M429" s="27" t="str">
        <f ca="1">IFERROR(__xludf.DUMMYFUNCTION("""COMPUTED_VALUE"""),"1st U")</f>
        <v>1st U</v>
      </c>
      <c r="N429" s="25" t="str">
        <f ca="1">IFERROR(__xludf.DUMMYFUNCTION("""COMPUTED_VALUE"""),"Accepted")</f>
        <v>Accepted</v>
      </c>
      <c r="O429" s="28"/>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c r="BU429" s="25"/>
      <c r="BV429" s="25"/>
      <c r="BW429" s="25"/>
      <c r="BX429" s="25"/>
      <c r="BY429" s="25"/>
      <c r="BZ429" s="25"/>
      <c r="CA429" s="25"/>
      <c r="CB429" s="25"/>
    </row>
    <row r="430" spans="1:80" ht="14.25" hidden="1" customHeight="1">
      <c r="A430" s="10">
        <f ca="1">IFERROR(__xludf.DUMMYFUNCTION("""COMPUTED_VALUE"""),2008)</f>
        <v>2008</v>
      </c>
      <c r="B430" s="50">
        <f ca="1">IFERROR(__xludf.DUMMYFUNCTION("""COMPUTED_VALUE"""),40085)</f>
        <v>40085</v>
      </c>
      <c r="C430" s="41">
        <f ca="1">IFERROR(__xludf.DUMMYFUNCTION("""COMPUTED_VALUE"""),40065)</f>
        <v>40065</v>
      </c>
      <c r="D430" s="42" t="str">
        <f ca="1">IFERROR(__xludf.DUMMYFUNCTION("""COMPUTED_VALUE"""),"Hawfinch")</f>
        <v>Hawfinch</v>
      </c>
      <c r="E430" s="53">
        <f ca="1">IFERROR(__xludf.DUMMYFUNCTION("""COMPUTED_VALUE"""),1)</f>
        <v>1</v>
      </c>
      <c r="F430" s="15" t="str">
        <f ca="1">IFERROR(__xludf.DUMMYFUNCTION("""COMPUTED_VALUE"""),"male")</f>
        <v>male</v>
      </c>
      <c r="G430" s="44" t="str">
        <f ca="1">IFERROR(__xludf.DUMMYFUNCTION("""COMPUTED_VALUE"""),"SJ75K, Engelsea Brook")</f>
        <v>SJ75K, Engelsea Brook</v>
      </c>
      <c r="H430" s="12">
        <f ca="1">IFERROR(__xludf.DUMMYFUNCTION("""COMPUTED_VALUE"""),39754)</f>
        <v>39754</v>
      </c>
      <c r="I430" s="12">
        <f ca="1">IFERROR(__xludf.DUMMYFUNCTION("""COMPUTED_VALUE"""),39754)</f>
        <v>39754</v>
      </c>
      <c r="J430" s="14" t="str">
        <f ca="1">IFERROR(__xludf.DUMMYFUNCTION("""COMPUTED_VALUE"""),"Brydges, A")</f>
        <v>Brydges, A</v>
      </c>
      <c r="K430" s="15" t="str">
        <f ca="1">IFERROR(__xludf.DUMMYFUNCTION("""COMPUTED_VALUE"""),"Brydges, A")</f>
        <v>Brydges, A</v>
      </c>
      <c r="L430" s="17" t="str">
        <f ca="1">IFERROR(__xludf.DUMMYFUNCTION("""COMPUTED_VALUE"""),"closed")</f>
        <v>closed</v>
      </c>
      <c r="M430" s="17" t="str">
        <f ca="1">IFERROR(__xludf.DUMMYFUNCTION("""COMPUTED_VALUE"""),"1st U")</f>
        <v>1st U</v>
      </c>
      <c r="N430" s="15" t="str">
        <f ca="1">IFERROR(__xludf.DUMMYFUNCTION("""COMPUTED_VALUE"""),"Accepted")</f>
        <v>Accepted</v>
      </c>
      <c r="O430" s="18" t="str">
        <f ca="1">IFERROR(__xludf.DUMMYFUNCTION("""COMPUTED_VALUE"""),"Could be heard cracking hawthorne seeds as it fed")</f>
        <v>Could be heard cracking hawthorne seeds as it fed</v>
      </c>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row>
    <row r="431" spans="1:80" ht="12.75" hidden="1" customHeight="1">
      <c r="A431" s="20">
        <f ca="1">IFERROR(__xludf.DUMMYFUNCTION("""COMPUTED_VALUE"""),2008)</f>
        <v>2008</v>
      </c>
      <c r="B431" s="45">
        <f ca="1">IFERROR(__xludf.DUMMYFUNCTION("""COMPUTED_VALUE"""),40026)</f>
        <v>40026</v>
      </c>
      <c r="C431" s="46">
        <f ca="1">IFERROR(__xludf.DUMMYFUNCTION("""COMPUTED_VALUE"""),39998)</f>
        <v>39998</v>
      </c>
      <c r="D431" s="47" t="str">
        <f ca="1">IFERROR(__xludf.DUMMYFUNCTION("""COMPUTED_VALUE"""),"Mealy Redpoll")</f>
        <v>Mealy Redpoll</v>
      </c>
      <c r="E431" s="52">
        <f ca="1">IFERROR(__xludf.DUMMYFUNCTION("""COMPUTED_VALUE"""),3)</f>
        <v>3</v>
      </c>
      <c r="F431" s="25" t="str">
        <f ca="1">IFERROR(__xludf.DUMMYFUNCTION("""COMPUTED_VALUE"""),"mmf")</f>
        <v>mmf</v>
      </c>
      <c r="G431" s="48" t="str">
        <f ca="1">IFERROR(__xludf.DUMMYFUNCTION("""COMPUTED_VALUE"""),"Hilbre")</f>
        <v>Hilbre</v>
      </c>
      <c r="H431" s="22">
        <f ca="1">IFERROR(__xludf.DUMMYFUNCTION("""COMPUTED_VALUE"""),39574)</f>
        <v>39574</v>
      </c>
      <c r="I431" s="22">
        <f ca="1">IFERROR(__xludf.DUMMYFUNCTION("""COMPUTED_VALUE"""),39577)</f>
        <v>39577</v>
      </c>
      <c r="J431" s="24" t="str">
        <f ca="1">IFERROR(__xludf.DUMMYFUNCTION("""COMPUTED_VALUE"""),"Williams, SR")</f>
        <v>Williams, SR</v>
      </c>
      <c r="K431" s="25" t="str">
        <f ca="1">IFERROR(__xludf.DUMMYFUNCTION("""COMPUTED_VALUE"""),"Williams, SR")</f>
        <v>Williams, SR</v>
      </c>
      <c r="L431" s="27" t="str">
        <f ca="1">IFERROR(__xludf.DUMMYFUNCTION("""COMPUTED_VALUE"""),"closed")</f>
        <v>closed</v>
      </c>
      <c r="M431" s="27" t="str">
        <f ca="1">IFERROR(__xludf.DUMMYFUNCTION("""COMPUTED_VALUE"""),"1st U")</f>
        <v>1st U</v>
      </c>
      <c r="N431" s="25" t="str">
        <f ca="1">IFERROR(__xludf.DUMMYFUNCTION("""COMPUTED_VALUE"""),"Accepted")</f>
        <v>Accepted</v>
      </c>
      <c r="O431" s="28"/>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c r="BS431" s="25"/>
      <c r="BT431" s="25"/>
      <c r="BU431" s="25"/>
      <c r="BV431" s="25"/>
      <c r="BW431" s="25"/>
      <c r="BX431" s="25"/>
      <c r="BY431" s="25"/>
      <c r="BZ431" s="25"/>
      <c r="CA431" s="25"/>
      <c r="CB431" s="25"/>
    </row>
    <row r="432" spans="1:80" ht="12.75" hidden="1" customHeight="1">
      <c r="A432" s="10">
        <f ca="1">IFERROR(__xludf.DUMMYFUNCTION("""COMPUTED_VALUE"""),2008)</f>
        <v>2008</v>
      </c>
      <c r="B432" s="50">
        <f ca="1">IFERROR(__xludf.DUMMYFUNCTION("""COMPUTED_VALUE"""),39532)</f>
        <v>39532</v>
      </c>
      <c r="C432" s="41">
        <f ca="1">IFERROR(__xludf.DUMMYFUNCTION("""COMPUTED_VALUE"""),39517)</f>
        <v>39517</v>
      </c>
      <c r="D432" s="42" t="str">
        <f ca="1">IFERROR(__xludf.DUMMYFUNCTION("""COMPUTED_VALUE"""),"Mealy Redpoll")</f>
        <v>Mealy Redpoll</v>
      </c>
      <c r="E432" s="53">
        <f ca="1">IFERROR(__xludf.DUMMYFUNCTION("""COMPUTED_VALUE"""),1)</f>
        <v>1</v>
      </c>
      <c r="F432" s="15"/>
      <c r="G432" s="44" t="str">
        <f ca="1">IFERROR(__xludf.DUMMYFUNCTION("""COMPUTED_VALUE"""),"Neumann's Flash")</f>
        <v>Neumann's Flash</v>
      </c>
      <c r="H432" s="12">
        <f ca="1">IFERROR(__xludf.DUMMYFUNCTION("""COMPUTED_VALUE"""),39474)</f>
        <v>39474</v>
      </c>
      <c r="I432" s="13"/>
      <c r="J432" s="14" t="str">
        <f ca="1">IFERROR(__xludf.DUMMYFUNCTION("""COMPUTED_VALUE"""),"Gregory, J")</f>
        <v>Gregory, J</v>
      </c>
      <c r="K432" s="15" t="str">
        <f ca="1">IFERROR(__xludf.DUMMYFUNCTION("""COMPUTED_VALUE"""),"John Gregory")</f>
        <v>John Gregory</v>
      </c>
      <c r="L432" s="17" t="str">
        <f ca="1">IFERROR(__xludf.DUMMYFUNCTION("""COMPUTED_VALUE"""),"closed")</f>
        <v>closed</v>
      </c>
      <c r="M432" s="17" t="str">
        <f ca="1">IFERROR(__xludf.DUMMYFUNCTION("""COMPUTED_VALUE"""),"1st U")</f>
        <v>1st U</v>
      </c>
      <c r="N432" s="15" t="str">
        <f ca="1">IFERROR(__xludf.DUMMYFUNCTION("""COMPUTED_VALUE"""),"Accepted")</f>
        <v>Accepted</v>
      </c>
      <c r="O432" s="18"/>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row>
    <row r="433" spans="1:80" ht="12.75" hidden="1" customHeight="1">
      <c r="A433" s="20">
        <f ca="1">IFERROR(__xludf.DUMMYFUNCTION("""COMPUTED_VALUE"""),2008)</f>
        <v>2008</v>
      </c>
      <c r="B433" s="45">
        <f ca="1">IFERROR(__xludf.DUMMYFUNCTION("""COMPUTED_VALUE"""),39532)</f>
        <v>39532</v>
      </c>
      <c r="C433" s="46">
        <f ca="1">IFERROR(__xludf.DUMMYFUNCTION("""COMPUTED_VALUE"""),39517)</f>
        <v>39517</v>
      </c>
      <c r="D433" s="47" t="str">
        <f ca="1">IFERROR(__xludf.DUMMYFUNCTION("""COMPUTED_VALUE"""),"Mealy Redpoll")</f>
        <v>Mealy Redpoll</v>
      </c>
      <c r="E433" s="52">
        <f ca="1">IFERROR(__xludf.DUMMYFUNCTION("""COMPUTED_VALUE"""),1)</f>
        <v>1</v>
      </c>
      <c r="F433" s="25"/>
      <c r="G433" s="48" t="str">
        <f ca="1">IFERROR(__xludf.DUMMYFUNCTION("""COMPUTED_VALUE"""),"Neumann's Flash")</f>
        <v>Neumann's Flash</v>
      </c>
      <c r="H433" s="22">
        <f ca="1">IFERROR(__xludf.DUMMYFUNCTION("""COMPUTED_VALUE"""),39488)</f>
        <v>39488</v>
      </c>
      <c r="I433" s="23"/>
      <c r="J433" s="24" t="str">
        <f ca="1">IFERROR(__xludf.DUMMYFUNCTION("""COMPUTED_VALUE"""),"Payne, M")</f>
        <v>Payne, M</v>
      </c>
      <c r="K433" s="25" t="str">
        <f ca="1">IFERROR(__xludf.DUMMYFUNCTION("""COMPUTED_VALUE"""),"P.Woollen")</f>
        <v>P.Woollen</v>
      </c>
      <c r="L433" s="27" t="str">
        <f ca="1">IFERROR(__xludf.DUMMYFUNCTION("""COMPUTED_VALUE"""),"closed")</f>
        <v>closed</v>
      </c>
      <c r="M433" s="27" t="str">
        <f ca="1">IFERROR(__xludf.DUMMYFUNCTION("""COMPUTED_VALUE"""),"1st U")</f>
        <v>1st U</v>
      </c>
      <c r="N433" s="25" t="str">
        <f ca="1">IFERROR(__xludf.DUMMYFUNCTION("""COMPUTED_VALUE"""),"Accepted")</f>
        <v>Accepted</v>
      </c>
      <c r="O433" s="28"/>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c r="BS433" s="25"/>
      <c r="BT433" s="25"/>
      <c r="BU433" s="25"/>
      <c r="BV433" s="25"/>
      <c r="BW433" s="25"/>
      <c r="BX433" s="25"/>
      <c r="BY433" s="25"/>
      <c r="BZ433" s="25"/>
      <c r="CA433" s="25"/>
      <c r="CB433" s="25"/>
    </row>
    <row r="434" spans="1:80" ht="12.75" hidden="1" customHeight="1">
      <c r="A434" s="10">
        <f ca="1">IFERROR(__xludf.DUMMYFUNCTION("""COMPUTED_VALUE"""),2008)</f>
        <v>2008</v>
      </c>
      <c r="B434" s="50">
        <f ca="1">IFERROR(__xludf.DUMMYFUNCTION("""COMPUTED_VALUE"""),40466)</f>
        <v>40466</v>
      </c>
      <c r="C434" s="41">
        <f ca="1">IFERROR(__xludf.DUMMYFUNCTION("""COMPUTED_VALUE"""),39921)</f>
        <v>39921</v>
      </c>
      <c r="D434" s="42" t="str">
        <f ca="1">IFERROR(__xludf.DUMMYFUNCTION("""COMPUTED_VALUE"""),"Snow Bunting")</f>
        <v>Snow Bunting</v>
      </c>
      <c r="E434" s="53">
        <f ca="1">IFERROR(__xludf.DUMMYFUNCTION("""COMPUTED_VALUE"""),1)</f>
        <v>1</v>
      </c>
      <c r="F434" s="15" t="str">
        <f ca="1">IFERROR(__xludf.DUMMYFUNCTION("""COMPUTED_VALUE"""),"m")</f>
        <v>m</v>
      </c>
      <c r="G434" s="44" t="str">
        <f ca="1">IFERROR(__xludf.DUMMYFUNCTION("""COMPUTED_VALUE"""),"Sponds Hill")</f>
        <v>Sponds Hill</v>
      </c>
      <c r="H434" s="12">
        <f ca="1">IFERROR(__xludf.DUMMYFUNCTION("""COMPUTED_VALUE"""),39805)</f>
        <v>39805</v>
      </c>
      <c r="I434" s="12">
        <f ca="1">IFERROR(__xludf.DUMMYFUNCTION("""COMPUTED_VALUE"""),39808)</f>
        <v>39808</v>
      </c>
      <c r="J434" s="14" t="str">
        <f ca="1">IFERROR(__xludf.DUMMYFUNCTION("""COMPUTED_VALUE"""),"Blagden, I")</f>
        <v>Blagden, I</v>
      </c>
      <c r="K434" s="15" t="str">
        <f ca="1">IFERROR(__xludf.DUMMYFUNCTION("""COMPUTED_VALUE"""),"Peter Griffiths")</f>
        <v>Peter Griffiths</v>
      </c>
      <c r="L434" s="17" t="str">
        <f ca="1">IFERROR(__xludf.DUMMYFUNCTION("""COMPUTED_VALUE"""),"closed")</f>
        <v>closed</v>
      </c>
      <c r="M434" s="17" t="str">
        <f ca="1">IFERROR(__xludf.DUMMYFUNCTION("""COMPUTED_VALUE"""),"1st U")</f>
        <v>1st U</v>
      </c>
      <c r="N434" s="15" t="str">
        <f ca="1">IFERROR(__xludf.DUMMYFUNCTION("""COMPUTED_VALUE"""),"Accepted")</f>
        <v>Accepted</v>
      </c>
      <c r="O434" s="18"/>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row>
    <row r="435" spans="1:80" ht="12.75" hidden="1" customHeight="1">
      <c r="A435" s="20">
        <f ca="1">IFERROR(__xludf.DUMMYFUNCTION("""COMPUTED_VALUE"""),2008)</f>
        <v>2008</v>
      </c>
      <c r="B435" s="45">
        <f ca="1">IFERROR(__xludf.DUMMYFUNCTION("""COMPUTED_VALUE"""),44568)</f>
        <v>44568</v>
      </c>
      <c r="C435" s="46"/>
      <c r="D435" s="47" t="str">
        <f ca="1">IFERROR(__xludf.DUMMYFUNCTION("""COMPUTED_VALUE"""),"Whiskered Tern")</f>
        <v>Whiskered Tern</v>
      </c>
      <c r="E435" s="52">
        <f ca="1">IFERROR(__xludf.DUMMYFUNCTION("""COMPUTED_VALUE"""),1)</f>
        <v>1</v>
      </c>
      <c r="F435" s="25"/>
      <c r="G435" s="48" t="str">
        <f ca="1">IFERROR(__xludf.DUMMYFUNCTION("""COMPUTED_VALUE"""),"Inner Marsh Farm RSPB")</f>
        <v>Inner Marsh Farm RSPB</v>
      </c>
      <c r="H435" s="22">
        <f ca="1">IFERROR(__xludf.DUMMYFUNCTION("""COMPUTED_VALUE"""),39577)</f>
        <v>39577</v>
      </c>
      <c r="I435" s="23"/>
      <c r="J435" s="24"/>
      <c r="K435" s="25"/>
      <c r="L435" s="27" t="str">
        <f ca="1">IFERROR(__xludf.DUMMYFUNCTION("""COMPUTED_VALUE"""),"closed")</f>
        <v>closed</v>
      </c>
      <c r="M435" s="27"/>
      <c r="N435" s="25" t="str">
        <f ca="1">IFERROR(__xludf.DUMMYFUNCTION("""COMPUTED_VALUE"""),"BBRC-OK")</f>
        <v>BBRC-OK</v>
      </c>
      <c r="O435" s="28" t="str">
        <f ca="1">IFERROR(__xludf.DUMMYFUNCTION("""COMPUTED_VALUE"""),"Inner Marsh Farm RSPB, adult, 9th to 20th May, photo; same as Denbighshire/Caernarfonshire.")</f>
        <v>Inner Marsh Farm RSPB, adult, 9th to 20th May, photo; same as Denbighshire/Caernarfonshire.</v>
      </c>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c r="BP435" s="25"/>
      <c r="BQ435" s="25"/>
      <c r="BR435" s="25"/>
      <c r="BS435" s="25"/>
      <c r="BT435" s="25"/>
      <c r="BU435" s="25"/>
      <c r="BV435" s="25"/>
      <c r="BW435" s="25"/>
      <c r="BX435" s="25"/>
      <c r="BY435" s="25"/>
      <c r="BZ435" s="25"/>
      <c r="CA435" s="25"/>
      <c r="CB435" s="25"/>
    </row>
    <row r="436" spans="1:80" ht="12.75" hidden="1" customHeight="1">
      <c r="A436" s="10">
        <f ca="1">IFERROR(__xludf.DUMMYFUNCTION("""COMPUTED_VALUE"""),2008)</f>
        <v>2008</v>
      </c>
      <c r="B436" s="50">
        <f ca="1">IFERROR(__xludf.DUMMYFUNCTION("""COMPUTED_VALUE"""),44568)</f>
        <v>44568</v>
      </c>
      <c r="C436" s="41"/>
      <c r="D436" s="42" t="str">
        <f ca="1">IFERROR(__xludf.DUMMYFUNCTION("""COMPUTED_VALUE"""),"White-throated Sparrow")</f>
        <v>White-throated Sparrow</v>
      </c>
      <c r="E436" s="53">
        <f ca="1">IFERROR(__xludf.DUMMYFUNCTION("""COMPUTED_VALUE"""),1)</f>
        <v>1</v>
      </c>
      <c r="F436" s="15"/>
      <c r="G436" s="44" t="str">
        <f ca="1">IFERROR(__xludf.DUMMYFUNCTION("""COMPUTED_VALUE"""),"Helsby")</f>
        <v>Helsby</v>
      </c>
      <c r="H436" s="12">
        <f ca="1">IFERROR(__xludf.DUMMYFUNCTION("""COMPUTED_VALUE"""),39796)</f>
        <v>39796</v>
      </c>
      <c r="I436" s="12"/>
      <c r="J436" s="14"/>
      <c r="K436" s="15"/>
      <c r="L436" s="17" t="str">
        <f ca="1">IFERROR(__xludf.DUMMYFUNCTION("""COMPUTED_VALUE"""),"closed")</f>
        <v>closed</v>
      </c>
      <c r="M436" s="17"/>
      <c r="N436" s="15" t="str">
        <f ca="1">IFERROR(__xludf.DUMMYFUNCTION("""COMPUTED_VALUE"""),"BBRC-OK")</f>
        <v>BBRC-OK</v>
      </c>
      <c r="O436" s="18" t="str">
        <f ca="1">IFERROR(__xludf.DUMMYFUNCTION("""COMPUTED_VALUE"""),"Helsby, 14th December to 11th April 2009.")</f>
        <v>Helsby, 14th December to 11th April 2009.</v>
      </c>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row>
    <row r="437" spans="1:80" ht="12.75" hidden="1" customHeight="1">
      <c r="A437" s="20">
        <f ca="1">IFERROR(__xludf.DUMMYFUNCTION("""COMPUTED_VALUE"""),2009)</f>
        <v>2009</v>
      </c>
      <c r="B437" s="45">
        <f ca="1">IFERROR(__xludf.DUMMYFUNCTION("""COMPUTED_VALUE"""),40085)</f>
        <v>40085</v>
      </c>
      <c r="C437" s="46">
        <f ca="1">IFERROR(__xludf.DUMMYFUNCTION("""COMPUTED_VALUE"""),40065)</f>
        <v>40065</v>
      </c>
      <c r="D437" s="47" t="str">
        <f ca="1">IFERROR(__xludf.DUMMYFUNCTION("""COMPUTED_VALUE"""),"Green-winged Teal")</f>
        <v>Green-winged Teal</v>
      </c>
      <c r="E437" s="52">
        <f ca="1">IFERROR(__xludf.DUMMYFUNCTION("""COMPUTED_VALUE"""),1)</f>
        <v>1</v>
      </c>
      <c r="F437" s="25" t="str">
        <f ca="1">IFERROR(__xludf.DUMMYFUNCTION("""COMPUTED_VALUE"""),"m")</f>
        <v>m</v>
      </c>
      <c r="G437" s="48" t="str">
        <f ca="1">IFERROR(__xludf.DUMMYFUNCTION("""COMPUTED_VALUE"""),"Location witheld East Cheshire")</f>
        <v>Location witheld East Cheshire</v>
      </c>
      <c r="H437" s="22">
        <f ca="1">IFERROR(__xludf.DUMMYFUNCTION("""COMPUTED_VALUE"""),39920)</f>
        <v>39920</v>
      </c>
      <c r="I437" s="22">
        <f ca="1">IFERROR(__xludf.DUMMYFUNCTION("""COMPUTED_VALUE"""),39924)</f>
        <v>39924</v>
      </c>
      <c r="J437" s="24" t="str">
        <f ca="1">IFERROR(__xludf.DUMMYFUNCTION("""COMPUTED_VALUE"""),"witheld")</f>
        <v>witheld</v>
      </c>
      <c r="K437" s="25"/>
      <c r="L437" s="27" t="str">
        <f ca="1">IFERROR(__xludf.DUMMYFUNCTION("""COMPUTED_VALUE"""),"closed")</f>
        <v>closed</v>
      </c>
      <c r="M437" s="27" t="str">
        <f ca="1">IFERROR(__xludf.DUMMYFUNCTION("""COMPUTED_VALUE"""),"1st U")</f>
        <v>1st U</v>
      </c>
      <c r="N437" s="25" t="str">
        <f ca="1">IFERROR(__xludf.DUMMYFUNCTION("""COMPUTED_VALUE"""),"Accepted")</f>
        <v>Accepted</v>
      </c>
      <c r="O437" s="28"/>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5"/>
      <c r="BO437" s="25"/>
      <c r="BP437" s="25"/>
      <c r="BQ437" s="25"/>
      <c r="BR437" s="25"/>
      <c r="BS437" s="25"/>
      <c r="BT437" s="25"/>
      <c r="BU437" s="25"/>
      <c r="BV437" s="25"/>
      <c r="BW437" s="25"/>
      <c r="BX437" s="25"/>
      <c r="BY437" s="25"/>
      <c r="BZ437" s="25"/>
      <c r="CA437" s="25"/>
      <c r="CB437" s="25"/>
    </row>
    <row r="438" spans="1:80" ht="12.75" hidden="1" customHeight="1">
      <c r="A438" s="10">
        <f ca="1">IFERROR(__xludf.DUMMYFUNCTION("""COMPUTED_VALUE"""),2009)</f>
        <v>2009</v>
      </c>
      <c r="B438" s="50">
        <f ca="1">IFERROR(__xludf.DUMMYFUNCTION("""COMPUTED_VALUE"""),40239)</f>
        <v>40239</v>
      </c>
      <c r="C438" s="41">
        <f ca="1">IFERROR(__xludf.DUMMYFUNCTION("""COMPUTED_VALUE"""),40205)</f>
        <v>40205</v>
      </c>
      <c r="D438" s="42" t="str">
        <f ca="1">IFERROR(__xludf.DUMMYFUNCTION("""COMPUTED_VALUE"""),"Green-winged Teal")</f>
        <v>Green-winged Teal</v>
      </c>
      <c r="E438" s="53">
        <f ca="1">IFERROR(__xludf.DUMMYFUNCTION("""COMPUTED_VALUE"""),1)</f>
        <v>1</v>
      </c>
      <c r="F438" s="15"/>
      <c r="G438" s="44" t="str">
        <f ca="1">IFERROR(__xludf.DUMMYFUNCTION("""COMPUTED_VALUE"""),"Inner Marsh Farm RSPB")</f>
        <v>Inner Marsh Farm RSPB</v>
      </c>
      <c r="H438" s="12">
        <f ca="1">IFERROR(__xludf.DUMMYFUNCTION("""COMPUTED_VALUE"""),39919)</f>
        <v>39919</v>
      </c>
      <c r="I438" s="13"/>
      <c r="J438" s="14" t="str">
        <f ca="1">IFERROR(__xludf.DUMMYFUNCTION("""COMPUTED_VALUE"""),"Miles, MR")</f>
        <v>Miles, MR</v>
      </c>
      <c r="K438" s="15" t="str">
        <f ca="1">IFERROR(__xludf.DUMMYFUNCTION("""COMPUTED_VALUE"""),"?")</f>
        <v>?</v>
      </c>
      <c r="L438" s="17" t="str">
        <f ca="1">IFERROR(__xludf.DUMMYFUNCTION("""COMPUTED_VALUE"""),"closed")</f>
        <v>closed</v>
      </c>
      <c r="M438" s="17" t="str">
        <f ca="1">IFERROR(__xludf.DUMMYFUNCTION("""COMPUTED_VALUE"""),"1st U")</f>
        <v>1st U</v>
      </c>
      <c r="N438" s="15" t="str">
        <f ca="1">IFERROR(__xludf.DUMMYFUNCTION("""COMPUTED_VALUE"""),"accepted")</f>
        <v>accepted</v>
      </c>
      <c r="O438" s="18"/>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row>
    <row r="439" spans="1:80" ht="12.75" hidden="1" customHeight="1">
      <c r="A439" s="20">
        <f ca="1">IFERROR(__xludf.DUMMYFUNCTION("""COMPUTED_VALUE"""),2009)</f>
        <v>2009</v>
      </c>
      <c r="B439" s="45">
        <f ca="1">IFERROR(__xludf.DUMMYFUNCTION("""COMPUTED_VALUE"""),40239)</f>
        <v>40239</v>
      </c>
      <c r="C439" s="46">
        <f ca="1">IFERROR(__xludf.DUMMYFUNCTION("""COMPUTED_VALUE"""),40205)</f>
        <v>40205</v>
      </c>
      <c r="D439" s="47" t="str">
        <f ca="1">IFERROR(__xludf.DUMMYFUNCTION("""COMPUTED_VALUE"""),"Ring-necked Duck")</f>
        <v>Ring-necked Duck</v>
      </c>
      <c r="E439" s="52">
        <f ca="1">IFERROR(__xludf.DUMMYFUNCTION("""COMPUTED_VALUE"""),1)</f>
        <v>1</v>
      </c>
      <c r="F439" s="25"/>
      <c r="G439" s="48" t="str">
        <f ca="1">IFERROR(__xludf.DUMMYFUNCTION("""COMPUTED_VALUE"""),"Astbury Mere")</f>
        <v>Astbury Mere</v>
      </c>
      <c r="H439" s="22">
        <f ca="1">IFERROR(__xludf.DUMMYFUNCTION("""COMPUTED_VALUE"""),40118)</f>
        <v>40118</v>
      </c>
      <c r="I439" s="23"/>
      <c r="J439" s="24" t="str">
        <f ca="1">IFERROR(__xludf.DUMMYFUNCTION("""COMPUTED_VALUE"""),"Spottiswood, J")</f>
        <v>Spottiswood, J</v>
      </c>
      <c r="K439" s="25" t="str">
        <f ca="1">IFERROR(__xludf.DUMMYFUNCTION("""COMPUTED_VALUE"""),"Spottiswood, J")</f>
        <v>Spottiswood, J</v>
      </c>
      <c r="L439" s="27" t="str">
        <f ca="1">IFERROR(__xludf.DUMMYFUNCTION("""COMPUTED_VALUE"""),"closed")</f>
        <v>closed</v>
      </c>
      <c r="M439" s="27" t="str">
        <f ca="1">IFERROR(__xludf.DUMMYFUNCTION("""COMPUTED_VALUE"""),"1st U")</f>
        <v>1st U</v>
      </c>
      <c r="N439" s="25" t="str">
        <f ca="1">IFERROR(__xludf.DUMMYFUNCTION("""COMPUTED_VALUE"""),"accepted")</f>
        <v>accepted</v>
      </c>
      <c r="O439" s="28"/>
      <c r="P439" s="25"/>
      <c r="Q439" s="40"/>
      <c r="R439" s="40"/>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c r="BP439" s="25"/>
      <c r="BQ439" s="25"/>
      <c r="BR439" s="25"/>
      <c r="BS439" s="25"/>
      <c r="BT439" s="25"/>
      <c r="BU439" s="25"/>
      <c r="BV439" s="25"/>
      <c r="BW439" s="25"/>
      <c r="BX439" s="25"/>
      <c r="BY439" s="25"/>
      <c r="BZ439" s="25"/>
      <c r="CA439" s="25"/>
      <c r="CB439" s="25"/>
    </row>
    <row r="440" spans="1:80" ht="12.75" hidden="1" customHeight="1">
      <c r="A440" s="10">
        <f ca="1">IFERROR(__xludf.DUMMYFUNCTION("""COMPUTED_VALUE"""),2009)</f>
        <v>2009</v>
      </c>
      <c r="B440" s="50">
        <f ca="1">IFERROR(__xludf.DUMMYFUNCTION("""COMPUTED_VALUE"""),40466)</f>
        <v>40466</v>
      </c>
      <c r="C440" s="41">
        <f ca="1">IFERROR(__xludf.DUMMYFUNCTION("""COMPUTED_VALUE"""),40336)</f>
        <v>40336</v>
      </c>
      <c r="D440" s="42" t="str">
        <f ca="1">IFERROR(__xludf.DUMMYFUNCTION("""COMPUTED_VALUE"""),"White Stork")</f>
        <v>White Stork</v>
      </c>
      <c r="E440" s="53">
        <f ca="1">IFERROR(__xludf.DUMMYFUNCTION("""COMPUTED_VALUE"""),1)</f>
        <v>1</v>
      </c>
      <c r="F440" s="15"/>
      <c r="G440" s="44" t="str">
        <f ca="1">IFERROR(__xludf.DUMMYFUNCTION("""COMPUTED_VALUE"""),"Delamere (Organsdale)")</f>
        <v>Delamere (Organsdale)</v>
      </c>
      <c r="H440" s="12">
        <f ca="1">IFERROR(__xludf.DUMMYFUNCTION("""COMPUTED_VALUE"""),39904)</f>
        <v>39904</v>
      </c>
      <c r="I440" s="12">
        <f ca="1">IFERROR(__xludf.DUMMYFUNCTION("""COMPUTED_VALUE"""),39904)</f>
        <v>39904</v>
      </c>
      <c r="J440" s="14" t="str">
        <f ca="1">IFERROR(__xludf.DUMMYFUNCTION("""COMPUTED_VALUE"""),"DW PT")</f>
        <v>DW PT</v>
      </c>
      <c r="K440" s="15" t="str">
        <f ca="1">IFERROR(__xludf.DUMMYFUNCTION("""COMPUTED_VALUE"""),"DW PT")</f>
        <v>DW PT</v>
      </c>
      <c r="L440" s="17" t="str">
        <f ca="1">IFERROR(__xludf.DUMMYFUNCTION("""COMPUTED_VALUE"""),"closed")</f>
        <v>closed</v>
      </c>
      <c r="M440" s="17" t="str">
        <f ca="1">IFERROR(__xludf.DUMMYFUNCTION("""COMPUTED_VALUE"""),"1st U")</f>
        <v>1st U</v>
      </c>
      <c r="N440" s="15" t="str">
        <f ca="1">IFERROR(__xludf.DUMMYFUNCTION("""COMPUTED_VALUE"""),"accepted")</f>
        <v>accepted</v>
      </c>
      <c r="O440" s="18"/>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row>
    <row r="441" spans="1:80" ht="12.75" hidden="1" customHeight="1">
      <c r="A441" s="20">
        <f ca="1">IFERROR(__xludf.DUMMYFUNCTION("""COMPUTED_VALUE"""),2009)</f>
        <v>2009</v>
      </c>
      <c r="B441" s="45">
        <f ca="1">IFERROR(__xludf.DUMMYFUNCTION("""COMPUTED_VALUE"""),40466)</f>
        <v>40466</v>
      </c>
      <c r="C441" s="46">
        <f ca="1">IFERROR(__xludf.DUMMYFUNCTION("""COMPUTED_VALUE"""),40336)</f>
        <v>40336</v>
      </c>
      <c r="D441" s="47" t="str">
        <f ca="1">IFERROR(__xludf.DUMMYFUNCTION("""COMPUTED_VALUE"""),"White Stork")</f>
        <v>White Stork</v>
      </c>
      <c r="E441" s="52">
        <f ca="1">IFERROR(__xludf.DUMMYFUNCTION("""COMPUTED_VALUE"""),1)</f>
        <v>1</v>
      </c>
      <c r="F441" s="25"/>
      <c r="G441" s="48" t="str">
        <f ca="1">IFERROR(__xludf.DUMMYFUNCTION("""COMPUTED_VALUE"""),"Delamere (Organsdale)")</f>
        <v>Delamere (Organsdale)</v>
      </c>
      <c r="H441" s="22">
        <f ca="1">IFERROR(__xludf.DUMMYFUNCTION("""COMPUTED_VALUE"""),39904)</f>
        <v>39904</v>
      </c>
      <c r="I441" s="22">
        <f ca="1">IFERROR(__xludf.DUMMYFUNCTION("""COMPUTED_VALUE"""),39904)</f>
        <v>39904</v>
      </c>
      <c r="J441" s="24" t="str">
        <f ca="1">IFERROR(__xludf.DUMMYFUNCTION("""COMPUTED_VALUE"""),"Wright, D")</f>
        <v>Wright, D</v>
      </c>
      <c r="K441" s="25" t="str">
        <f ca="1">IFERROR(__xludf.DUMMYFUNCTION("""COMPUTED_VALUE"""),"Wright, D")</f>
        <v>Wright, D</v>
      </c>
      <c r="L441" s="27" t="str">
        <f ca="1">IFERROR(__xludf.DUMMYFUNCTION("""COMPUTED_VALUE"""),"closed")</f>
        <v>closed</v>
      </c>
      <c r="M441" s="27" t="str">
        <f ca="1">IFERROR(__xludf.DUMMYFUNCTION("""COMPUTED_VALUE"""),"1st U")</f>
        <v>1st U</v>
      </c>
      <c r="N441" s="25" t="str">
        <f ca="1">IFERROR(__xludf.DUMMYFUNCTION("""COMPUTED_VALUE"""),"accepted")</f>
        <v>accepted</v>
      </c>
      <c r="O441" s="28"/>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c r="AM441" s="25"/>
      <c r="AN441" s="25"/>
      <c r="AO441" s="25"/>
      <c r="AP441" s="25"/>
      <c r="AQ441" s="25"/>
      <c r="AR441" s="25"/>
      <c r="AS441" s="25"/>
      <c r="AT441" s="25"/>
      <c r="AU441" s="25"/>
      <c r="AV441" s="25"/>
      <c r="AW441" s="25"/>
      <c r="AX441" s="25"/>
      <c r="AY441" s="25"/>
      <c r="AZ441" s="25"/>
      <c r="BA441" s="25"/>
      <c r="BB441" s="25"/>
      <c r="BC441" s="25"/>
      <c r="BD441" s="25"/>
      <c r="BE441" s="25"/>
      <c r="BF441" s="25"/>
      <c r="BG441" s="25"/>
      <c r="BH441" s="25"/>
      <c r="BI441" s="25"/>
      <c r="BJ441" s="25"/>
      <c r="BK441" s="25"/>
      <c r="BL441" s="25"/>
      <c r="BM441" s="25"/>
      <c r="BN441" s="25"/>
      <c r="BO441" s="25"/>
      <c r="BP441" s="25"/>
      <c r="BQ441" s="25"/>
      <c r="BR441" s="25"/>
      <c r="BS441" s="25"/>
      <c r="BT441" s="25"/>
      <c r="BU441" s="25"/>
      <c r="BV441" s="25"/>
      <c r="BW441" s="25"/>
      <c r="BX441" s="25"/>
      <c r="BY441" s="25"/>
      <c r="BZ441" s="25"/>
      <c r="CA441" s="25"/>
      <c r="CB441" s="25"/>
    </row>
    <row r="442" spans="1:80" ht="12.75" hidden="1" customHeight="1">
      <c r="A442" s="10">
        <f ca="1">IFERROR(__xludf.DUMMYFUNCTION("""COMPUTED_VALUE"""),2009)</f>
        <v>2009</v>
      </c>
      <c r="B442" s="50">
        <f ca="1">IFERROR(__xludf.DUMMYFUNCTION("""COMPUTED_VALUE"""),40586)</f>
        <v>40586</v>
      </c>
      <c r="C442" s="41">
        <f ca="1">IFERROR(__xludf.DUMMYFUNCTION("""COMPUTED_VALUE"""),40336)</f>
        <v>40336</v>
      </c>
      <c r="D442" s="42" t="str">
        <f ca="1">IFERROR(__xludf.DUMMYFUNCTION("""COMPUTED_VALUE"""),"White Stork")</f>
        <v>White Stork</v>
      </c>
      <c r="E442" s="53">
        <f ca="1">IFERROR(__xludf.DUMMYFUNCTION("""COMPUTED_VALUE"""),1)</f>
        <v>1</v>
      </c>
      <c r="F442" s="15"/>
      <c r="G442" s="44" t="str">
        <f ca="1">IFERROR(__xludf.DUMMYFUNCTION("""COMPUTED_VALUE"""),"Delamere (Organsdale)")</f>
        <v>Delamere (Organsdale)</v>
      </c>
      <c r="H442" s="12">
        <f ca="1">IFERROR(__xludf.DUMMYFUNCTION("""COMPUTED_VALUE"""),39904)</f>
        <v>39904</v>
      </c>
      <c r="I442" s="12">
        <f ca="1">IFERROR(__xludf.DUMMYFUNCTION("""COMPUTED_VALUE"""),39904)</f>
        <v>39904</v>
      </c>
      <c r="J442" s="14" t="str">
        <f ca="1">IFERROR(__xludf.DUMMYFUNCTION("""COMPUTED_VALUE"""),"Twist, P")</f>
        <v>Twist, P</v>
      </c>
      <c r="K442" s="15"/>
      <c r="L442" s="17" t="str">
        <f ca="1">IFERROR(__xludf.DUMMYFUNCTION("""COMPUTED_VALUE"""),"closed")</f>
        <v>closed</v>
      </c>
      <c r="M442" s="17" t="str">
        <f ca="1">IFERROR(__xludf.DUMMYFUNCTION("""COMPUTED_VALUE"""),"1st U")</f>
        <v>1st U</v>
      </c>
      <c r="N442" s="15" t="str">
        <f ca="1">IFERROR(__xludf.DUMMYFUNCTION("""COMPUTED_VALUE"""),"accepted")</f>
        <v>accepted</v>
      </c>
      <c r="O442" s="18"/>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row>
    <row r="443" spans="1:80" ht="12.75" hidden="1" customHeight="1">
      <c r="A443" s="20">
        <f ca="1">IFERROR(__xludf.DUMMYFUNCTION("""COMPUTED_VALUE"""),2009)</f>
        <v>2009</v>
      </c>
      <c r="B443" s="45">
        <f ca="1">IFERROR(__xludf.DUMMYFUNCTION("""COMPUTED_VALUE"""),40085)</f>
        <v>40085</v>
      </c>
      <c r="C443" s="46">
        <f ca="1">IFERROR(__xludf.DUMMYFUNCTION("""COMPUTED_VALUE"""),40065)</f>
        <v>40065</v>
      </c>
      <c r="D443" s="47" t="str">
        <f ca="1">IFERROR(__xludf.DUMMYFUNCTION("""COMPUTED_VALUE"""),"Goshawk")</f>
        <v>Goshawk</v>
      </c>
      <c r="E443" s="52">
        <f ca="1">IFERROR(__xludf.DUMMYFUNCTION("""COMPUTED_VALUE"""),1)</f>
        <v>1</v>
      </c>
      <c r="F443" s="25"/>
      <c r="G443" s="48" t="str">
        <f ca="1">IFERROR(__xludf.DUMMYFUNCTION("""COMPUTED_VALUE"""),"Malpas")</f>
        <v>Malpas</v>
      </c>
      <c r="H443" s="22">
        <f ca="1">IFERROR(__xludf.DUMMYFUNCTION("""COMPUTED_VALUE"""),39883)</f>
        <v>39883</v>
      </c>
      <c r="I443" s="23"/>
      <c r="J443" s="24"/>
      <c r="K443" s="25"/>
      <c r="L443" s="27" t="str">
        <f ca="1">IFERROR(__xludf.DUMMYFUNCTION("""COMPUTED_VALUE"""),"closed")</f>
        <v>closed</v>
      </c>
      <c r="M443" s="27" t="str">
        <f ca="1">IFERROR(__xludf.DUMMYFUNCTION("""COMPUTED_VALUE"""),"1st M")</f>
        <v>1st M</v>
      </c>
      <c r="N443" s="25" t="str">
        <f ca="1">IFERROR(__xludf.DUMMYFUNCTION("""COMPUTED_VALUE"""),"unproven")</f>
        <v>unproven</v>
      </c>
      <c r="O443" s="28"/>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c r="BP443" s="25"/>
      <c r="BQ443" s="25"/>
      <c r="BR443" s="25"/>
      <c r="BS443" s="25"/>
      <c r="BT443" s="25"/>
      <c r="BU443" s="25"/>
      <c r="BV443" s="25"/>
      <c r="BW443" s="25"/>
      <c r="BX443" s="25"/>
      <c r="BY443" s="25"/>
      <c r="BZ443" s="25"/>
      <c r="CA443" s="25"/>
      <c r="CB443" s="25"/>
    </row>
    <row r="444" spans="1:80" ht="12.75" hidden="1" customHeight="1">
      <c r="A444" s="10">
        <f ca="1">IFERROR(__xludf.DUMMYFUNCTION("""COMPUTED_VALUE"""),2009)</f>
        <v>2009</v>
      </c>
      <c r="B444" s="50">
        <f ca="1">IFERROR(__xludf.DUMMYFUNCTION("""COMPUTED_VALUE"""),40239)</f>
        <v>40239</v>
      </c>
      <c r="C444" s="41">
        <f ca="1">IFERROR(__xludf.DUMMYFUNCTION("""COMPUTED_VALUE"""),40205)</f>
        <v>40205</v>
      </c>
      <c r="D444" s="42" t="str">
        <f ca="1">IFERROR(__xludf.DUMMYFUNCTION("""COMPUTED_VALUE"""),"Goshawk")</f>
        <v>Goshawk</v>
      </c>
      <c r="E444" s="53">
        <f ca="1">IFERROR(__xludf.DUMMYFUNCTION("""COMPUTED_VALUE"""),1)</f>
        <v>1</v>
      </c>
      <c r="F444" s="15"/>
      <c r="G444" s="44" t="str">
        <f ca="1">IFERROR(__xludf.DUMMYFUNCTION("""COMPUTED_VALUE"""),"Henbury Big Wood")</f>
        <v>Henbury Big Wood</v>
      </c>
      <c r="H444" s="12">
        <f ca="1">IFERROR(__xludf.DUMMYFUNCTION("""COMPUTED_VALUE"""),39935)</f>
        <v>39935</v>
      </c>
      <c r="I444" s="13"/>
      <c r="J444" s="14" t="str">
        <f ca="1">IFERROR(__xludf.DUMMYFUNCTION("""COMPUTED_VALUE"""),"Booth, A")</f>
        <v>Booth, A</v>
      </c>
      <c r="K444" s="15" t="str">
        <f ca="1">IFERROR(__xludf.DUMMYFUNCTION("""COMPUTED_VALUE"""),"Booth, A")</f>
        <v>Booth, A</v>
      </c>
      <c r="L444" s="17" t="str">
        <f ca="1">IFERROR(__xludf.DUMMYFUNCTION("""COMPUTED_VALUE"""),"closed")</f>
        <v>closed</v>
      </c>
      <c r="M444" s="17" t="str">
        <f ca="1">IFERROR(__xludf.DUMMYFUNCTION("""COMPUTED_VALUE"""),"1st M")</f>
        <v>1st M</v>
      </c>
      <c r="N444" s="15" t="str">
        <f ca="1">IFERROR(__xludf.DUMMYFUNCTION("""COMPUTED_VALUE"""),"accepted")</f>
        <v>accepted</v>
      </c>
      <c r="O444" s="18" t="str">
        <f ca="1">IFERROR(__xludf.DUMMYFUNCTION("""COMPUTED_VALUE"""),"2 birds were submitted but the female only was considered proven")</f>
        <v>2 birds were submitted but the female only was considered proven</v>
      </c>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row>
    <row r="445" spans="1:80" ht="12.75" hidden="1" customHeight="1">
      <c r="A445" s="20">
        <f ca="1">IFERROR(__xludf.DUMMYFUNCTION("""COMPUTED_VALUE"""),2009)</f>
        <v>2009</v>
      </c>
      <c r="B445" s="45">
        <f ca="1">IFERROR(__xludf.DUMMYFUNCTION("""COMPUTED_VALUE"""),41226)</f>
        <v>41226</v>
      </c>
      <c r="C445" s="46"/>
      <c r="D445" s="47" t="str">
        <f ca="1">IFERROR(__xludf.DUMMYFUNCTION("""COMPUTED_VALUE"""),"Black Grouse")</f>
        <v>Black Grouse</v>
      </c>
      <c r="E445" s="52">
        <f ca="1">IFERROR(__xludf.DUMMYFUNCTION("""COMPUTED_VALUE"""),1)</f>
        <v>1</v>
      </c>
      <c r="F445" s="25" t="str">
        <f ca="1">IFERROR(__xludf.DUMMYFUNCTION("""COMPUTED_VALUE"""),"f")</f>
        <v>f</v>
      </c>
      <c r="G445" s="48" t="str">
        <f ca="1">IFERROR(__xludf.DUMMYFUNCTION("""COMPUTED_VALUE"""),"Bosley Minn")</f>
        <v>Bosley Minn</v>
      </c>
      <c r="H445" s="22">
        <f ca="1">IFERROR(__xludf.DUMMYFUNCTION("""COMPUTED_VALUE"""),40101)</f>
        <v>40101</v>
      </c>
      <c r="I445" s="23"/>
      <c r="J445" s="24" t="str">
        <f ca="1">IFERROR(__xludf.DUMMYFUNCTION("""COMPUTED_VALUE"""),"Yalden D")</f>
        <v>Yalden D</v>
      </c>
      <c r="K445" s="25" t="str">
        <f ca="1">IFERROR(__xludf.DUMMYFUNCTION("""COMPUTED_VALUE"""),"Yalden D")</f>
        <v>Yalden D</v>
      </c>
      <c r="L445" s="27" t="str">
        <f ca="1">IFERROR(__xludf.DUMMYFUNCTION("""COMPUTED_VALUE"""),"closed")</f>
        <v>closed</v>
      </c>
      <c r="M445" s="27" t="str">
        <f ca="1">IFERROR(__xludf.DUMMYFUNCTION("""COMPUTED_VALUE"""),"2nd M")</f>
        <v>2nd M</v>
      </c>
      <c r="N445" s="25" t="str">
        <f ca="1">IFERROR(__xludf.DUMMYFUNCTION("""COMPUTED_VALUE"""),"accepted")</f>
        <v>accepted</v>
      </c>
      <c r="O445" s="28"/>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c r="BP445" s="25"/>
      <c r="BQ445" s="25"/>
      <c r="BR445" s="25"/>
      <c r="BS445" s="25"/>
      <c r="BT445" s="25"/>
      <c r="BU445" s="25"/>
      <c r="BV445" s="25"/>
      <c r="BW445" s="25"/>
      <c r="BX445" s="25"/>
      <c r="BY445" s="25"/>
      <c r="BZ445" s="25"/>
      <c r="CA445" s="25"/>
      <c r="CB445" s="25"/>
    </row>
    <row r="446" spans="1:80" ht="12.75" hidden="1" customHeight="1">
      <c r="A446" s="10">
        <f ca="1">IFERROR(__xludf.DUMMYFUNCTION("""COMPUTED_VALUE"""),2009)</f>
        <v>2009</v>
      </c>
      <c r="B446" s="50">
        <f ca="1">IFERROR(__xludf.DUMMYFUNCTION("""COMPUTED_VALUE"""),40253)</f>
        <v>40253</v>
      </c>
      <c r="C446" s="41">
        <f ca="1">IFERROR(__xludf.DUMMYFUNCTION("""COMPUTED_VALUE"""),40242)</f>
        <v>40242</v>
      </c>
      <c r="D446" s="42" t="str">
        <f ca="1">IFERROR(__xludf.DUMMYFUNCTION("""COMPUTED_VALUE"""),"Roseate Tern")</f>
        <v>Roseate Tern</v>
      </c>
      <c r="E446" s="53">
        <f ca="1">IFERROR(__xludf.DUMMYFUNCTION("""COMPUTED_VALUE"""),1)</f>
        <v>1</v>
      </c>
      <c r="F446" s="15" t="str">
        <f ca="1">IFERROR(__xludf.DUMMYFUNCTION("""COMPUTED_VALUE"""),"juvenile")</f>
        <v>juvenile</v>
      </c>
      <c r="G446" s="44" t="str">
        <f ca="1">IFERROR(__xludf.DUMMYFUNCTION("""COMPUTED_VALUE"""),"West Kirby Shore")</f>
        <v>West Kirby Shore</v>
      </c>
      <c r="H446" s="12">
        <f ca="1">IFERROR(__xludf.DUMMYFUNCTION("""COMPUTED_VALUE"""),40034)</f>
        <v>40034</v>
      </c>
      <c r="I446" s="13"/>
      <c r="J446" s="14"/>
      <c r="K446" s="15"/>
      <c r="L446" s="17" t="str">
        <f ca="1">IFERROR(__xludf.DUMMYFUNCTION("""COMPUTED_VALUE"""),"closed")</f>
        <v>closed</v>
      </c>
      <c r="M446" s="17" t="str">
        <f ca="1">IFERROR(__xludf.DUMMYFUNCTION("""COMPUTED_VALUE"""),"2nd u")</f>
        <v>2nd u</v>
      </c>
      <c r="N446" s="15" t="str">
        <f ca="1">IFERROR(__xludf.DUMMYFUNCTION("""COMPUTED_VALUE"""),"unproven")</f>
        <v>unproven</v>
      </c>
      <c r="O446" s="18"/>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row>
    <row r="447" spans="1:80" ht="12.75" hidden="1" customHeight="1">
      <c r="A447" s="20">
        <f ca="1">IFERROR(__xludf.DUMMYFUNCTION("""COMPUTED_VALUE"""),2009)</f>
        <v>2009</v>
      </c>
      <c r="B447" s="45">
        <f ca="1">IFERROR(__xludf.DUMMYFUNCTION("""COMPUTED_VALUE"""),39967)</f>
        <v>39967</v>
      </c>
      <c r="C447" s="46">
        <f ca="1">IFERROR(__xludf.DUMMYFUNCTION("""COMPUTED_VALUE"""),39921)</f>
        <v>39921</v>
      </c>
      <c r="D447" s="47" t="str">
        <f ca="1">IFERROR(__xludf.DUMMYFUNCTION("""COMPUTED_VALUE"""),"Water Pipit")</f>
        <v>Water Pipit</v>
      </c>
      <c r="E447" s="52">
        <f ca="1">IFERROR(__xludf.DUMMYFUNCTION("""COMPUTED_VALUE"""),1)</f>
        <v>1</v>
      </c>
      <c r="F447" s="25"/>
      <c r="G447" s="48" t="str">
        <f ca="1">IFERROR(__xludf.DUMMYFUNCTION("""COMPUTED_VALUE"""),"Frodsham")</f>
        <v>Frodsham</v>
      </c>
      <c r="H447" s="22">
        <f ca="1">IFERROR(__xludf.DUMMYFUNCTION("""COMPUTED_VALUE"""),39845)</f>
        <v>39845</v>
      </c>
      <c r="I447" s="22"/>
      <c r="J447" s="24"/>
      <c r="K447" s="25"/>
      <c r="L447" s="27" t="str">
        <f ca="1">IFERROR(__xludf.DUMMYFUNCTION("""COMPUTED_VALUE"""),"closed")</f>
        <v>closed</v>
      </c>
      <c r="M447" s="27" t="str">
        <f ca="1">IFERROR(__xludf.DUMMYFUNCTION("""COMPUTED_VALUE"""),"2nd U")</f>
        <v>2nd U</v>
      </c>
      <c r="N447" s="25" t="str">
        <f ca="1">IFERROR(__xludf.DUMMYFUNCTION("""COMPUTED_VALUE"""),"unproven")</f>
        <v>unproven</v>
      </c>
      <c r="O447" s="28" t="str">
        <f ca="1">IFERROR(__xludf.DUMMYFUNCTION("""COMPUTED_VALUE"""),"Accepted as either Water Pipit or Scandinavian Rock pipit")</f>
        <v>Accepted as either Water Pipit or Scandinavian Rock pipit</v>
      </c>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c r="BH447" s="25"/>
      <c r="BI447" s="25"/>
      <c r="BJ447" s="25"/>
      <c r="BK447" s="25"/>
      <c r="BL447" s="25"/>
      <c r="BM447" s="25"/>
      <c r="BN447" s="25"/>
      <c r="BO447" s="25"/>
      <c r="BP447" s="25"/>
      <c r="BQ447" s="25"/>
      <c r="BR447" s="25"/>
      <c r="BS447" s="25"/>
      <c r="BT447" s="25"/>
      <c r="BU447" s="25"/>
      <c r="BV447" s="25"/>
      <c r="BW447" s="25"/>
      <c r="BX447" s="25"/>
      <c r="BY447" s="25"/>
      <c r="BZ447" s="25"/>
      <c r="CA447" s="25"/>
      <c r="CB447" s="25"/>
    </row>
    <row r="448" spans="1:80" ht="12.75" hidden="1" customHeight="1">
      <c r="A448" s="10">
        <f ca="1">IFERROR(__xludf.DUMMYFUNCTION("""COMPUTED_VALUE"""),2009)</f>
        <v>2009</v>
      </c>
      <c r="B448" s="50">
        <f ca="1">IFERROR(__xludf.DUMMYFUNCTION("""COMPUTED_VALUE"""),39967)</f>
        <v>39967</v>
      </c>
      <c r="C448" s="41">
        <f ca="1">IFERROR(__xludf.DUMMYFUNCTION("""COMPUTED_VALUE"""),39921)</f>
        <v>39921</v>
      </c>
      <c r="D448" s="42" t="str">
        <f ca="1">IFERROR(__xludf.DUMMYFUNCTION("""COMPUTED_VALUE"""),"Water Pipit")</f>
        <v>Water Pipit</v>
      </c>
      <c r="E448" s="53">
        <f ca="1">IFERROR(__xludf.DUMMYFUNCTION("""COMPUTED_VALUE"""),1)</f>
        <v>1</v>
      </c>
      <c r="F448" s="15"/>
      <c r="G448" s="44" t="str">
        <f ca="1">IFERROR(__xludf.DUMMYFUNCTION("""COMPUTED_VALUE"""),"Heswall")</f>
        <v>Heswall</v>
      </c>
      <c r="H448" s="12">
        <f ca="1">IFERROR(__xludf.DUMMYFUNCTION("""COMPUTED_VALUE"""),39901)</f>
        <v>39901</v>
      </c>
      <c r="I448" s="12"/>
      <c r="J448" s="14" t="str">
        <f ca="1">IFERROR(__xludf.DUMMYFUNCTION("""COMPUTED_VALUE"""),"Farnell, C")</f>
        <v>Farnell, C</v>
      </c>
      <c r="K448" s="15" t="str">
        <f ca="1">IFERROR(__xludf.DUMMYFUNCTION("""COMPUTED_VALUE"""),"?")</f>
        <v>?</v>
      </c>
      <c r="L448" s="17" t="str">
        <f ca="1">IFERROR(__xludf.DUMMYFUNCTION("""COMPUTED_VALUE"""),"closed")</f>
        <v>closed</v>
      </c>
      <c r="M448" s="17" t="str">
        <f ca="1">IFERROR(__xludf.DUMMYFUNCTION("""COMPUTED_VALUE"""),"2nd U")</f>
        <v>2nd U</v>
      </c>
      <c r="N448" s="15" t="str">
        <f ca="1">IFERROR(__xludf.DUMMYFUNCTION("""COMPUTED_VALUE"""),"Accepted")</f>
        <v>Accepted</v>
      </c>
      <c r="O448" s="18"/>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row>
    <row r="449" spans="1:80" ht="12.75" hidden="1" customHeight="1">
      <c r="A449" s="20">
        <f ca="1">IFERROR(__xludf.DUMMYFUNCTION("""COMPUTED_VALUE"""),2009)</f>
        <v>2009</v>
      </c>
      <c r="B449" s="45">
        <f ca="1">IFERROR(__xludf.DUMMYFUNCTION("""COMPUTED_VALUE"""),39967)</f>
        <v>39967</v>
      </c>
      <c r="C449" s="46">
        <f ca="1">IFERROR(__xludf.DUMMYFUNCTION("""COMPUTED_VALUE"""),39921)</f>
        <v>39921</v>
      </c>
      <c r="D449" s="47" t="str">
        <f ca="1">IFERROR(__xludf.DUMMYFUNCTION("""COMPUTED_VALUE"""),"Water/Rock pipit (littoralis/spinoletta)")</f>
        <v>Water/Rock pipit (littoralis/spinoletta)</v>
      </c>
      <c r="E449" s="52">
        <f ca="1">IFERROR(__xludf.DUMMYFUNCTION("""COMPUTED_VALUE"""),1)</f>
        <v>1</v>
      </c>
      <c r="F449" s="25"/>
      <c r="G449" s="48"/>
      <c r="H449" s="22">
        <f ca="1">IFERROR(__xludf.DUMMYFUNCTION("""COMPUTED_VALUE"""),39845)</f>
        <v>39845</v>
      </c>
      <c r="I449" s="22"/>
      <c r="J449" s="24" t="str">
        <f ca="1">IFERROR(__xludf.DUMMYFUNCTION("""COMPUTED_VALUE"""),"Hitchmough, A")</f>
        <v>Hitchmough, A</v>
      </c>
      <c r="K449" s="25" t="str">
        <f ca="1">IFERROR(__xludf.DUMMYFUNCTION("""COMPUTED_VALUE"""),"Hitchmough, A")</f>
        <v>Hitchmough, A</v>
      </c>
      <c r="L449" s="27" t="str">
        <f ca="1">IFERROR(__xludf.DUMMYFUNCTION("""COMPUTED_VALUE"""),"closed")</f>
        <v>closed</v>
      </c>
      <c r="M449" s="27" t="str">
        <f ca="1">IFERROR(__xludf.DUMMYFUNCTION("""COMPUTED_VALUE"""),"2nd u")</f>
        <v>2nd u</v>
      </c>
      <c r="N449" s="25" t="str">
        <f ca="1">IFERROR(__xludf.DUMMYFUNCTION("""COMPUTED_VALUE"""),"Accepted")</f>
        <v>Accepted</v>
      </c>
      <c r="O449" s="28"/>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c r="BP449" s="25"/>
      <c r="BQ449" s="25"/>
      <c r="BR449" s="25"/>
      <c r="BS449" s="25"/>
      <c r="BT449" s="25"/>
      <c r="BU449" s="25"/>
      <c r="BV449" s="25"/>
      <c r="BW449" s="25"/>
      <c r="BX449" s="25"/>
      <c r="BY449" s="25"/>
      <c r="BZ449" s="25"/>
      <c r="CA449" s="25"/>
      <c r="CB449" s="25"/>
    </row>
    <row r="450" spans="1:80" ht="12.75" hidden="1" customHeight="1">
      <c r="A450" s="10">
        <f ca="1">IFERROR(__xludf.DUMMYFUNCTION("""COMPUTED_VALUE"""),2009)</f>
        <v>2009</v>
      </c>
      <c r="B450" s="50">
        <f ca="1">IFERROR(__xludf.DUMMYFUNCTION("""COMPUTED_VALUE"""),40466)</f>
        <v>40466</v>
      </c>
      <c r="C450" s="41">
        <f ca="1">IFERROR(__xludf.DUMMYFUNCTION("""COMPUTED_VALUE"""),40245)</f>
        <v>40245</v>
      </c>
      <c r="D450" s="42" t="str">
        <f ca="1">IFERROR(__xludf.DUMMYFUNCTION("""COMPUTED_VALUE"""),"Corncrake")</f>
        <v>Corncrake</v>
      </c>
      <c r="E450" s="53">
        <f ca="1">IFERROR(__xludf.DUMMYFUNCTION("""COMPUTED_VALUE"""),1)</f>
        <v>1</v>
      </c>
      <c r="F450" s="15"/>
      <c r="G450" s="44" t="str">
        <f ca="1">IFERROR(__xludf.DUMMYFUNCTION("""COMPUTED_VALUE"""),"Frodsham, No 6 bed")</f>
        <v>Frodsham, No 6 bed</v>
      </c>
      <c r="H450" s="12">
        <f ca="1">IFERROR(__xludf.DUMMYFUNCTION("""COMPUTED_VALUE"""),39949)</f>
        <v>39949</v>
      </c>
      <c r="I450" s="13"/>
      <c r="J450" s="14" t="str">
        <f ca="1">IFERROR(__xludf.DUMMYFUNCTION("""COMPUTED_VALUE"""),"Sandham, R")</f>
        <v>Sandham, R</v>
      </c>
      <c r="K450" s="15" t="str">
        <f ca="1">IFERROR(__xludf.DUMMYFUNCTION("""COMPUTED_VALUE"""),"Sandham, R")</f>
        <v>Sandham, R</v>
      </c>
      <c r="L450" s="17" t="str">
        <f ca="1">IFERROR(__xludf.DUMMYFUNCTION("""COMPUTED_VALUE"""),"closed")</f>
        <v>closed</v>
      </c>
      <c r="M450" s="17" t="str">
        <f ca="1">IFERROR(__xludf.DUMMYFUNCTION("""COMPUTED_VALUE"""),"2nd M")</f>
        <v>2nd M</v>
      </c>
      <c r="N450" s="15" t="str">
        <f ca="1">IFERROR(__xludf.DUMMYFUNCTION("""COMPUTED_VALUE"""),"accepted")</f>
        <v>accepted</v>
      </c>
      <c r="O450" s="18"/>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row>
    <row r="451" spans="1:80" ht="12.75" hidden="1" customHeight="1">
      <c r="A451" s="20">
        <f ca="1">IFERROR(__xludf.DUMMYFUNCTION("""COMPUTED_VALUE"""),2009)</f>
        <v>2009</v>
      </c>
      <c r="B451" s="45">
        <f ca="1">IFERROR(__xludf.DUMMYFUNCTION("""COMPUTED_VALUE"""),40239)</f>
        <v>40239</v>
      </c>
      <c r="C451" s="46">
        <f ca="1">IFERROR(__xludf.DUMMYFUNCTION("""COMPUTED_VALUE"""),40205)</f>
        <v>40205</v>
      </c>
      <c r="D451" s="47" t="str">
        <f ca="1">IFERROR(__xludf.DUMMYFUNCTION("""COMPUTED_VALUE"""),"Crane")</f>
        <v>Crane</v>
      </c>
      <c r="E451" s="52">
        <f ca="1">IFERROR(__xludf.DUMMYFUNCTION("""COMPUTED_VALUE"""),1)</f>
        <v>1</v>
      </c>
      <c r="F451" s="25"/>
      <c r="G451" s="48" t="str">
        <f ca="1">IFERROR(__xludf.DUMMYFUNCTION("""COMPUTED_VALUE"""),"Meremour Farm, Stowford")</f>
        <v>Meremour Farm, Stowford</v>
      </c>
      <c r="H451" s="22">
        <f ca="1">IFERROR(__xludf.DUMMYFUNCTION("""COMPUTED_VALUE"""),39964)</f>
        <v>39964</v>
      </c>
      <c r="I451" s="23"/>
      <c r="J451" s="24" t="str">
        <f ca="1">IFERROR(__xludf.DUMMYFUNCTION("""COMPUTED_VALUE"""),"Brydges, A")</f>
        <v>Brydges, A</v>
      </c>
      <c r="K451" s="25" t="str">
        <f ca="1">IFERROR(__xludf.DUMMYFUNCTION("""COMPUTED_VALUE"""),"Brydges, A")</f>
        <v>Brydges, A</v>
      </c>
      <c r="L451" s="27" t="str">
        <f ca="1">IFERROR(__xludf.DUMMYFUNCTION("""COMPUTED_VALUE"""),"closed")</f>
        <v>closed</v>
      </c>
      <c r="M451" s="27" t="str">
        <f ca="1">IFERROR(__xludf.DUMMYFUNCTION("""COMPUTED_VALUE"""),"1st U")</f>
        <v>1st U</v>
      </c>
      <c r="N451" s="25" t="str">
        <f ca="1">IFERROR(__xludf.DUMMYFUNCTION("""COMPUTED_VALUE"""),"accepted")</f>
        <v>accepted</v>
      </c>
      <c r="O451" s="28" t="str">
        <f ca="1">IFERROR(__xludf.DUMMYFUNCTION("""COMPUTED_VALUE"""),"missing outer secondiaries/inner priMARIES")</f>
        <v>missing outer secondiaries/inner priMARIES</v>
      </c>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c r="AM451" s="25"/>
      <c r="AN451" s="25"/>
      <c r="AO451" s="25"/>
      <c r="AP451" s="25"/>
      <c r="AQ451" s="25"/>
      <c r="AR451" s="25"/>
      <c r="AS451" s="25"/>
      <c r="AT451" s="25"/>
      <c r="AU451" s="25"/>
      <c r="AV451" s="25"/>
      <c r="AW451" s="25"/>
      <c r="AX451" s="25"/>
      <c r="AY451" s="25"/>
      <c r="AZ451" s="25"/>
      <c r="BA451" s="25"/>
      <c r="BB451" s="25"/>
      <c r="BC451" s="25"/>
      <c r="BD451" s="25"/>
      <c r="BE451" s="25"/>
      <c r="BF451" s="25"/>
      <c r="BG451" s="25"/>
      <c r="BH451" s="25"/>
      <c r="BI451" s="25"/>
      <c r="BJ451" s="25"/>
      <c r="BK451" s="25"/>
      <c r="BL451" s="25"/>
      <c r="BM451" s="25"/>
      <c r="BN451" s="25"/>
      <c r="BO451" s="25"/>
      <c r="BP451" s="25"/>
      <c r="BQ451" s="25"/>
      <c r="BR451" s="25"/>
      <c r="BS451" s="25"/>
      <c r="BT451" s="25"/>
      <c r="BU451" s="25"/>
      <c r="BV451" s="25"/>
      <c r="BW451" s="25"/>
      <c r="BX451" s="25"/>
      <c r="BY451" s="25"/>
      <c r="BZ451" s="25"/>
      <c r="CA451" s="25"/>
      <c r="CB451" s="25"/>
    </row>
    <row r="452" spans="1:80" ht="12.75" hidden="1" customHeight="1">
      <c r="A452" s="10">
        <f ca="1">IFERROR(__xludf.DUMMYFUNCTION("""COMPUTED_VALUE"""),2009)</f>
        <v>2009</v>
      </c>
      <c r="B452" s="50">
        <f ca="1">IFERROR(__xludf.DUMMYFUNCTION("""COMPUTED_VALUE"""),40466)</f>
        <v>40466</v>
      </c>
      <c r="C452" s="41">
        <f ca="1">IFERROR(__xludf.DUMMYFUNCTION("""COMPUTED_VALUE"""),40205)</f>
        <v>40205</v>
      </c>
      <c r="D452" s="42" t="str">
        <f ca="1">IFERROR(__xludf.DUMMYFUNCTION("""COMPUTED_VALUE"""),"Slavonian Grebe")</f>
        <v>Slavonian Grebe</v>
      </c>
      <c r="E452" s="53">
        <f ca="1">IFERROR(__xludf.DUMMYFUNCTION("""COMPUTED_VALUE"""),1)</f>
        <v>1</v>
      </c>
      <c r="F452" s="15"/>
      <c r="G452" s="44" t="str">
        <f ca="1">IFERROR(__xludf.DUMMYFUNCTION("""COMPUTED_VALUE"""),"Rostherne")</f>
        <v>Rostherne</v>
      </c>
      <c r="H452" s="12">
        <f ca="1">IFERROR(__xludf.DUMMYFUNCTION("""COMPUTED_VALUE"""),40152)</f>
        <v>40152</v>
      </c>
      <c r="I452" s="12" t="str">
        <f ca="1">IFERROR(__xludf.DUMMYFUNCTION("""COMPUTED_VALUE"""),"accidentally deleted, acceptedearlier")</f>
        <v>accidentally deleted, acceptedearlier</v>
      </c>
      <c r="J452" s="14" t="str">
        <f ca="1">IFERROR(__xludf.DUMMYFUNCTION("""COMPUTED_VALUE"""),"Barber S&amp;G")</f>
        <v>Barber S&amp;G</v>
      </c>
      <c r="K452" s="15" t="str">
        <f ca="1">IFERROR(__xludf.DUMMYFUNCTION("""COMPUTED_VALUE"""),"Barber S&amp;G")</f>
        <v>Barber S&amp;G</v>
      </c>
      <c r="L452" s="17" t="str">
        <f ca="1">IFERROR(__xludf.DUMMYFUNCTION("""COMPUTED_VALUE"""),"closed")</f>
        <v>closed</v>
      </c>
      <c r="M452" s="17" t="str">
        <f ca="1">IFERROR(__xludf.DUMMYFUNCTION("""COMPUTED_VALUE"""),"1st U")</f>
        <v>1st U</v>
      </c>
      <c r="N452" s="15" t="str">
        <f ca="1">IFERROR(__xludf.DUMMYFUNCTION("""COMPUTED_VALUE"""),"Accepted")</f>
        <v>Accepted</v>
      </c>
      <c r="O452" s="18"/>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row>
    <row r="453" spans="1:80" ht="12.75" hidden="1" customHeight="1">
      <c r="A453" s="20">
        <f ca="1">IFERROR(__xludf.DUMMYFUNCTION("""COMPUTED_VALUE"""),2009)</f>
        <v>2009</v>
      </c>
      <c r="B453" s="45">
        <f ca="1">IFERROR(__xludf.DUMMYFUNCTION("""COMPUTED_VALUE"""),40466)</f>
        <v>40466</v>
      </c>
      <c r="C453" s="46">
        <f ca="1">IFERROR(__xludf.DUMMYFUNCTION("""COMPUTED_VALUE"""),40205)</f>
        <v>40205</v>
      </c>
      <c r="D453" s="47" t="str">
        <f ca="1">IFERROR(__xludf.DUMMYFUNCTION("""COMPUTED_VALUE"""),"Slavonian Grebe")</f>
        <v>Slavonian Grebe</v>
      </c>
      <c r="E453" s="52">
        <f ca="1">IFERROR(__xludf.DUMMYFUNCTION("""COMPUTED_VALUE"""),1)</f>
        <v>1</v>
      </c>
      <c r="F453" s="25"/>
      <c r="G453" s="48" t="str">
        <f ca="1">IFERROR(__xludf.DUMMYFUNCTION("""COMPUTED_VALUE"""),"Hilbre")</f>
        <v>Hilbre</v>
      </c>
      <c r="H453" s="22">
        <f ca="1">IFERROR(__xludf.DUMMYFUNCTION("""COMPUTED_VALUE"""),40140)</f>
        <v>40140</v>
      </c>
      <c r="I453" s="22" t="str">
        <f ca="1">IFERROR(__xludf.DUMMYFUNCTION("""COMPUTED_VALUE"""),"accidentally deleted, acceptedearlier")</f>
        <v>accidentally deleted, acceptedearlier</v>
      </c>
      <c r="J453" s="24" t="str">
        <f ca="1">IFERROR(__xludf.DUMMYFUNCTION("""COMPUTED_VALUE"""),"Hinde, S")</f>
        <v>Hinde, S</v>
      </c>
      <c r="K453" s="25" t="str">
        <f ca="1">IFERROR(__xludf.DUMMYFUNCTION("""COMPUTED_VALUE"""),"Hinde, S")</f>
        <v>Hinde, S</v>
      </c>
      <c r="L453" s="27" t="str">
        <f ca="1">IFERROR(__xludf.DUMMYFUNCTION("""COMPUTED_VALUE"""),"closed")</f>
        <v>closed</v>
      </c>
      <c r="M453" s="27" t="str">
        <f ca="1">IFERROR(__xludf.DUMMYFUNCTION("""COMPUTED_VALUE"""),"1st U")</f>
        <v>1st U</v>
      </c>
      <c r="N453" s="25" t="str">
        <f ca="1">IFERROR(__xludf.DUMMYFUNCTION("""COMPUTED_VALUE"""),"Accepted")</f>
        <v>Accepted</v>
      </c>
      <c r="O453" s="28"/>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5"/>
      <c r="AQ453" s="25"/>
      <c r="AR453" s="25"/>
      <c r="AS453" s="25"/>
      <c r="AT453" s="25"/>
      <c r="AU453" s="25"/>
      <c r="AV453" s="25"/>
      <c r="AW453" s="25"/>
      <c r="AX453" s="25"/>
      <c r="AY453" s="25"/>
      <c r="AZ453" s="25"/>
      <c r="BA453" s="25"/>
      <c r="BB453" s="25"/>
      <c r="BC453" s="25"/>
      <c r="BD453" s="25"/>
      <c r="BE453" s="25"/>
      <c r="BF453" s="25"/>
      <c r="BG453" s="25"/>
      <c r="BH453" s="25"/>
      <c r="BI453" s="25"/>
      <c r="BJ453" s="25"/>
      <c r="BK453" s="25"/>
      <c r="BL453" s="25"/>
      <c r="BM453" s="25"/>
      <c r="BN453" s="25"/>
      <c r="BO453" s="25"/>
      <c r="BP453" s="25"/>
      <c r="BQ453" s="25"/>
      <c r="BR453" s="25"/>
      <c r="BS453" s="25"/>
      <c r="BT453" s="25"/>
      <c r="BU453" s="25"/>
      <c r="BV453" s="25"/>
      <c r="BW453" s="25"/>
      <c r="BX453" s="25"/>
      <c r="BY453" s="25"/>
      <c r="BZ453" s="25"/>
      <c r="CA453" s="25"/>
      <c r="CB453" s="25"/>
    </row>
    <row r="454" spans="1:80" ht="12.75" hidden="1" customHeight="1">
      <c r="A454" s="10">
        <f ca="1">IFERROR(__xludf.DUMMYFUNCTION("""COMPUTED_VALUE"""),2009)</f>
        <v>2009</v>
      </c>
      <c r="B454" s="50">
        <f ca="1">IFERROR(__xludf.DUMMYFUNCTION("""COMPUTED_VALUE"""),40466)</f>
        <v>40466</v>
      </c>
      <c r="C454" s="41">
        <f ca="1">IFERROR(__xludf.DUMMYFUNCTION("""COMPUTED_VALUE"""),40065)</f>
        <v>40065</v>
      </c>
      <c r="D454" s="42" t="str">
        <f ca="1">IFERROR(__xludf.DUMMYFUNCTION("""COMPUTED_VALUE"""),"Stone Curlew")</f>
        <v>Stone Curlew</v>
      </c>
      <c r="E454" s="53">
        <f ca="1">IFERROR(__xludf.DUMMYFUNCTION("""COMPUTED_VALUE"""),1)</f>
        <v>1</v>
      </c>
      <c r="F454" s="15"/>
      <c r="G454" s="44" t="str">
        <f ca="1">IFERROR(__xludf.DUMMYFUNCTION("""COMPUTED_VALUE"""),"Meols")</f>
        <v>Meols</v>
      </c>
      <c r="H454" s="12">
        <f ca="1">IFERROR(__xludf.DUMMYFUNCTION("""COMPUTED_VALUE"""),39933)</f>
        <v>39933</v>
      </c>
      <c r="I454" s="13"/>
      <c r="J454" s="14" t="str">
        <f ca="1">IFERROR(__xludf.DUMMYFUNCTION("""COMPUTED_VALUE"""),"Turner, MG")</f>
        <v>Turner, MG</v>
      </c>
      <c r="K454" s="15" t="str">
        <f ca="1">IFERROR(__xludf.DUMMYFUNCTION("""COMPUTED_VALUE"""),"Turner, MG")</f>
        <v>Turner, MG</v>
      </c>
      <c r="L454" s="17" t="str">
        <f ca="1">IFERROR(__xludf.DUMMYFUNCTION("""COMPUTED_VALUE"""),"closed")</f>
        <v>closed</v>
      </c>
      <c r="M454" s="17" t="str">
        <f ca="1">IFERROR(__xludf.DUMMYFUNCTION("""COMPUTED_VALUE"""),"1st U")</f>
        <v>1st U</v>
      </c>
      <c r="N454" s="15" t="str">
        <f ca="1">IFERROR(__xludf.DUMMYFUNCTION("""COMPUTED_VALUE"""),"Accepted")</f>
        <v>Accepted</v>
      </c>
      <c r="O454" s="18"/>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row>
    <row r="455" spans="1:80" ht="12.75" hidden="1" customHeight="1">
      <c r="A455" s="20">
        <f ca="1">IFERROR(__xludf.DUMMYFUNCTION("""COMPUTED_VALUE"""),2009)</f>
        <v>2009</v>
      </c>
      <c r="B455" s="45">
        <f ca="1">IFERROR(__xludf.DUMMYFUNCTION("""COMPUTED_VALUE"""),40239)</f>
        <v>40239</v>
      </c>
      <c r="C455" s="46">
        <f ca="1">IFERROR(__xludf.DUMMYFUNCTION("""COMPUTED_VALUE"""),40205)</f>
        <v>40205</v>
      </c>
      <c r="D455" s="47" t="str">
        <f ca="1">IFERROR(__xludf.DUMMYFUNCTION("""COMPUTED_VALUE"""),"American Golden Plover")</f>
        <v>American Golden Plover</v>
      </c>
      <c r="E455" s="52">
        <f ca="1">IFERROR(__xludf.DUMMYFUNCTION("""COMPUTED_VALUE"""),1)</f>
        <v>1</v>
      </c>
      <c r="F455" s="25"/>
      <c r="G455" s="48" t="str">
        <f ca="1">IFERROR(__xludf.DUMMYFUNCTION("""COMPUTED_VALUE"""),"Leasowe Lighthouse")</f>
        <v>Leasowe Lighthouse</v>
      </c>
      <c r="H455" s="22">
        <f ca="1">IFERROR(__xludf.DUMMYFUNCTION("""COMPUTED_VALUE"""),40097)</f>
        <v>40097</v>
      </c>
      <c r="I455" s="23"/>
      <c r="J455" s="24" t="str">
        <f ca="1">IFERROR(__xludf.DUMMYFUNCTION("""COMPUTED_VALUE"""),"Conlin, A")</f>
        <v>Conlin, A</v>
      </c>
      <c r="K455" s="25" t="str">
        <f ca="1">IFERROR(__xludf.DUMMYFUNCTION("""COMPUTED_VALUE"""),"Phil Woollen")</f>
        <v>Phil Woollen</v>
      </c>
      <c r="L455" s="27" t="str">
        <f ca="1">IFERROR(__xludf.DUMMYFUNCTION("""COMPUTED_VALUE"""),"closed")</f>
        <v>closed</v>
      </c>
      <c r="M455" s="27" t="str">
        <f ca="1">IFERROR(__xludf.DUMMYFUNCTION("""COMPUTED_VALUE"""),"1st U")</f>
        <v>1st U</v>
      </c>
      <c r="N455" s="25" t="str">
        <f ca="1">IFERROR(__xludf.DUMMYFUNCTION("""COMPUTED_VALUE"""),"accepted")</f>
        <v>accepted</v>
      </c>
      <c r="O455" s="28" t="str">
        <f ca="1">IFERROR(__xludf.DUMMYFUNCTION("""COMPUTED_VALUE"""),"flew through")</f>
        <v>flew through</v>
      </c>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c r="BP455" s="25"/>
      <c r="BQ455" s="25"/>
      <c r="BR455" s="25"/>
      <c r="BS455" s="25"/>
      <c r="BT455" s="25"/>
      <c r="BU455" s="25"/>
      <c r="BV455" s="25"/>
      <c r="BW455" s="25"/>
      <c r="BX455" s="25"/>
      <c r="BY455" s="25"/>
      <c r="BZ455" s="25"/>
      <c r="CA455" s="25"/>
      <c r="CB455" s="25"/>
    </row>
    <row r="456" spans="1:80" ht="12.75" hidden="1" customHeight="1">
      <c r="A456" s="10">
        <f ca="1">IFERROR(__xludf.DUMMYFUNCTION("""COMPUTED_VALUE"""),2009)</f>
        <v>2009</v>
      </c>
      <c r="B456" s="50">
        <f ca="1">IFERROR(__xludf.DUMMYFUNCTION("""COMPUTED_VALUE"""),40336)</f>
        <v>40336</v>
      </c>
      <c r="C456" s="41">
        <f ca="1">IFERROR(__xludf.DUMMYFUNCTION("""COMPUTED_VALUE"""),40245)</f>
        <v>40245</v>
      </c>
      <c r="D456" s="42" t="str">
        <f ca="1">IFERROR(__xludf.DUMMYFUNCTION("""COMPUTED_VALUE"""),"Pectoral Sandpiper")</f>
        <v>Pectoral Sandpiper</v>
      </c>
      <c r="E456" s="53">
        <f ca="1">IFERROR(__xludf.DUMMYFUNCTION("""COMPUTED_VALUE"""),2)</f>
        <v>2</v>
      </c>
      <c r="F456" s="15"/>
      <c r="G456" s="44" t="str">
        <f ca="1">IFERROR(__xludf.DUMMYFUNCTION("""COMPUTED_VALUE"""),"Inner Marsh Farm RSPB")</f>
        <v>Inner Marsh Farm RSPB</v>
      </c>
      <c r="H456" s="12">
        <f ca="1">IFERROR(__xludf.DUMMYFUNCTION("""COMPUTED_VALUE"""),40069)</f>
        <v>40069</v>
      </c>
      <c r="I456" s="12">
        <f ca="1">IFERROR(__xludf.DUMMYFUNCTION("""COMPUTED_VALUE"""),40076)</f>
        <v>40076</v>
      </c>
      <c r="J456" s="14" t="str">
        <f ca="1">IFERROR(__xludf.DUMMYFUNCTION("""COMPUTED_VALUE"""),"King, D")</f>
        <v>King, D</v>
      </c>
      <c r="K456" s="15" t="str">
        <f ca="1">IFERROR(__xludf.DUMMYFUNCTION("""COMPUTED_VALUE"""),"King, D")</f>
        <v>King, D</v>
      </c>
      <c r="L456" s="17" t="str">
        <f ca="1">IFERROR(__xludf.DUMMYFUNCTION("""COMPUTED_VALUE"""),"closed")</f>
        <v>closed</v>
      </c>
      <c r="M456" s="17" t="str">
        <f ca="1">IFERROR(__xludf.DUMMYFUNCTION("""COMPUTED_VALUE"""),"1st U")</f>
        <v>1st U</v>
      </c>
      <c r="N456" s="15" t="str">
        <f ca="1">IFERROR(__xludf.DUMMYFUNCTION("""COMPUTED_VALUE"""),"accepted")</f>
        <v>accepted</v>
      </c>
      <c r="O456" s="18" t="str">
        <f ca="1">IFERROR(__xludf.DUMMYFUNCTION("""COMPUTED_VALUE"""),"Only one person submitted the record")</f>
        <v>Only one person submitted the record</v>
      </c>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row>
    <row r="457" spans="1:80" ht="12.75" hidden="1" customHeight="1">
      <c r="A457" s="20">
        <f ca="1">IFERROR(__xludf.DUMMYFUNCTION("""COMPUTED_VALUE"""),2009)</f>
        <v>2009</v>
      </c>
      <c r="B457" s="45">
        <f ca="1">IFERROR(__xludf.DUMMYFUNCTION("""COMPUTED_VALUE"""),44568)</f>
        <v>44568</v>
      </c>
      <c r="C457" s="46"/>
      <c r="D457" s="47" t="str">
        <f ca="1">IFERROR(__xludf.DUMMYFUNCTION("""COMPUTED_VALUE"""),"Long-billed Dowitcher")</f>
        <v>Long-billed Dowitcher</v>
      </c>
      <c r="E457" s="52">
        <f ca="1">IFERROR(__xludf.DUMMYFUNCTION("""COMPUTED_VALUE"""),1)</f>
        <v>1</v>
      </c>
      <c r="F457" s="25"/>
      <c r="G457" s="48" t="str">
        <f ca="1">IFERROR(__xludf.DUMMYFUNCTION("""COMPUTED_VALUE"""),"Inner Marsh Farm RSPB")</f>
        <v>Inner Marsh Farm RSPB</v>
      </c>
      <c r="H457" s="22">
        <f ca="1">IFERROR(__xludf.DUMMYFUNCTION("""COMPUTED_VALUE"""),40082)</f>
        <v>40082</v>
      </c>
      <c r="I457" s="23"/>
      <c r="J457" s="24"/>
      <c r="K457" s="25"/>
      <c r="L457" s="27" t="str">
        <f ca="1">IFERROR(__xludf.DUMMYFUNCTION("""COMPUTED_VALUE"""),"closed")</f>
        <v>closed</v>
      </c>
      <c r="M457" s="27"/>
      <c r="N457" s="25" t="str">
        <f ca="1">IFERROR(__xludf.DUMMYFUNCTION("""COMPUTED_VALUE"""),"BBRC-OK")</f>
        <v>BBRC-OK</v>
      </c>
      <c r="O457" s="28" t="str">
        <f ca="1">IFERROR(__xludf.DUMMYFUNCTION("""COMPUTED_VALUE"""),"Inner Marsh Farm RSPB, two, juveniles, 26th September to 17th October, photo; presumed one of same, 28th to 31st October; also in Flintshire.")</f>
        <v>Inner Marsh Farm RSPB, two, juveniles, 26th September to 17th October, photo; presumed one of same, 28th to 31st October; also in Flintshire.</v>
      </c>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c r="BS457" s="25"/>
      <c r="BT457" s="25"/>
      <c r="BU457" s="25"/>
      <c r="BV457" s="25"/>
      <c r="BW457" s="25"/>
      <c r="BX457" s="25"/>
      <c r="BY457" s="25"/>
      <c r="BZ457" s="25"/>
      <c r="CA457" s="25"/>
      <c r="CB457" s="25"/>
    </row>
    <row r="458" spans="1:80" ht="12.75" hidden="1" customHeight="1">
      <c r="A458" s="10">
        <f ca="1">IFERROR(__xludf.DUMMYFUNCTION("""COMPUTED_VALUE"""),2009)</f>
        <v>2009</v>
      </c>
      <c r="B458" s="50">
        <f ca="1">IFERROR(__xludf.DUMMYFUNCTION("""COMPUTED_VALUE"""),40239)</f>
        <v>40239</v>
      </c>
      <c r="C458" s="41">
        <f ca="1">IFERROR(__xludf.DUMMYFUNCTION("""COMPUTED_VALUE"""),40205)</f>
        <v>40205</v>
      </c>
      <c r="D458" s="42" t="str">
        <f ca="1">IFERROR(__xludf.DUMMYFUNCTION("""COMPUTED_VALUE"""),"Red-necked Phalarope")</f>
        <v>Red-necked Phalarope</v>
      </c>
      <c r="E458" s="53">
        <f ca="1">IFERROR(__xludf.DUMMYFUNCTION("""COMPUTED_VALUE"""),1)</f>
        <v>1</v>
      </c>
      <c r="F458" s="15"/>
      <c r="G458" s="44" t="str">
        <f ca="1">IFERROR(__xludf.DUMMYFUNCTION("""COMPUTED_VALUE"""),"Heswall Shore")</f>
        <v>Heswall Shore</v>
      </c>
      <c r="H458" s="12">
        <f ca="1">IFERROR(__xludf.DUMMYFUNCTION("""COMPUTED_VALUE"""),40058)</f>
        <v>40058</v>
      </c>
      <c r="I458" s="12">
        <f ca="1">IFERROR(__xludf.DUMMYFUNCTION("""COMPUTED_VALUE"""),40059)</f>
        <v>40059</v>
      </c>
      <c r="J458" s="14" t="str">
        <f ca="1">IFERROR(__xludf.DUMMYFUNCTION("""COMPUTED_VALUE"""),"Hinde, S")</f>
        <v>Hinde, S</v>
      </c>
      <c r="K458" s="15" t="str">
        <f ca="1">IFERROR(__xludf.DUMMYFUNCTION("""COMPUTED_VALUE"""),"Hinde, S")</f>
        <v>Hinde, S</v>
      </c>
      <c r="L458" s="17" t="str">
        <f ca="1">IFERROR(__xludf.DUMMYFUNCTION("""COMPUTED_VALUE"""),"closed")</f>
        <v>closed</v>
      </c>
      <c r="M458" s="17" t="str">
        <f ca="1">IFERROR(__xludf.DUMMYFUNCTION("""COMPUTED_VALUE"""),"1st U")</f>
        <v>1st U</v>
      </c>
      <c r="N458" s="15" t="str">
        <f ca="1">IFERROR(__xludf.DUMMYFUNCTION("""COMPUTED_VALUE"""),"accepted")</f>
        <v>accepted</v>
      </c>
      <c r="O458" s="18" t="str">
        <f ca="1">IFERROR(__xludf.DUMMYFUNCTION("""COMPUTED_VALUE"""),"For a few minutes the phalarope appeared to be stalked by a little egret which followed the bird along the water’s edge and through flocks of redshank and knot. The phalarope did not initially fly off or swim away but ran ahead keeping out of striking dis"&amp;"tance, it did eventually fly across to the opposite bank of the channel.On three occasions the phalarope gently pecked at the rear ends of knot! I was not sure if the phalarope was trying to get the knot to move out of the way or if it was picking insects"&amp;" off the knots plumage for food? On all occasions the knot ignored the phalarope’s behavior.")</f>
        <v>For a few minutes the phalarope appeared to be stalked by a little egret which followed the bird along the water’s edge and through flocks of redshank and knot. The phalarope did not initially fly off or swim away but ran ahead keeping out of striking distance, it did eventually fly across to the opposite bank of the channel.On three occasions the phalarope gently pecked at the rear ends of knot! I was not sure if the phalarope was trying to get the knot to move out of the way or if it was picking insects off the knots plumage for food? On all occasions the knot ignored the phalarope’s behavior.</v>
      </c>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row>
    <row r="459" spans="1:80" ht="12.75" hidden="1" customHeight="1">
      <c r="A459" s="20">
        <f ca="1">IFERROR(__xludf.DUMMYFUNCTION("""COMPUTED_VALUE"""),2009)</f>
        <v>2009</v>
      </c>
      <c r="B459" s="45">
        <f ca="1">IFERROR(__xludf.DUMMYFUNCTION("""COMPUTED_VALUE"""),40239)</f>
        <v>40239</v>
      </c>
      <c r="C459" s="46">
        <f ca="1">IFERROR(__xludf.DUMMYFUNCTION("""COMPUTED_VALUE"""),40205)</f>
        <v>40205</v>
      </c>
      <c r="D459" s="47" t="str">
        <f ca="1">IFERROR(__xludf.DUMMYFUNCTION("""COMPUTED_VALUE"""),"Red-necked Phalarope")</f>
        <v>Red-necked Phalarope</v>
      </c>
      <c r="E459" s="52">
        <f ca="1">IFERROR(__xludf.DUMMYFUNCTION("""COMPUTED_VALUE"""),1)</f>
        <v>1</v>
      </c>
      <c r="F459" s="25"/>
      <c r="G459" s="48" t="str">
        <f ca="1">IFERROR(__xludf.DUMMYFUNCTION("""COMPUTED_VALUE"""),"Leasowe Embankment")</f>
        <v>Leasowe Embankment</v>
      </c>
      <c r="H459" s="22">
        <f ca="1">IFERROR(__xludf.DUMMYFUNCTION("""COMPUTED_VALUE"""),40076)</f>
        <v>40076</v>
      </c>
      <c r="I459" s="23"/>
      <c r="J459" s="24" t="str">
        <f ca="1">IFERROR(__xludf.DUMMYFUNCTION("""COMPUTED_VALUE"""),"Conlin, A")</f>
        <v>Conlin, A</v>
      </c>
      <c r="K459" s="25" t="str">
        <f ca="1">IFERROR(__xludf.DUMMYFUNCTION("""COMPUTED_VALUE"""),"Conlin, A")</f>
        <v>Conlin, A</v>
      </c>
      <c r="L459" s="27" t="str">
        <f ca="1">IFERROR(__xludf.DUMMYFUNCTION("""COMPUTED_VALUE"""),"closed")</f>
        <v>closed</v>
      </c>
      <c r="M459" s="27" t="str">
        <f ca="1">IFERROR(__xludf.DUMMYFUNCTION("""COMPUTED_VALUE"""),"1st U")</f>
        <v>1st U</v>
      </c>
      <c r="N459" s="25" t="str">
        <f ca="1">IFERROR(__xludf.DUMMYFUNCTION("""COMPUTED_VALUE"""),"accepted")</f>
        <v>accepted</v>
      </c>
      <c r="O459" s="28"/>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c r="BN459" s="25"/>
      <c r="BO459" s="25"/>
      <c r="BP459" s="25"/>
      <c r="BQ459" s="25"/>
      <c r="BR459" s="25"/>
      <c r="BS459" s="25"/>
      <c r="BT459" s="25"/>
      <c r="BU459" s="25"/>
      <c r="BV459" s="25"/>
      <c r="BW459" s="25"/>
      <c r="BX459" s="25"/>
      <c r="BY459" s="25"/>
      <c r="BZ459" s="25"/>
      <c r="CA459" s="25"/>
      <c r="CB459" s="25"/>
    </row>
    <row r="460" spans="1:80" ht="12.75" hidden="1" customHeight="1">
      <c r="A460" s="10">
        <f ca="1">IFERROR(__xludf.DUMMYFUNCTION("""COMPUTED_VALUE"""),2009)</f>
        <v>2009</v>
      </c>
      <c r="B460" s="50">
        <f ca="1">IFERROR(__xludf.DUMMYFUNCTION("""COMPUTED_VALUE"""),40239)</f>
        <v>40239</v>
      </c>
      <c r="C460" s="41">
        <f ca="1">IFERROR(__xludf.DUMMYFUNCTION("""COMPUTED_VALUE"""),40205)</f>
        <v>40205</v>
      </c>
      <c r="D460" s="42" t="str">
        <f ca="1">IFERROR(__xludf.DUMMYFUNCTION("""COMPUTED_VALUE"""),"Sabine's Gull")</f>
        <v>Sabine's Gull</v>
      </c>
      <c r="E460" s="53">
        <f ca="1">IFERROR(__xludf.DUMMYFUNCTION("""COMPUTED_VALUE"""),1)</f>
        <v>1</v>
      </c>
      <c r="F460" s="15" t="str">
        <f ca="1">IFERROR(__xludf.DUMMYFUNCTION("""COMPUTED_VALUE"""),"ad")</f>
        <v>ad</v>
      </c>
      <c r="G460" s="44" t="str">
        <f ca="1">IFERROR(__xludf.DUMMYFUNCTION("""COMPUTED_VALUE"""),"New Brighton")</f>
        <v>New Brighton</v>
      </c>
      <c r="H460" s="12">
        <f ca="1">IFERROR(__xludf.DUMMYFUNCTION("""COMPUTED_VALUE"""),40060)</f>
        <v>40060</v>
      </c>
      <c r="I460" s="12"/>
      <c r="J460" s="14" t="str">
        <f ca="1">IFERROR(__xludf.DUMMYFUNCTION("""COMPUTED_VALUE"""),"Conlin, A")</f>
        <v>Conlin, A</v>
      </c>
      <c r="K460" s="15" t="str">
        <f ca="1">IFERROR(__xludf.DUMMYFUNCTION("""COMPUTED_VALUE"""),"?")</f>
        <v>?</v>
      </c>
      <c r="L460" s="61" t="str">
        <f ca="1">IFERROR(__xludf.DUMMYFUNCTION("""COMPUTED_VALUE"""),"closed")</f>
        <v>closed</v>
      </c>
      <c r="M460" s="17" t="str">
        <f ca="1">IFERROR(__xludf.DUMMYFUNCTION("""COMPUTED_VALUE"""),"1st U")</f>
        <v>1st U</v>
      </c>
      <c r="N460" s="15" t="str">
        <f ca="1">IFERROR(__xludf.DUMMYFUNCTION("""COMPUTED_VALUE"""),"accepted")</f>
        <v>accepted</v>
      </c>
      <c r="O460" s="18"/>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row>
    <row r="461" spans="1:80" ht="12.75" hidden="1" customHeight="1">
      <c r="A461" s="20">
        <f ca="1">IFERROR(__xludf.DUMMYFUNCTION("""COMPUTED_VALUE"""),2009)</f>
        <v>2009</v>
      </c>
      <c r="B461" s="45">
        <f ca="1">IFERROR(__xludf.DUMMYFUNCTION("""COMPUTED_VALUE"""),40239)</f>
        <v>40239</v>
      </c>
      <c r="C461" s="46">
        <f ca="1">IFERROR(__xludf.DUMMYFUNCTION("""COMPUTED_VALUE"""),40205)</f>
        <v>40205</v>
      </c>
      <c r="D461" s="47" t="str">
        <f ca="1">IFERROR(__xludf.DUMMYFUNCTION("""COMPUTED_VALUE"""),"Sabine's Gull")</f>
        <v>Sabine's Gull</v>
      </c>
      <c r="E461" s="52">
        <f ca="1">IFERROR(__xludf.DUMMYFUNCTION("""COMPUTED_VALUE"""),2)</f>
        <v>2</v>
      </c>
      <c r="F461" s="25" t="str">
        <f ca="1">IFERROR(__xludf.DUMMYFUNCTION("""COMPUTED_VALUE"""),"ad")</f>
        <v>ad</v>
      </c>
      <c r="G461" s="48" t="str">
        <f ca="1">IFERROR(__xludf.DUMMYFUNCTION("""COMPUTED_VALUE"""),"New Brighton")</f>
        <v>New Brighton</v>
      </c>
      <c r="H461" s="22">
        <f ca="1">IFERROR(__xludf.DUMMYFUNCTION("""COMPUTED_VALUE"""),40060)</f>
        <v>40060</v>
      </c>
      <c r="I461" s="23"/>
      <c r="J461" s="24" t="str">
        <f ca="1">IFERROR(__xludf.DUMMYFUNCTION("""COMPUTED_VALUE"""),"Vaughan, T")</f>
        <v>Vaughan, T</v>
      </c>
      <c r="K461" s="25"/>
      <c r="L461" s="27" t="str">
        <f ca="1">IFERROR(__xludf.DUMMYFUNCTION("""COMPUTED_VALUE"""),"closed")</f>
        <v>closed</v>
      </c>
      <c r="M461" s="27" t="str">
        <f ca="1">IFERROR(__xludf.DUMMYFUNCTION("""COMPUTED_VALUE"""),"1st U")</f>
        <v>1st U</v>
      </c>
      <c r="N461" s="25" t="str">
        <f ca="1">IFERROR(__xludf.DUMMYFUNCTION("""COMPUTED_VALUE"""),"accepted")</f>
        <v>accepted</v>
      </c>
      <c r="O461" s="28"/>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c r="BN461" s="25"/>
      <c r="BO461" s="25"/>
      <c r="BP461" s="25"/>
      <c r="BQ461" s="25"/>
      <c r="BR461" s="25"/>
      <c r="BS461" s="25"/>
      <c r="BT461" s="25"/>
      <c r="BU461" s="25"/>
      <c r="BV461" s="25"/>
      <c r="BW461" s="25"/>
      <c r="BX461" s="25"/>
      <c r="BY461" s="25"/>
      <c r="BZ461" s="25"/>
      <c r="CA461" s="25"/>
      <c r="CB461" s="25"/>
    </row>
    <row r="462" spans="1:80" ht="12.75" hidden="1" customHeight="1">
      <c r="A462" s="10">
        <f ca="1">IFERROR(__xludf.DUMMYFUNCTION("""COMPUTED_VALUE"""),2009)</f>
        <v>2009</v>
      </c>
      <c r="B462" s="50">
        <f ca="1">IFERROR(__xludf.DUMMYFUNCTION("""COMPUTED_VALUE"""),40085)</f>
        <v>40085</v>
      </c>
      <c r="C462" s="41">
        <f ca="1">IFERROR(__xludf.DUMMYFUNCTION("""COMPUTED_VALUE"""),40065)</f>
        <v>40065</v>
      </c>
      <c r="D462" s="42" t="str">
        <f ca="1">IFERROR(__xludf.DUMMYFUNCTION("""COMPUTED_VALUE"""),"Sabine's Gull")</f>
        <v>Sabine's Gull</v>
      </c>
      <c r="E462" s="53">
        <f ca="1">IFERROR(__xludf.DUMMYFUNCTION("""COMPUTED_VALUE"""),1)</f>
        <v>1</v>
      </c>
      <c r="F462" s="15" t="str">
        <f ca="1">IFERROR(__xludf.DUMMYFUNCTION("""COMPUTED_VALUE"""),"ad")</f>
        <v>ad</v>
      </c>
      <c r="G462" s="44" t="str">
        <f ca="1">IFERROR(__xludf.DUMMYFUNCTION("""COMPUTED_VALUE"""),"New Brighton")</f>
        <v>New Brighton</v>
      </c>
      <c r="H462" s="12">
        <f ca="1">IFERROR(__xludf.DUMMYFUNCTION("""COMPUTED_VALUE"""),40060)</f>
        <v>40060</v>
      </c>
      <c r="I462" s="13"/>
      <c r="J462" s="14" t="str">
        <f ca="1">IFERROR(__xludf.DUMMYFUNCTION("""COMPUTED_VALUE"""),"Woollen, P")</f>
        <v>Woollen, P</v>
      </c>
      <c r="K462" s="15" t="str">
        <f ca="1">IFERROR(__xludf.DUMMYFUNCTION("""COMPUTED_VALUE"""),"?")</f>
        <v>?</v>
      </c>
      <c r="L462" s="17" t="str">
        <f ca="1">IFERROR(__xludf.DUMMYFUNCTION("""COMPUTED_VALUE"""),"closed")</f>
        <v>closed</v>
      </c>
      <c r="M462" s="17" t="str">
        <f ca="1">IFERROR(__xludf.DUMMYFUNCTION("""COMPUTED_VALUE"""),"1st U")</f>
        <v>1st U</v>
      </c>
      <c r="N462" s="15" t="str">
        <f ca="1">IFERROR(__xludf.DUMMYFUNCTION("""COMPUTED_VALUE"""),"Accepted")</f>
        <v>Accepted</v>
      </c>
      <c r="O462" s="18"/>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row>
    <row r="463" spans="1:80" ht="12.75" hidden="1" customHeight="1">
      <c r="A463" s="20">
        <f ca="1">IFERROR(__xludf.DUMMYFUNCTION("""COMPUTED_VALUE"""),2009)</f>
        <v>2009</v>
      </c>
      <c r="B463" s="45">
        <f ca="1">IFERROR(__xludf.DUMMYFUNCTION("""COMPUTED_VALUE"""),40239)</f>
        <v>40239</v>
      </c>
      <c r="C463" s="46">
        <f ca="1">IFERROR(__xludf.DUMMYFUNCTION("""COMPUTED_VALUE"""),40205)</f>
        <v>40205</v>
      </c>
      <c r="D463" s="47" t="str">
        <f ca="1">IFERROR(__xludf.DUMMYFUNCTION("""COMPUTED_VALUE"""),"Sabine's Gull")</f>
        <v>Sabine's Gull</v>
      </c>
      <c r="E463" s="52">
        <f ca="1">IFERROR(__xludf.DUMMYFUNCTION("""COMPUTED_VALUE"""),1)</f>
        <v>1</v>
      </c>
      <c r="F463" s="25" t="str">
        <f ca="1">IFERROR(__xludf.DUMMYFUNCTION("""COMPUTED_VALUE"""),"juvenile")</f>
        <v>juvenile</v>
      </c>
      <c r="G463" s="48" t="str">
        <f ca="1">IFERROR(__xludf.DUMMYFUNCTION("""COMPUTED_VALUE"""),"Hoylake")</f>
        <v>Hoylake</v>
      </c>
      <c r="H463" s="22">
        <f ca="1">IFERROR(__xludf.DUMMYFUNCTION("""COMPUTED_VALUE"""),40060)</f>
        <v>40060</v>
      </c>
      <c r="I463" s="23"/>
      <c r="J463" s="24" t="str">
        <f ca="1">IFERROR(__xludf.DUMMYFUNCTION("""COMPUTED_VALUE"""),"Conway,M")</f>
        <v>Conway,M</v>
      </c>
      <c r="K463" s="25" t="str">
        <f ca="1">IFERROR(__xludf.DUMMYFUNCTION("""COMPUTED_VALUE"""),"Marcus Conway")</f>
        <v>Marcus Conway</v>
      </c>
      <c r="L463" s="27" t="str">
        <f ca="1">IFERROR(__xludf.DUMMYFUNCTION("""COMPUTED_VALUE"""),"closed")</f>
        <v>closed</v>
      </c>
      <c r="M463" s="27" t="str">
        <f ca="1">IFERROR(__xludf.DUMMYFUNCTION("""COMPUTED_VALUE"""),"1st U")</f>
        <v>1st U</v>
      </c>
      <c r="N463" s="25" t="str">
        <f ca="1">IFERROR(__xludf.DUMMYFUNCTION("""COMPUTED_VALUE"""),"accepted")</f>
        <v>accepted</v>
      </c>
      <c r="O463" s="28"/>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c r="BH463" s="25"/>
      <c r="BI463" s="25"/>
      <c r="BJ463" s="25"/>
      <c r="BK463" s="25"/>
      <c r="BL463" s="25"/>
      <c r="BM463" s="25"/>
      <c r="BN463" s="25"/>
      <c r="BO463" s="25"/>
      <c r="BP463" s="25"/>
      <c r="BQ463" s="25"/>
      <c r="BR463" s="25"/>
      <c r="BS463" s="25"/>
      <c r="BT463" s="25"/>
      <c r="BU463" s="25"/>
      <c r="BV463" s="25"/>
      <c r="BW463" s="25"/>
      <c r="BX463" s="25"/>
      <c r="BY463" s="25"/>
      <c r="BZ463" s="25"/>
      <c r="CA463" s="25"/>
      <c r="CB463" s="25"/>
    </row>
    <row r="464" spans="1:80" ht="12.75" hidden="1" customHeight="1">
      <c r="A464" s="10">
        <f ca="1">IFERROR(__xludf.DUMMYFUNCTION("""COMPUTED_VALUE"""),2009)</f>
        <v>2009</v>
      </c>
      <c r="B464" s="50">
        <f ca="1">IFERROR(__xludf.DUMMYFUNCTION("""COMPUTED_VALUE"""),40239)</f>
        <v>40239</v>
      </c>
      <c r="C464" s="41">
        <f ca="1">IFERROR(__xludf.DUMMYFUNCTION("""COMPUTED_VALUE"""),40205)</f>
        <v>40205</v>
      </c>
      <c r="D464" s="42" t="str">
        <f ca="1">IFERROR(__xludf.DUMMYFUNCTION("""COMPUTED_VALUE"""),"Sabine's Gull")</f>
        <v>Sabine's Gull</v>
      </c>
      <c r="E464" s="53">
        <f ca="1">IFERROR(__xludf.DUMMYFUNCTION("""COMPUTED_VALUE"""),1)</f>
        <v>1</v>
      </c>
      <c r="F464" s="15" t="str">
        <f ca="1">IFERROR(__xludf.DUMMYFUNCTION("""COMPUTED_VALUE"""),"ad")</f>
        <v>ad</v>
      </c>
      <c r="G464" s="44" t="str">
        <f ca="1">IFERROR(__xludf.DUMMYFUNCTION("""COMPUTED_VALUE"""),"Hoylake ")</f>
        <v xml:space="preserve">Hoylake </v>
      </c>
      <c r="H464" s="12">
        <f ca="1">IFERROR(__xludf.DUMMYFUNCTION("""COMPUTED_VALUE"""),40061)</f>
        <v>40061</v>
      </c>
      <c r="I464" s="13"/>
      <c r="J464" s="14" t="str">
        <f ca="1">IFERROR(__xludf.DUMMYFUNCTION("""COMPUTED_VALUE"""),"Conlin, A")</f>
        <v>Conlin, A</v>
      </c>
      <c r="K464" s="15" t="str">
        <f ca="1">IFERROR(__xludf.DUMMYFUNCTION("""COMPUTED_VALUE"""),"Marcus Conway")</f>
        <v>Marcus Conway</v>
      </c>
      <c r="L464" s="17" t="str">
        <f ca="1">IFERROR(__xludf.DUMMYFUNCTION("""COMPUTED_VALUE"""),"closed")</f>
        <v>closed</v>
      </c>
      <c r="M464" s="17" t="str">
        <f ca="1">IFERROR(__xludf.DUMMYFUNCTION("""COMPUTED_VALUE"""),"1st U")</f>
        <v>1st U</v>
      </c>
      <c r="N464" s="15" t="str">
        <f ca="1">IFERROR(__xludf.DUMMYFUNCTION("""COMPUTED_VALUE"""),"accepted")</f>
        <v>accepted</v>
      </c>
      <c r="O464" s="18"/>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row>
    <row r="465" spans="1:80" ht="12.75" hidden="1" customHeight="1">
      <c r="A465" s="20">
        <f ca="1">IFERROR(__xludf.DUMMYFUNCTION("""COMPUTED_VALUE"""),2009)</f>
        <v>2009</v>
      </c>
      <c r="B465" s="45">
        <f ca="1">IFERROR(__xludf.DUMMYFUNCTION("""COMPUTED_VALUE"""),40336)</f>
        <v>40336</v>
      </c>
      <c r="C465" s="46">
        <f ca="1">IFERROR(__xludf.DUMMYFUNCTION("""COMPUTED_VALUE"""),40245)</f>
        <v>40245</v>
      </c>
      <c r="D465" s="47" t="str">
        <f ca="1">IFERROR(__xludf.DUMMYFUNCTION("""COMPUTED_VALUE"""),"Sabine's Gull")</f>
        <v>Sabine's Gull</v>
      </c>
      <c r="E465" s="52">
        <f ca="1">IFERROR(__xludf.DUMMYFUNCTION("""COMPUTED_VALUE"""),1)</f>
        <v>1</v>
      </c>
      <c r="F465" s="25" t="str">
        <f ca="1">IFERROR(__xludf.DUMMYFUNCTION("""COMPUTED_VALUE"""),"juv")</f>
        <v>juv</v>
      </c>
      <c r="G465" s="48" t="str">
        <f ca="1">IFERROR(__xludf.DUMMYFUNCTION("""COMPUTED_VALUE"""),"Hoylake")</f>
        <v>Hoylake</v>
      </c>
      <c r="H465" s="22">
        <f ca="1">IFERROR(__xludf.DUMMYFUNCTION("""COMPUTED_VALUE"""),40061)</f>
        <v>40061</v>
      </c>
      <c r="I465" s="22"/>
      <c r="J465" s="24" t="str">
        <f ca="1">IFERROR(__xludf.DUMMYFUNCTION("""COMPUTED_VALUE"""),"Williams, SR")</f>
        <v>Williams, SR</v>
      </c>
      <c r="K465" s="25" t="str">
        <f ca="1">IFERROR(__xludf.DUMMYFUNCTION("""COMPUTED_VALUE"""),"Marcus Conway")</f>
        <v>Marcus Conway</v>
      </c>
      <c r="L465" s="27" t="str">
        <f ca="1">IFERROR(__xludf.DUMMYFUNCTION("""COMPUTED_VALUE"""),"closed")</f>
        <v>closed</v>
      </c>
      <c r="M465" s="27" t="str">
        <f ca="1">IFERROR(__xludf.DUMMYFUNCTION("""COMPUTED_VALUE"""),"1st U")</f>
        <v>1st U</v>
      </c>
      <c r="N465" s="25" t="str">
        <f ca="1">IFERROR(__xludf.DUMMYFUNCTION("""COMPUTED_VALUE"""),"accepted")</f>
        <v>accepted</v>
      </c>
      <c r="O465" s="28"/>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c r="BP465" s="25"/>
      <c r="BQ465" s="25"/>
      <c r="BR465" s="25"/>
      <c r="BS465" s="25"/>
      <c r="BT465" s="25"/>
      <c r="BU465" s="25"/>
      <c r="BV465" s="25"/>
      <c r="BW465" s="25"/>
      <c r="BX465" s="25"/>
      <c r="BY465" s="25"/>
      <c r="BZ465" s="25"/>
      <c r="CA465" s="25"/>
      <c r="CB465" s="25"/>
    </row>
    <row r="466" spans="1:80" ht="12.75" hidden="1" customHeight="1">
      <c r="A466" s="10">
        <f ca="1">IFERROR(__xludf.DUMMYFUNCTION("""COMPUTED_VALUE"""),2009)</f>
        <v>2009</v>
      </c>
      <c r="B466" s="50">
        <f ca="1">IFERROR(__xludf.DUMMYFUNCTION("""COMPUTED_VALUE"""),40239)</f>
        <v>40239</v>
      </c>
      <c r="C466" s="41">
        <f ca="1">IFERROR(__xludf.DUMMYFUNCTION("""COMPUTED_VALUE"""),40205)</f>
        <v>40205</v>
      </c>
      <c r="D466" s="42" t="str">
        <f ca="1">IFERROR(__xludf.DUMMYFUNCTION("""COMPUTED_VALUE"""),"Sabine's Gull")</f>
        <v>Sabine's Gull</v>
      </c>
      <c r="E466" s="53">
        <f ca="1">IFERROR(__xludf.DUMMYFUNCTION("""COMPUTED_VALUE"""),3)</f>
        <v>3</v>
      </c>
      <c r="F466" s="15" t="str">
        <f ca="1">IFERROR(__xludf.DUMMYFUNCTION("""COMPUTED_VALUE"""),"juvenile")</f>
        <v>juvenile</v>
      </c>
      <c r="G466" s="44" t="str">
        <f ca="1">IFERROR(__xludf.DUMMYFUNCTION("""COMPUTED_VALUE"""),"Leasowe (Gunsight)")</f>
        <v>Leasowe (Gunsight)</v>
      </c>
      <c r="H466" s="12">
        <f ca="1">IFERROR(__xludf.DUMMYFUNCTION("""COMPUTED_VALUE"""),40060)</f>
        <v>40060</v>
      </c>
      <c r="I466" s="12"/>
      <c r="J466" s="14" t="str">
        <f ca="1">IFERROR(__xludf.DUMMYFUNCTION("""COMPUTED_VALUE"""),"Conlin, A")</f>
        <v>Conlin, A</v>
      </c>
      <c r="K466" s="15" t="str">
        <f ca="1">IFERROR(__xludf.DUMMYFUNCTION("""COMPUTED_VALUE"""),"Conlin, A")</f>
        <v>Conlin, A</v>
      </c>
      <c r="L466" s="17" t="str">
        <f ca="1">IFERROR(__xludf.DUMMYFUNCTION("""COMPUTED_VALUE"""),"closed")</f>
        <v>closed</v>
      </c>
      <c r="M466" s="17" t="str">
        <f ca="1">IFERROR(__xludf.DUMMYFUNCTION("""COMPUTED_VALUE"""),"1st U")</f>
        <v>1st U</v>
      </c>
      <c r="N466" s="15" t="str">
        <f ca="1">IFERROR(__xludf.DUMMYFUNCTION("""COMPUTED_VALUE"""),"accepted")</f>
        <v>accepted</v>
      </c>
      <c r="O466" s="18"/>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row>
    <row r="467" spans="1:80" ht="12.75" hidden="1" customHeight="1">
      <c r="A467" s="20">
        <f ca="1">IFERROR(__xludf.DUMMYFUNCTION("""COMPUTED_VALUE"""),2009)</f>
        <v>2009</v>
      </c>
      <c r="B467" s="45">
        <f ca="1">IFERROR(__xludf.DUMMYFUNCTION("""COMPUTED_VALUE"""),40239)</f>
        <v>40239</v>
      </c>
      <c r="C467" s="46">
        <f ca="1">IFERROR(__xludf.DUMMYFUNCTION("""COMPUTED_VALUE"""),40205)</f>
        <v>40205</v>
      </c>
      <c r="D467" s="47" t="str">
        <f ca="1">IFERROR(__xludf.DUMMYFUNCTION("""COMPUTED_VALUE"""),"Sabine's Gull")</f>
        <v>Sabine's Gull</v>
      </c>
      <c r="E467" s="52">
        <f ca="1">IFERROR(__xludf.DUMMYFUNCTION("""COMPUTED_VALUE"""),1)</f>
        <v>1</v>
      </c>
      <c r="F467" s="25" t="str">
        <f ca="1">IFERROR(__xludf.DUMMYFUNCTION("""COMPUTED_VALUE"""),"ad")</f>
        <v>ad</v>
      </c>
      <c r="G467" s="48" t="str">
        <f ca="1">IFERROR(__xludf.DUMMYFUNCTION("""COMPUTED_VALUE"""),"Wallasey")</f>
        <v>Wallasey</v>
      </c>
      <c r="H467" s="22">
        <f ca="1">IFERROR(__xludf.DUMMYFUNCTION("""COMPUTED_VALUE"""),40060)</f>
        <v>40060</v>
      </c>
      <c r="I467" s="23"/>
      <c r="J467" s="24" t="str">
        <f ca="1">IFERROR(__xludf.DUMMYFUNCTION("""COMPUTED_VALUE"""),"Kelsall, D")</f>
        <v>Kelsall, D</v>
      </c>
      <c r="K467" s="25" t="str">
        <f ca="1">IFERROR(__xludf.DUMMYFUNCTION("""COMPUTED_VALUE"""),"?")</f>
        <v>?</v>
      </c>
      <c r="L467" s="27" t="str">
        <f ca="1">IFERROR(__xludf.DUMMYFUNCTION("""COMPUTED_VALUE"""),"closed")</f>
        <v>closed</v>
      </c>
      <c r="M467" s="27" t="str">
        <f ca="1">IFERROR(__xludf.DUMMYFUNCTION("""COMPUTED_VALUE"""),"1st U")</f>
        <v>1st U</v>
      </c>
      <c r="N467" s="25" t="str">
        <f ca="1">IFERROR(__xludf.DUMMYFUNCTION("""COMPUTED_VALUE"""),"accepted")</f>
        <v>accepted</v>
      </c>
      <c r="O467" s="28"/>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c r="BN467" s="25"/>
      <c r="BO467" s="25"/>
      <c r="BP467" s="25"/>
      <c r="BQ467" s="25"/>
      <c r="BR467" s="25"/>
      <c r="BS467" s="25"/>
      <c r="BT467" s="25"/>
      <c r="BU467" s="25"/>
      <c r="BV467" s="25"/>
      <c r="BW467" s="25"/>
      <c r="BX467" s="25"/>
      <c r="BY467" s="25"/>
      <c r="BZ467" s="25"/>
      <c r="CA467" s="25"/>
      <c r="CB467" s="25"/>
    </row>
    <row r="468" spans="1:80" ht="12.75" hidden="1" customHeight="1">
      <c r="A468" s="10">
        <f ca="1">IFERROR(__xludf.DUMMYFUNCTION("""COMPUTED_VALUE"""),2009)</f>
        <v>2009</v>
      </c>
      <c r="B468" s="50">
        <f ca="1">IFERROR(__xludf.DUMMYFUNCTION("""COMPUTED_VALUE"""),40466)</f>
        <v>40466</v>
      </c>
      <c r="C468" s="41"/>
      <c r="D468" s="42" t="str">
        <f ca="1">IFERROR(__xludf.DUMMYFUNCTION("""COMPUTED_VALUE"""),"Sabine's Gull")</f>
        <v>Sabine's Gull</v>
      </c>
      <c r="E468" s="53">
        <f ca="1">IFERROR(__xludf.DUMMYFUNCTION("""COMPUTED_VALUE"""),2)</f>
        <v>2</v>
      </c>
      <c r="F468" s="15" t="str">
        <f ca="1">IFERROR(__xludf.DUMMYFUNCTION("""COMPUTED_VALUE"""),"juv")</f>
        <v>juv</v>
      </c>
      <c r="G468" s="44" t="str">
        <f ca="1">IFERROR(__xludf.DUMMYFUNCTION("""COMPUTED_VALUE"""),"Leasowe")</f>
        <v>Leasowe</v>
      </c>
      <c r="H468" s="12">
        <f ca="1">IFERROR(__xludf.DUMMYFUNCTION("""COMPUTED_VALUE"""),40060)</f>
        <v>40060</v>
      </c>
      <c r="I468" s="13"/>
      <c r="J468" s="14" t="str">
        <f ca="1">IFERROR(__xludf.DUMMYFUNCTION("""COMPUTED_VALUE"""),"Bradshaw, J")</f>
        <v>Bradshaw, J</v>
      </c>
      <c r="K468" s="15"/>
      <c r="L468" s="17" t="str">
        <f ca="1">IFERROR(__xludf.DUMMYFUNCTION("""COMPUTED_VALUE"""),"closed")</f>
        <v>closed</v>
      </c>
      <c r="M468" s="17" t="str">
        <f ca="1">IFERROR(__xludf.DUMMYFUNCTION("""COMPUTED_VALUE"""),"1st U")</f>
        <v>1st U</v>
      </c>
      <c r="N468" s="15" t="str">
        <f ca="1">IFERROR(__xludf.DUMMYFUNCTION("""COMPUTED_VALUE"""),"accepted")</f>
        <v>accepted</v>
      </c>
      <c r="O468" s="18"/>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row>
    <row r="469" spans="1:80" ht="12.75" hidden="1" customHeight="1">
      <c r="A469" s="20">
        <f ca="1">IFERROR(__xludf.DUMMYFUNCTION("""COMPUTED_VALUE"""),2009)</f>
        <v>2009</v>
      </c>
      <c r="B469" s="45">
        <f ca="1">IFERROR(__xludf.DUMMYFUNCTION("""COMPUTED_VALUE"""),40336)</f>
        <v>40336</v>
      </c>
      <c r="C469" s="46">
        <f ca="1">IFERROR(__xludf.DUMMYFUNCTION("""COMPUTED_VALUE"""),40245)</f>
        <v>40245</v>
      </c>
      <c r="D469" s="47" t="str">
        <f ca="1">IFERROR(__xludf.DUMMYFUNCTION("""COMPUTED_VALUE"""),"Sabine's Gull")</f>
        <v>Sabine's Gull</v>
      </c>
      <c r="E469" s="52">
        <f ca="1">IFERROR(__xludf.DUMMYFUNCTION("""COMPUTED_VALUE"""),1)</f>
        <v>1</v>
      </c>
      <c r="F469" s="25" t="str">
        <f ca="1">IFERROR(__xludf.DUMMYFUNCTION("""COMPUTED_VALUE"""),"juv")</f>
        <v>juv</v>
      </c>
      <c r="G469" s="48" t="str">
        <f ca="1">IFERROR(__xludf.DUMMYFUNCTION("""COMPUTED_VALUE"""),"Hilbre")</f>
        <v>Hilbre</v>
      </c>
      <c r="H469" s="22">
        <f ca="1">IFERROR(__xludf.DUMMYFUNCTION("""COMPUTED_VALUE"""),40061)</f>
        <v>40061</v>
      </c>
      <c r="I469" s="23"/>
      <c r="J469" s="24" t="str">
        <f ca="1">IFERROR(__xludf.DUMMYFUNCTION("""COMPUTED_VALUE"""),"Williams, SR")</f>
        <v>Williams, SR</v>
      </c>
      <c r="K469" s="25" t="str">
        <f ca="1">IFERROR(__xludf.DUMMYFUNCTION("""COMPUTED_VALUE"""),"Phil Woollen")</f>
        <v>Phil Woollen</v>
      </c>
      <c r="L469" s="27" t="str">
        <f ca="1">IFERROR(__xludf.DUMMYFUNCTION("""COMPUTED_VALUE"""),"closed")</f>
        <v>closed</v>
      </c>
      <c r="M469" s="27" t="str">
        <f ca="1">IFERROR(__xludf.DUMMYFUNCTION("""COMPUTED_VALUE"""),"1st U")</f>
        <v>1st U</v>
      </c>
      <c r="N469" s="25" t="str">
        <f ca="1">IFERROR(__xludf.DUMMYFUNCTION("""COMPUTED_VALUE"""),"accepted")</f>
        <v>accepted</v>
      </c>
      <c r="O469" s="28"/>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c r="BH469" s="25"/>
      <c r="BI469" s="25"/>
      <c r="BJ469" s="25"/>
      <c r="BK469" s="25"/>
      <c r="BL469" s="25"/>
      <c r="BM469" s="25"/>
      <c r="BN469" s="25"/>
      <c r="BO469" s="25"/>
      <c r="BP469" s="25"/>
      <c r="BQ469" s="25"/>
      <c r="BR469" s="25"/>
      <c r="BS469" s="25"/>
      <c r="BT469" s="25"/>
      <c r="BU469" s="25"/>
      <c r="BV469" s="25"/>
      <c r="BW469" s="25"/>
      <c r="BX469" s="25"/>
      <c r="BY469" s="25"/>
      <c r="BZ469" s="25"/>
      <c r="CA469" s="25"/>
      <c r="CB469" s="25"/>
    </row>
    <row r="470" spans="1:80" ht="12.75" hidden="1" customHeight="1">
      <c r="A470" s="10">
        <f ca="1">IFERROR(__xludf.DUMMYFUNCTION("""COMPUTED_VALUE"""),2009)</f>
        <v>2009</v>
      </c>
      <c r="B470" s="50">
        <f ca="1">IFERROR(__xludf.DUMMYFUNCTION("""COMPUTED_VALUE"""),40085)</f>
        <v>40085</v>
      </c>
      <c r="C470" s="41">
        <f ca="1">IFERROR(__xludf.DUMMYFUNCTION("""COMPUTED_VALUE"""),40065)</f>
        <v>40065</v>
      </c>
      <c r="D470" s="42" t="str">
        <f ca="1">IFERROR(__xludf.DUMMYFUNCTION("""COMPUTED_VALUE"""),"Ring-billed Gull")</f>
        <v>Ring-billed Gull</v>
      </c>
      <c r="E470" s="53">
        <f ca="1">IFERROR(__xludf.DUMMYFUNCTION("""COMPUTED_VALUE"""),2)</f>
        <v>2</v>
      </c>
      <c r="F470" s="15" t="str">
        <f ca="1">IFERROR(__xludf.DUMMYFUNCTION("""COMPUTED_VALUE"""),"adw")</f>
        <v>adw</v>
      </c>
      <c r="G470" s="44" t="str">
        <f ca="1">IFERROR(__xludf.DUMMYFUNCTION("""COMPUTED_VALUE"""),"Richmond Bank")</f>
        <v>Richmond Bank</v>
      </c>
      <c r="H470" s="12">
        <f ca="1">IFERROR(__xludf.DUMMYFUNCTION("""COMPUTED_VALUE"""),39848)</f>
        <v>39848</v>
      </c>
      <c r="I470" s="12">
        <f ca="1">IFERROR(__xludf.DUMMYFUNCTION("""COMPUTED_VALUE"""),39858)</f>
        <v>39858</v>
      </c>
      <c r="J470" s="14" t="str">
        <f ca="1">IFERROR(__xludf.DUMMYFUNCTION("""COMPUTED_VALUE"""),"Kinsella, P")</f>
        <v>Kinsella, P</v>
      </c>
      <c r="K470" s="15" t="str">
        <f ca="1">IFERROR(__xludf.DUMMYFUNCTION("""COMPUTED_VALUE"""),"Kinsella, P")</f>
        <v>Kinsella, P</v>
      </c>
      <c r="L470" s="17" t="str">
        <f ca="1">IFERROR(__xludf.DUMMYFUNCTION("""COMPUTED_VALUE"""),"closed")</f>
        <v>closed</v>
      </c>
      <c r="M470" s="17" t="str">
        <f ca="1">IFERROR(__xludf.DUMMYFUNCTION("""COMPUTED_VALUE"""),"1st U")</f>
        <v>1st U</v>
      </c>
      <c r="N470" s="15" t="str">
        <f ca="1">IFERROR(__xludf.DUMMYFUNCTION("""COMPUTED_VALUE"""),"Accepted")</f>
        <v>Accepted</v>
      </c>
      <c r="O470" s="18"/>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row>
    <row r="471" spans="1:80" ht="12.75" hidden="1" customHeight="1">
      <c r="A471" s="20">
        <f ca="1">IFERROR(__xludf.DUMMYFUNCTION("""COMPUTED_VALUE"""),2009)</f>
        <v>2009</v>
      </c>
      <c r="B471" s="45">
        <f ca="1">IFERROR(__xludf.DUMMYFUNCTION("""COMPUTED_VALUE"""),39955)</f>
        <v>39955</v>
      </c>
      <c r="C471" s="46">
        <f ca="1">IFERROR(__xludf.DUMMYFUNCTION("""COMPUTED_VALUE"""),39921)</f>
        <v>39921</v>
      </c>
      <c r="D471" s="47" t="str">
        <f ca="1">IFERROR(__xludf.DUMMYFUNCTION("""COMPUTED_VALUE"""),"Ring-billed Gull")</f>
        <v>Ring-billed Gull</v>
      </c>
      <c r="E471" s="52">
        <f ca="1">IFERROR(__xludf.DUMMYFUNCTION("""COMPUTED_VALUE"""),1)</f>
        <v>1</v>
      </c>
      <c r="F471" s="25" t="str">
        <f ca="1">IFERROR(__xludf.DUMMYFUNCTION("""COMPUTED_VALUE"""),"ad")</f>
        <v>ad</v>
      </c>
      <c r="G471" s="48" t="str">
        <f ca="1">IFERROR(__xludf.DUMMYFUNCTION("""COMPUTED_VALUE"""),"Richmond Bank")</f>
        <v>Richmond Bank</v>
      </c>
      <c r="H471" s="22">
        <f ca="1">IFERROR(__xludf.DUMMYFUNCTION("""COMPUTED_VALUE"""),39858)</f>
        <v>39858</v>
      </c>
      <c r="I471" s="23"/>
      <c r="J471" s="24" t="str">
        <f ca="1">IFERROR(__xludf.DUMMYFUNCTION("""COMPUTED_VALUE"""),"Woollen, P")</f>
        <v>Woollen, P</v>
      </c>
      <c r="K471" s="25" t="str">
        <f ca="1">IFERROR(__xludf.DUMMYFUNCTION("""COMPUTED_VALUE"""),"Pete Kinsella")</f>
        <v>Pete Kinsella</v>
      </c>
      <c r="L471" s="27" t="str">
        <f ca="1">IFERROR(__xludf.DUMMYFUNCTION("""COMPUTED_VALUE"""),"closed")</f>
        <v>closed</v>
      </c>
      <c r="M471" s="27" t="str">
        <f ca="1">IFERROR(__xludf.DUMMYFUNCTION("""COMPUTED_VALUE"""),"1st U")</f>
        <v>1st U</v>
      </c>
      <c r="N471" s="25" t="str">
        <f ca="1">IFERROR(__xludf.DUMMYFUNCTION("""COMPUTED_VALUE"""),"Accepted")</f>
        <v>Accepted</v>
      </c>
      <c r="O471" s="28" t="str">
        <f ca="1">IFERROR(__xludf.DUMMYFUNCTION("""COMPUTED_VALUE"""),"different individual to 4/1/09")</f>
        <v>different individual to 4/1/09</v>
      </c>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c r="BS471" s="25"/>
      <c r="BT471" s="25"/>
      <c r="BU471" s="25"/>
      <c r="BV471" s="25"/>
      <c r="BW471" s="25"/>
      <c r="BX471" s="25"/>
      <c r="BY471" s="25"/>
      <c r="BZ471" s="25"/>
      <c r="CA471" s="25"/>
      <c r="CB471" s="25"/>
    </row>
    <row r="472" spans="1:80" ht="12.75" hidden="1" customHeight="1">
      <c r="A472" s="10">
        <f ca="1">IFERROR(__xludf.DUMMYFUNCTION("""COMPUTED_VALUE"""),2009)</f>
        <v>2009</v>
      </c>
      <c r="B472" s="50">
        <f ca="1">IFERROR(__xludf.DUMMYFUNCTION("""COMPUTED_VALUE"""),40245)</f>
        <v>40245</v>
      </c>
      <c r="C472" s="41">
        <f ca="1">IFERROR(__xludf.DUMMYFUNCTION("""COMPUTED_VALUE"""),39921)</f>
        <v>39921</v>
      </c>
      <c r="D472" s="42" t="str">
        <f ca="1">IFERROR(__xludf.DUMMYFUNCTION("""COMPUTED_VALUE"""),"Ring-billed Gull")</f>
        <v>Ring-billed Gull</v>
      </c>
      <c r="E472" s="53">
        <f ca="1">IFERROR(__xludf.DUMMYFUNCTION("""COMPUTED_VALUE"""),1)</f>
        <v>1</v>
      </c>
      <c r="F472" s="15" t="str">
        <f ca="1">IFERROR(__xludf.DUMMYFUNCTION("""COMPUTED_VALUE"""),"ad")</f>
        <v>ad</v>
      </c>
      <c r="G472" s="44" t="str">
        <f ca="1">IFERROR(__xludf.DUMMYFUNCTION("""COMPUTED_VALUE"""),"Birchwood Pool, Moore NR")</f>
        <v>Birchwood Pool, Moore NR</v>
      </c>
      <c r="H472" s="12">
        <f ca="1">IFERROR(__xludf.DUMMYFUNCTION("""COMPUTED_VALUE"""),39848)</f>
        <v>39848</v>
      </c>
      <c r="I472" s="13"/>
      <c r="J472" s="14" t="str">
        <f ca="1">IFERROR(__xludf.DUMMYFUNCTION("""COMPUTED_VALUE"""),"Conway, A")</f>
        <v>Conway, A</v>
      </c>
      <c r="K472" s="15" t="str">
        <f ca="1">IFERROR(__xludf.DUMMYFUNCTION("""COMPUTED_VALUE"""),"Tony Conway")</f>
        <v>Tony Conway</v>
      </c>
      <c r="L472" s="17" t="str">
        <f ca="1">IFERROR(__xludf.DUMMYFUNCTION("""COMPUTED_VALUE"""),"closed")</f>
        <v>closed</v>
      </c>
      <c r="M472" s="17" t="str">
        <f ca="1">IFERROR(__xludf.DUMMYFUNCTION("""COMPUTED_VALUE"""),"1st U")</f>
        <v>1st U</v>
      </c>
      <c r="N472" s="15" t="str">
        <f ca="1">IFERROR(__xludf.DUMMYFUNCTION("""COMPUTED_VALUE"""),"Accepted")</f>
        <v>Accepted</v>
      </c>
      <c r="O472" s="18" t="str">
        <f ca="1">IFERROR(__xludf.DUMMYFUNCTION("""COMPUTED_VALUE"""),"date was wrong on original circulation - 2009005")</f>
        <v>date was wrong on original circulation - 2009005</v>
      </c>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row>
    <row r="473" spans="1:80" ht="12.75" hidden="1" customHeight="1">
      <c r="A473" s="20">
        <f ca="1">IFERROR(__xludf.DUMMYFUNCTION("""COMPUTED_VALUE"""),2009)</f>
        <v>2009</v>
      </c>
      <c r="B473" s="45">
        <f ca="1">IFERROR(__xludf.DUMMYFUNCTION("""COMPUTED_VALUE"""),39955)</f>
        <v>39955</v>
      </c>
      <c r="C473" s="46">
        <f ca="1">IFERROR(__xludf.DUMMYFUNCTION("""COMPUTED_VALUE"""),39921)</f>
        <v>39921</v>
      </c>
      <c r="D473" s="47" t="str">
        <f ca="1">IFERROR(__xludf.DUMMYFUNCTION("""COMPUTED_VALUE"""),"Caspian Gull")</f>
        <v>Caspian Gull</v>
      </c>
      <c r="E473" s="52">
        <f ca="1">IFERROR(__xludf.DUMMYFUNCTION("""COMPUTED_VALUE"""),1)</f>
        <v>1</v>
      </c>
      <c r="F473" s="25" t="str">
        <f ca="1">IFERROR(__xludf.DUMMYFUNCTION("""COMPUTED_VALUE"""),"ad")</f>
        <v>ad</v>
      </c>
      <c r="G473" s="48" t="str">
        <f ca="1">IFERROR(__xludf.DUMMYFUNCTION("""COMPUTED_VALUE"""),"Sandbach")</f>
        <v>Sandbach</v>
      </c>
      <c r="H473" s="22">
        <f ca="1">IFERROR(__xludf.DUMMYFUNCTION("""COMPUTED_VALUE"""),39842)</f>
        <v>39842</v>
      </c>
      <c r="I473" s="22">
        <f ca="1">IFERROR(__xludf.DUMMYFUNCTION("""COMPUTED_VALUE"""),39849)</f>
        <v>39849</v>
      </c>
      <c r="J473" s="24" t="str">
        <f ca="1">IFERROR(__xludf.DUMMYFUNCTION("""COMPUTED_VALUE"""),"Jones, R (Bob)")</f>
        <v>Jones, R (Bob)</v>
      </c>
      <c r="K473" s="25" t="str">
        <f ca="1">IFERROR(__xludf.DUMMYFUNCTION("""COMPUTED_VALUE"""),"Dave Norbury")</f>
        <v>Dave Norbury</v>
      </c>
      <c r="L473" s="27" t="str">
        <f ca="1">IFERROR(__xludf.DUMMYFUNCTION("""COMPUTED_VALUE"""),"closed")</f>
        <v>closed</v>
      </c>
      <c r="M473" s="27" t="str">
        <f ca="1">IFERROR(__xludf.DUMMYFUNCTION("""COMPUTED_VALUE"""),"1st U")</f>
        <v>1st U</v>
      </c>
      <c r="N473" s="25" t="str">
        <f ca="1">IFERROR(__xludf.DUMMYFUNCTION("""COMPUTED_VALUE"""),"Accepted")</f>
        <v>Accepted</v>
      </c>
      <c r="O473" s="28"/>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c r="BU473" s="25"/>
      <c r="BV473" s="25"/>
      <c r="BW473" s="25"/>
      <c r="BX473" s="25"/>
      <c r="BY473" s="25"/>
      <c r="BZ473" s="25"/>
      <c r="CA473" s="25"/>
      <c r="CB473" s="25"/>
    </row>
    <row r="474" spans="1:80" ht="12.75" hidden="1" customHeight="1">
      <c r="A474" s="10">
        <f ca="1">IFERROR(__xludf.DUMMYFUNCTION("""COMPUTED_VALUE"""),2009)</f>
        <v>2009</v>
      </c>
      <c r="B474" s="50">
        <f ca="1">IFERROR(__xludf.DUMMYFUNCTION("""COMPUTED_VALUE"""),39967)</f>
        <v>39967</v>
      </c>
      <c r="C474" s="41">
        <f ca="1">IFERROR(__xludf.DUMMYFUNCTION("""COMPUTED_VALUE"""),39921)</f>
        <v>39921</v>
      </c>
      <c r="D474" s="42" t="str">
        <f ca="1">IFERROR(__xludf.DUMMYFUNCTION("""COMPUTED_VALUE"""),"Caspian Gull")</f>
        <v>Caspian Gull</v>
      </c>
      <c r="E474" s="53">
        <f ca="1">IFERROR(__xludf.DUMMYFUNCTION("""COMPUTED_VALUE"""),1)</f>
        <v>1</v>
      </c>
      <c r="F474" s="15" t="str">
        <f ca="1">IFERROR(__xludf.DUMMYFUNCTION("""COMPUTED_VALUE"""),"1st W")</f>
        <v>1st W</v>
      </c>
      <c r="G474" s="44" t="str">
        <f ca="1">IFERROR(__xludf.DUMMYFUNCTION("""COMPUTED_VALUE"""),"Moore")</f>
        <v>Moore</v>
      </c>
      <c r="H474" s="12">
        <f ca="1">IFERROR(__xludf.DUMMYFUNCTION("""COMPUTED_VALUE"""),39863)</f>
        <v>39863</v>
      </c>
      <c r="I474" s="13"/>
      <c r="J474" s="14" t="str">
        <f ca="1">IFERROR(__xludf.DUMMYFUNCTION("""COMPUTED_VALUE"""),"Kinsella, P")</f>
        <v>Kinsella, P</v>
      </c>
      <c r="K474" s="15"/>
      <c r="L474" s="17" t="str">
        <f ca="1">IFERROR(__xludf.DUMMYFUNCTION("""COMPUTED_VALUE"""),"closed")</f>
        <v>closed</v>
      </c>
      <c r="M474" s="17" t="str">
        <f ca="1">IFERROR(__xludf.DUMMYFUNCTION("""COMPUTED_VALUE"""),"2nd U")</f>
        <v>2nd U</v>
      </c>
      <c r="N474" s="15" t="str">
        <f ca="1">IFERROR(__xludf.DUMMYFUNCTION("""COMPUTED_VALUE"""),"Accepted")</f>
        <v>Accepted</v>
      </c>
      <c r="O474" s="18"/>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row>
    <row r="475" spans="1:80" ht="12.75" hidden="1" customHeight="1">
      <c r="A475" s="20">
        <f ca="1">IFERROR(__xludf.DUMMYFUNCTION("""COMPUTED_VALUE"""),2009)</f>
        <v>2009</v>
      </c>
      <c r="B475" s="45">
        <f ca="1">IFERROR(__xludf.DUMMYFUNCTION("""COMPUTED_VALUE"""),40239)</f>
        <v>40239</v>
      </c>
      <c r="C475" s="46">
        <f ca="1">IFERROR(__xludf.DUMMYFUNCTION("""COMPUTED_VALUE"""),40205)</f>
        <v>40205</v>
      </c>
      <c r="D475" s="47" t="str">
        <f ca="1">IFERROR(__xludf.DUMMYFUNCTION("""COMPUTED_VALUE"""),"Caspian Gull")</f>
        <v>Caspian Gull</v>
      </c>
      <c r="E475" s="52">
        <f ca="1">IFERROR(__xludf.DUMMYFUNCTION("""COMPUTED_VALUE"""),1)</f>
        <v>1</v>
      </c>
      <c r="F475" s="25" t="str">
        <f ca="1">IFERROR(__xludf.DUMMYFUNCTION("""COMPUTED_VALUE"""),"4th W")</f>
        <v>4th W</v>
      </c>
      <c r="G475" s="48" t="str">
        <f ca="1">IFERROR(__xludf.DUMMYFUNCTION("""COMPUTED_VALUE"""),"Moore Tip (Arply)")</f>
        <v>Moore Tip (Arply)</v>
      </c>
      <c r="H475" s="22">
        <f ca="1">IFERROR(__xludf.DUMMYFUNCTION("""COMPUTED_VALUE"""),39823)</f>
        <v>39823</v>
      </c>
      <c r="I475" s="22"/>
      <c r="J475" s="24" t="str">
        <f ca="1">IFERROR(__xludf.DUMMYFUNCTION("""COMPUTED_VALUE"""),"Vaughan, T")</f>
        <v>Vaughan, T</v>
      </c>
      <c r="K475" s="25" t="str">
        <f ca="1">IFERROR(__xludf.DUMMYFUNCTION("""COMPUTED_VALUE"""),"Vaughan, T")</f>
        <v>Vaughan, T</v>
      </c>
      <c r="L475" s="27" t="str">
        <f ca="1">IFERROR(__xludf.DUMMYFUNCTION("""COMPUTED_VALUE"""),"closed")</f>
        <v>closed</v>
      </c>
      <c r="M475" s="27" t="str">
        <f ca="1">IFERROR(__xludf.DUMMYFUNCTION("""COMPUTED_VALUE"""),"1st U")</f>
        <v>1st U</v>
      </c>
      <c r="N475" s="25" t="str">
        <f ca="1">IFERROR(__xludf.DUMMYFUNCTION("""COMPUTED_VALUE"""),"accepted")</f>
        <v>accepted</v>
      </c>
      <c r="O475" s="28"/>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25"/>
      <c r="BR475" s="25"/>
      <c r="BS475" s="25"/>
      <c r="BT475" s="25"/>
      <c r="BU475" s="25"/>
      <c r="BV475" s="25"/>
      <c r="BW475" s="25"/>
      <c r="BX475" s="25"/>
      <c r="BY475" s="25"/>
      <c r="BZ475" s="25"/>
      <c r="CA475" s="25"/>
      <c r="CB475" s="25"/>
    </row>
    <row r="476" spans="1:80" ht="12.75" hidden="1" customHeight="1">
      <c r="A476" s="10">
        <f ca="1">IFERROR(__xludf.DUMMYFUNCTION("""COMPUTED_VALUE"""),2009)</f>
        <v>2009</v>
      </c>
      <c r="B476" s="50">
        <f ca="1">IFERROR(__xludf.DUMMYFUNCTION("""COMPUTED_VALUE"""),40736)</f>
        <v>40736</v>
      </c>
      <c r="C476" s="41">
        <f ca="1">IFERROR(__xludf.DUMMYFUNCTION("""COMPUTED_VALUE"""),40606)</f>
        <v>40606</v>
      </c>
      <c r="D476" s="42" t="str">
        <f ca="1">IFERROR(__xludf.DUMMYFUNCTION("""COMPUTED_VALUE"""),"Caspian Gull")</f>
        <v>Caspian Gull</v>
      </c>
      <c r="E476" s="53">
        <f ca="1">IFERROR(__xludf.DUMMYFUNCTION("""COMPUTED_VALUE"""),1)</f>
        <v>1</v>
      </c>
      <c r="F476" s="15" t="str">
        <f ca="1">IFERROR(__xludf.DUMMYFUNCTION("""COMPUTED_VALUE"""),"Ad")</f>
        <v>Ad</v>
      </c>
      <c r="G476" s="44" t="str">
        <f ca="1">IFERROR(__xludf.DUMMYFUNCTION("""COMPUTED_VALUE"""),"Richmond Bank")</f>
        <v>Richmond Bank</v>
      </c>
      <c r="H476" s="12">
        <f ca="1">IFERROR(__xludf.DUMMYFUNCTION("""COMPUTED_VALUE"""),39863)</f>
        <v>39863</v>
      </c>
      <c r="I476" s="13"/>
      <c r="J476" s="14" t="str">
        <f ca="1">IFERROR(__xludf.DUMMYFUNCTION("""COMPUTED_VALUE"""),"Kinsella, P")</f>
        <v>Kinsella, P</v>
      </c>
      <c r="K476" s="15" t="str">
        <f ca="1">IFERROR(__xludf.DUMMYFUNCTION("""COMPUTED_VALUE"""),"Pete Kinsella")</f>
        <v>Pete Kinsella</v>
      </c>
      <c r="L476" s="17" t="str">
        <f ca="1">IFERROR(__xludf.DUMMYFUNCTION("""COMPUTED_VALUE"""),"closed")</f>
        <v>closed</v>
      </c>
      <c r="M476" s="17"/>
      <c r="N476" s="15" t="str">
        <f ca="1">IFERROR(__xludf.DUMMYFUNCTION("""COMPUTED_VALUE"""),"accepted")</f>
        <v>accepted</v>
      </c>
      <c r="O476" s="18"/>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row>
    <row r="477" spans="1:80" ht="12.75" hidden="1" customHeight="1">
      <c r="A477" s="20">
        <f ca="1">IFERROR(__xludf.DUMMYFUNCTION("""COMPUTED_VALUE"""),2009)</f>
        <v>2009</v>
      </c>
      <c r="B477" s="45">
        <f ca="1">IFERROR(__xludf.DUMMYFUNCTION("""COMPUTED_VALUE"""),40736)</f>
        <v>40736</v>
      </c>
      <c r="C477" s="46">
        <f ca="1">IFERROR(__xludf.DUMMYFUNCTION("""COMPUTED_VALUE"""),40610)</f>
        <v>40610</v>
      </c>
      <c r="D477" s="47" t="str">
        <f ca="1">IFERROR(__xludf.DUMMYFUNCTION("""COMPUTED_VALUE"""),"Caspian Gull")</f>
        <v>Caspian Gull</v>
      </c>
      <c r="E477" s="52">
        <f ca="1">IFERROR(__xludf.DUMMYFUNCTION("""COMPUTED_VALUE"""),2)</f>
        <v>2</v>
      </c>
      <c r="F477" s="25" t="str">
        <f ca="1">IFERROR(__xludf.DUMMYFUNCTION("""COMPUTED_VALUE"""),"1st w")</f>
        <v>1st w</v>
      </c>
      <c r="G477" s="48" t="str">
        <f ca="1">IFERROR(__xludf.DUMMYFUNCTION("""COMPUTED_VALUE"""),"Sandbach")</f>
        <v>Sandbach</v>
      </c>
      <c r="H477" s="22">
        <f ca="1">IFERROR(__xludf.DUMMYFUNCTION("""COMPUTED_VALUE"""),39858)</f>
        <v>39858</v>
      </c>
      <c r="I477" s="23"/>
      <c r="J477" s="24" t="str">
        <f ca="1">IFERROR(__xludf.DUMMYFUNCTION("""COMPUTED_VALUE"""),"Kinsella, P")</f>
        <v>Kinsella, P</v>
      </c>
      <c r="K477" s="25" t="str">
        <f ca="1">IFERROR(__xludf.DUMMYFUNCTION("""COMPUTED_VALUE"""),"?")</f>
        <v>?</v>
      </c>
      <c r="L477" s="27" t="str">
        <f ca="1">IFERROR(__xludf.DUMMYFUNCTION("""COMPUTED_VALUE"""),"closed")</f>
        <v>closed</v>
      </c>
      <c r="M477" s="27" t="str">
        <f ca="1">IFERROR(__xludf.DUMMYFUNCTION("""COMPUTED_VALUE"""),"2nd U")</f>
        <v>2nd U</v>
      </c>
      <c r="N477" s="25" t="str">
        <f ca="1">IFERROR(__xludf.DUMMYFUNCTION("""COMPUTED_VALUE"""),"accepted")</f>
        <v>accepted</v>
      </c>
      <c r="O477" s="28"/>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c r="BS477" s="25"/>
      <c r="BT477" s="25"/>
      <c r="BU477" s="25"/>
      <c r="BV477" s="25"/>
      <c r="BW477" s="25"/>
      <c r="BX477" s="25"/>
      <c r="BY477" s="25"/>
      <c r="BZ477" s="25"/>
      <c r="CA477" s="25"/>
      <c r="CB477" s="25"/>
    </row>
    <row r="478" spans="1:80" ht="12.75" hidden="1" customHeight="1">
      <c r="A478" s="10">
        <f ca="1">IFERROR(__xludf.DUMMYFUNCTION("""COMPUTED_VALUE"""),2009)</f>
        <v>2009</v>
      </c>
      <c r="B478" s="50">
        <f ca="1">IFERROR(__xludf.DUMMYFUNCTION("""COMPUTED_VALUE"""),39955)</f>
        <v>39955</v>
      </c>
      <c r="C478" s="41">
        <f ca="1">IFERROR(__xludf.DUMMYFUNCTION("""COMPUTED_VALUE"""),39921)</f>
        <v>39921</v>
      </c>
      <c r="D478" s="42" t="str">
        <f ca="1">IFERROR(__xludf.DUMMYFUNCTION("""COMPUTED_VALUE"""),"Black-throated Diver")</f>
        <v>Black-throated Diver</v>
      </c>
      <c r="E478" s="53">
        <f ca="1">IFERROR(__xludf.DUMMYFUNCTION("""COMPUTED_VALUE"""),1)</f>
        <v>1</v>
      </c>
      <c r="F478" s="15"/>
      <c r="G478" s="44" t="str">
        <f ca="1">IFERROR(__xludf.DUMMYFUNCTION("""COMPUTED_VALUE"""),"Red Rocks, Hoylake")</f>
        <v>Red Rocks, Hoylake</v>
      </c>
      <c r="H478" s="12">
        <f ca="1">IFERROR(__xludf.DUMMYFUNCTION("""COMPUTED_VALUE"""),39826)</f>
        <v>39826</v>
      </c>
      <c r="I478" s="13"/>
      <c r="J478" s="14" t="str">
        <f ca="1">IFERROR(__xludf.DUMMYFUNCTION("""COMPUTED_VALUE"""),"Turner, MG")</f>
        <v>Turner, MG</v>
      </c>
      <c r="K478" s="15" t="str">
        <f ca="1">IFERROR(__xludf.DUMMYFUNCTION("""COMPUTED_VALUE"""),"Turner, MG")</f>
        <v>Turner, MG</v>
      </c>
      <c r="L478" s="17" t="str">
        <f ca="1">IFERROR(__xludf.DUMMYFUNCTION("""COMPUTED_VALUE"""),"closed")</f>
        <v>closed</v>
      </c>
      <c r="M478" s="17" t="str">
        <f ca="1">IFERROR(__xludf.DUMMYFUNCTION("""COMPUTED_VALUE"""),"1st U")</f>
        <v>1st U</v>
      </c>
      <c r="N478" s="15" t="str">
        <f ca="1">IFERROR(__xludf.DUMMYFUNCTION("""COMPUTED_VALUE"""),"Accepted")</f>
        <v>Accepted</v>
      </c>
      <c r="O478" s="18"/>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row>
    <row r="479" spans="1:80" ht="12.75" hidden="1" customHeight="1">
      <c r="A479" s="20">
        <f ca="1">IFERROR(__xludf.DUMMYFUNCTION("""COMPUTED_VALUE"""),2009)</f>
        <v>2009</v>
      </c>
      <c r="B479" s="45">
        <f ca="1">IFERROR(__xludf.DUMMYFUNCTION("""COMPUTED_VALUE"""),40253)</f>
        <v>40253</v>
      </c>
      <c r="C479" s="46">
        <f ca="1">IFERROR(__xludf.DUMMYFUNCTION("""COMPUTED_VALUE"""),40240)</f>
        <v>40240</v>
      </c>
      <c r="D479" s="47" t="str">
        <f ca="1">IFERROR(__xludf.DUMMYFUNCTION("""COMPUTED_VALUE"""),"Black-throated Diver")</f>
        <v>Black-throated Diver</v>
      </c>
      <c r="E479" s="52">
        <f ca="1">IFERROR(__xludf.DUMMYFUNCTION("""COMPUTED_VALUE"""),1)</f>
        <v>1</v>
      </c>
      <c r="F479" s="25"/>
      <c r="G479" s="48" t="str">
        <f ca="1">IFERROR(__xludf.DUMMYFUNCTION("""COMPUTED_VALUE"""),"Woolston Eyes")</f>
        <v>Woolston Eyes</v>
      </c>
      <c r="H479" s="22">
        <f ca="1">IFERROR(__xludf.DUMMYFUNCTION("""COMPUTED_VALUE"""),39852)</f>
        <v>39852</v>
      </c>
      <c r="I479" s="22"/>
      <c r="J479" s="24"/>
      <c r="K479" s="25"/>
      <c r="L479" s="27" t="str">
        <f ca="1">IFERROR(__xludf.DUMMYFUNCTION("""COMPUTED_VALUE"""),"closed")</f>
        <v>closed</v>
      </c>
      <c r="M479" s="27" t="str">
        <f ca="1">IFERROR(__xludf.DUMMYFUNCTION("""COMPUTED_VALUE"""),"2nd U")</f>
        <v>2nd U</v>
      </c>
      <c r="N479" s="25" t="str">
        <f ca="1">IFERROR(__xludf.DUMMYFUNCTION("""COMPUTED_VALUE"""),"unproven")</f>
        <v>unproven</v>
      </c>
      <c r="O479" s="28" t="str">
        <f ca="1">IFERROR(__xludf.DUMMYFUNCTION("""COMPUTED_VALUE"""),"accepted as Diver spp")</f>
        <v>accepted as Diver spp</v>
      </c>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c r="BH479" s="25"/>
      <c r="BI479" s="25"/>
      <c r="BJ479" s="25"/>
      <c r="BK479" s="25"/>
      <c r="BL479" s="25"/>
      <c r="BM479" s="25"/>
      <c r="BN479" s="25"/>
      <c r="BO479" s="25"/>
      <c r="BP479" s="25"/>
      <c r="BQ479" s="25"/>
      <c r="BR479" s="25"/>
      <c r="BS479" s="25"/>
      <c r="BT479" s="25"/>
      <c r="BU479" s="25"/>
      <c r="BV479" s="25"/>
      <c r="BW479" s="25"/>
      <c r="BX479" s="25"/>
      <c r="BY479" s="25"/>
      <c r="BZ479" s="25"/>
      <c r="CA479" s="25"/>
      <c r="CB479" s="25"/>
    </row>
    <row r="480" spans="1:80" ht="12.75" hidden="1" customHeight="1">
      <c r="A480" s="10">
        <f ca="1">IFERROR(__xludf.DUMMYFUNCTION("""COMPUTED_VALUE"""),2009)</f>
        <v>2009</v>
      </c>
      <c r="B480" s="50">
        <f ca="1">IFERROR(__xludf.DUMMYFUNCTION("""COMPUTED_VALUE"""),40466)</f>
        <v>40466</v>
      </c>
      <c r="C480" s="41"/>
      <c r="D480" s="42" t="str">
        <f ca="1">IFERROR(__xludf.DUMMYFUNCTION("""COMPUTED_VALUE"""),"Black-throated Diver")</f>
        <v>Black-throated Diver</v>
      </c>
      <c r="E480" s="53">
        <f ca="1">IFERROR(__xludf.DUMMYFUNCTION("""COMPUTED_VALUE"""),1)</f>
        <v>1</v>
      </c>
      <c r="F480" s="15"/>
      <c r="G480" s="44" t="str">
        <f ca="1">IFERROR(__xludf.DUMMYFUNCTION("""COMPUTED_VALUE"""),"Red Rocks, Hoylake")</f>
        <v>Red Rocks, Hoylake</v>
      </c>
      <c r="H480" s="12">
        <f ca="1">IFERROR(__xludf.DUMMYFUNCTION("""COMPUTED_VALUE"""),39859)</f>
        <v>39859</v>
      </c>
      <c r="I480" s="12">
        <f ca="1">IFERROR(__xludf.DUMMYFUNCTION("""COMPUTED_VALUE"""),39859)</f>
        <v>39859</v>
      </c>
      <c r="J480" s="14" t="str">
        <f ca="1">IFERROR(__xludf.DUMMYFUNCTION("""COMPUTED_VALUE"""),"Woollen, P")</f>
        <v>Woollen, P</v>
      </c>
      <c r="K480" s="15"/>
      <c r="L480" s="17" t="str">
        <f ca="1">IFERROR(__xludf.DUMMYFUNCTION("""COMPUTED_VALUE"""),"closed")</f>
        <v>closed</v>
      </c>
      <c r="M480" s="17"/>
      <c r="N480" s="15" t="str">
        <f ca="1">IFERROR(__xludf.DUMMYFUNCTION("""COMPUTED_VALUE"""),"accepted")</f>
        <v>accepted</v>
      </c>
      <c r="O480" s="18"/>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row>
    <row r="481" spans="1:80" ht="12.75" hidden="1" customHeight="1">
      <c r="A481" s="20">
        <f ca="1">IFERROR(__xludf.DUMMYFUNCTION("""COMPUTED_VALUE"""),2009)</f>
        <v>2009</v>
      </c>
      <c r="B481" s="45">
        <f ca="1">IFERROR(__xludf.DUMMYFUNCTION("""COMPUTED_VALUE"""),40253)</f>
        <v>40253</v>
      </c>
      <c r="C481" s="46">
        <f ca="1">IFERROR(__xludf.DUMMYFUNCTION("""COMPUTED_VALUE"""),40240)</f>
        <v>40240</v>
      </c>
      <c r="D481" s="47" t="str">
        <f ca="1">IFERROR(__xludf.DUMMYFUNCTION("""COMPUTED_VALUE"""),"Diver spp")</f>
        <v>Diver spp</v>
      </c>
      <c r="E481" s="52">
        <f ca="1">IFERROR(__xludf.DUMMYFUNCTION("""COMPUTED_VALUE"""),1)</f>
        <v>1</v>
      </c>
      <c r="F481" s="25"/>
      <c r="G481" s="48" t="str">
        <f ca="1">IFERROR(__xludf.DUMMYFUNCTION("""COMPUTED_VALUE"""),"Woolston Eyes")</f>
        <v>Woolston Eyes</v>
      </c>
      <c r="H481" s="22">
        <f ca="1">IFERROR(__xludf.DUMMYFUNCTION("""COMPUTED_VALUE"""),39852)</f>
        <v>39852</v>
      </c>
      <c r="I481" s="22"/>
      <c r="J481" s="24" t="str">
        <f ca="1">IFERROR(__xludf.DUMMYFUNCTION("""COMPUTED_VALUE"""),"Shaw, C")</f>
        <v>Shaw, C</v>
      </c>
      <c r="K481" s="25" t="str">
        <f ca="1">IFERROR(__xludf.DUMMYFUNCTION("""COMPUTED_VALUE"""),"Shaw, C")</f>
        <v>Shaw, C</v>
      </c>
      <c r="L481" s="27" t="str">
        <f ca="1">IFERROR(__xludf.DUMMYFUNCTION("""COMPUTED_VALUE"""),"closed")</f>
        <v>closed</v>
      </c>
      <c r="M481" s="27" t="str">
        <f ca="1">IFERROR(__xludf.DUMMYFUNCTION("""COMPUTED_VALUE"""),"1st U")</f>
        <v>1st U</v>
      </c>
      <c r="N481" s="25" t="str">
        <f ca="1">IFERROR(__xludf.DUMMYFUNCTION("""COMPUTED_VALUE"""),"accepted")</f>
        <v>accepted</v>
      </c>
      <c r="O481" s="28"/>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c r="BH481" s="25"/>
      <c r="BI481" s="25"/>
      <c r="BJ481" s="25"/>
      <c r="BK481" s="25"/>
      <c r="BL481" s="25"/>
      <c r="BM481" s="25"/>
      <c r="BN481" s="25"/>
      <c r="BO481" s="25"/>
      <c r="BP481" s="25"/>
      <c r="BQ481" s="25"/>
      <c r="BR481" s="25"/>
      <c r="BS481" s="25"/>
      <c r="BT481" s="25"/>
      <c r="BU481" s="25"/>
      <c r="BV481" s="25"/>
      <c r="BW481" s="25"/>
      <c r="BX481" s="25"/>
      <c r="BY481" s="25"/>
      <c r="BZ481" s="25"/>
      <c r="CA481" s="25"/>
      <c r="CB481" s="25"/>
    </row>
    <row r="482" spans="1:80" ht="13.5" hidden="1" customHeight="1">
      <c r="A482" s="10">
        <f ca="1">IFERROR(__xludf.DUMMYFUNCTION("""COMPUTED_VALUE"""),2009)</f>
        <v>2009</v>
      </c>
      <c r="B482" s="50">
        <f ca="1">IFERROR(__xludf.DUMMYFUNCTION("""COMPUTED_VALUE"""),40466)</f>
        <v>40466</v>
      </c>
      <c r="C482" s="41">
        <f ca="1">IFERROR(__xludf.DUMMYFUNCTION("""COMPUTED_VALUE"""),40205)</f>
        <v>40205</v>
      </c>
      <c r="D482" s="42" t="str">
        <f ca="1">IFERROR(__xludf.DUMMYFUNCTION("""COMPUTED_VALUE"""),"Sooty Shearwater")</f>
        <v>Sooty Shearwater</v>
      </c>
      <c r="E482" s="53">
        <f ca="1">IFERROR(__xludf.DUMMYFUNCTION("""COMPUTED_VALUE"""),1)</f>
        <v>1</v>
      </c>
      <c r="F482" s="15"/>
      <c r="G482" s="44" t="str">
        <f ca="1">IFERROR(__xludf.DUMMYFUNCTION("""COMPUTED_VALUE"""),"New Brighton")</f>
        <v>New Brighton</v>
      </c>
      <c r="H482" s="12">
        <f ca="1">IFERROR(__xludf.DUMMYFUNCTION("""COMPUTED_VALUE"""),40060)</f>
        <v>40060</v>
      </c>
      <c r="I482" s="13"/>
      <c r="J482" s="14" t="str">
        <f ca="1">IFERROR(__xludf.DUMMYFUNCTION("""COMPUTED_VALUE"""),"Vaughan, T")</f>
        <v>Vaughan, T</v>
      </c>
      <c r="K482" s="15" t="str">
        <f ca="1">IFERROR(__xludf.DUMMYFUNCTION("""COMPUTED_VALUE"""),"Vaughan, T")</f>
        <v>Vaughan, T</v>
      </c>
      <c r="L482" s="17" t="str">
        <f ca="1">IFERROR(__xludf.DUMMYFUNCTION("""COMPUTED_VALUE"""),"closed")</f>
        <v>closed</v>
      </c>
      <c r="M482" s="17" t="str">
        <f ca="1">IFERROR(__xludf.DUMMYFUNCTION("""COMPUTED_VALUE"""),"1st U")</f>
        <v>1st U</v>
      </c>
      <c r="N482" s="15" t="str">
        <f ca="1">IFERROR(__xludf.DUMMYFUNCTION("""COMPUTED_VALUE"""),"accepted")</f>
        <v>accepted</v>
      </c>
      <c r="O482" s="18" t="str">
        <f ca="1">IFERROR(__xludf.DUMMYFUNCTION("""COMPUTED_VALUE"""),"accidentally deleted, accepted in previous version and re added here")</f>
        <v>accidentally deleted, accepted in previous version and re added here</v>
      </c>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row>
    <row r="483" spans="1:80" ht="12.75" hidden="1" customHeight="1">
      <c r="A483" s="20">
        <f ca="1">IFERROR(__xludf.DUMMYFUNCTION("""COMPUTED_VALUE"""),2009)</f>
        <v>2009</v>
      </c>
      <c r="B483" s="45">
        <f ca="1">IFERROR(__xludf.DUMMYFUNCTION("""COMPUTED_VALUE"""),40085)</f>
        <v>40085</v>
      </c>
      <c r="C483" s="46">
        <f ca="1">IFERROR(__xludf.DUMMYFUNCTION("""COMPUTED_VALUE"""),40065)</f>
        <v>40065</v>
      </c>
      <c r="D483" s="47" t="str">
        <f ca="1">IFERROR(__xludf.DUMMYFUNCTION("""COMPUTED_VALUE"""),"Balearic Shearwater")</f>
        <v>Balearic Shearwater</v>
      </c>
      <c r="E483" s="52">
        <f ca="1">IFERROR(__xludf.DUMMYFUNCTION("""COMPUTED_VALUE"""),1)</f>
        <v>1</v>
      </c>
      <c r="F483" s="25"/>
      <c r="G483" s="48" t="str">
        <f ca="1">IFERROR(__xludf.DUMMYFUNCTION("""COMPUTED_VALUE"""),"Red Rocks, Hoylake")</f>
        <v>Red Rocks, Hoylake</v>
      </c>
      <c r="H483" s="22">
        <f ca="1">IFERROR(__xludf.DUMMYFUNCTION("""COMPUTED_VALUE"""),39941)</f>
        <v>39941</v>
      </c>
      <c r="I483" s="23"/>
      <c r="J483" s="24" t="str">
        <f ca="1">IFERROR(__xludf.DUMMYFUNCTION("""COMPUTED_VALUE"""),"Turner, MG")</f>
        <v>Turner, MG</v>
      </c>
      <c r="K483" s="25" t="str">
        <f ca="1">IFERROR(__xludf.DUMMYFUNCTION("""COMPUTED_VALUE"""),"Turner, MG")</f>
        <v>Turner, MG</v>
      </c>
      <c r="L483" s="27" t="str">
        <f ca="1">IFERROR(__xludf.DUMMYFUNCTION("""COMPUTED_VALUE"""),"closed")</f>
        <v>closed</v>
      </c>
      <c r="M483" s="27" t="str">
        <f ca="1">IFERROR(__xludf.DUMMYFUNCTION("""COMPUTED_VALUE"""),"1st U")</f>
        <v>1st U</v>
      </c>
      <c r="N483" s="25" t="str">
        <f ca="1">IFERROR(__xludf.DUMMYFUNCTION("""COMPUTED_VALUE"""),"Accepted")</f>
        <v>Accepted</v>
      </c>
      <c r="O483" s="28"/>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c r="BP483" s="25"/>
      <c r="BQ483" s="25"/>
      <c r="BR483" s="25"/>
      <c r="BS483" s="25"/>
      <c r="BT483" s="25"/>
      <c r="BU483" s="25"/>
      <c r="BV483" s="25"/>
      <c r="BW483" s="25"/>
      <c r="BX483" s="25"/>
      <c r="BY483" s="25"/>
      <c r="BZ483" s="25"/>
      <c r="CA483" s="25"/>
      <c r="CB483" s="25"/>
    </row>
    <row r="484" spans="1:80" ht="12.75" hidden="1" customHeight="1">
      <c r="A484" s="10">
        <f ca="1">IFERROR(__xludf.DUMMYFUNCTION("""COMPUTED_VALUE"""),2009)</f>
        <v>2009</v>
      </c>
      <c r="B484" s="50">
        <f ca="1">IFERROR(__xludf.DUMMYFUNCTION("""COMPUTED_VALUE"""),40336)</f>
        <v>40336</v>
      </c>
      <c r="C484" s="41">
        <f ca="1">IFERROR(__xludf.DUMMYFUNCTION("""COMPUTED_VALUE"""),40245)</f>
        <v>40245</v>
      </c>
      <c r="D484" s="42" t="str">
        <f ca="1">IFERROR(__xludf.DUMMYFUNCTION("""COMPUTED_VALUE"""),"Balearic Shearwater")</f>
        <v>Balearic Shearwater</v>
      </c>
      <c r="E484" s="53">
        <f ca="1">IFERROR(__xludf.DUMMYFUNCTION("""COMPUTED_VALUE"""),1)</f>
        <v>1</v>
      </c>
      <c r="F484" s="15"/>
      <c r="G484" s="44" t="str">
        <f ca="1">IFERROR(__xludf.DUMMYFUNCTION("""COMPUTED_VALUE"""),"Hilbre")</f>
        <v>Hilbre</v>
      </c>
      <c r="H484" s="12">
        <f ca="1">IFERROR(__xludf.DUMMYFUNCTION("""COMPUTED_VALUE"""),40059)</f>
        <v>40059</v>
      </c>
      <c r="I484" s="13"/>
      <c r="J484" s="14" t="str">
        <f ca="1">IFERROR(__xludf.DUMMYFUNCTION("""COMPUTED_VALUE"""),"Williams, SR")</f>
        <v>Williams, SR</v>
      </c>
      <c r="K484" s="15" t="str">
        <f ca="1">IFERROR(__xludf.DUMMYFUNCTION("""COMPUTED_VALUE"""),"Williams, SR")</f>
        <v>Williams, SR</v>
      </c>
      <c r="L484" s="17" t="str">
        <f ca="1">IFERROR(__xludf.DUMMYFUNCTION("""COMPUTED_VALUE"""),"closed")</f>
        <v>closed</v>
      </c>
      <c r="M484" s="17" t="str">
        <f ca="1">IFERROR(__xludf.DUMMYFUNCTION("""COMPUTED_VALUE"""),"1st U")</f>
        <v>1st U</v>
      </c>
      <c r="N484" s="15" t="str">
        <f ca="1">IFERROR(__xludf.DUMMYFUNCTION("""COMPUTED_VALUE"""),"accepted")</f>
        <v>accepted</v>
      </c>
      <c r="O484" s="18"/>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row>
    <row r="485" spans="1:80" ht="12.75" hidden="1" customHeight="1">
      <c r="A485" s="20">
        <f ca="1">IFERROR(__xludf.DUMMYFUNCTION("""COMPUTED_VALUE"""),2009)</f>
        <v>2009</v>
      </c>
      <c r="B485" s="45">
        <f ca="1">IFERROR(__xludf.DUMMYFUNCTION("""COMPUTED_VALUE"""),39955)</f>
        <v>39955</v>
      </c>
      <c r="C485" s="46">
        <f ca="1">IFERROR(__xludf.DUMMYFUNCTION("""COMPUTED_VALUE"""),39921)</f>
        <v>39921</v>
      </c>
      <c r="D485" s="47" t="str">
        <f ca="1">IFERROR(__xludf.DUMMYFUNCTION("""COMPUTED_VALUE"""),"Cattle Egret")</f>
        <v>Cattle Egret</v>
      </c>
      <c r="E485" s="52">
        <f ca="1">IFERROR(__xludf.DUMMYFUNCTION("""COMPUTED_VALUE"""),1)</f>
        <v>1</v>
      </c>
      <c r="F485" s="25"/>
      <c r="G485" s="48" t="str">
        <f ca="1">IFERROR(__xludf.DUMMYFUNCTION("""COMPUTED_VALUE"""),"Frodsham")</f>
        <v>Frodsham</v>
      </c>
      <c r="H485" s="22">
        <f ca="1">IFERROR(__xludf.DUMMYFUNCTION("""COMPUTED_VALUE"""),39888)</f>
        <v>39888</v>
      </c>
      <c r="I485" s="23"/>
      <c r="J485" s="24" t="str">
        <f ca="1">IFERROR(__xludf.DUMMYFUNCTION("""COMPUTED_VALUE"""),"Woollen, P")</f>
        <v>Woollen, P</v>
      </c>
      <c r="K485" s="25" t="str">
        <f ca="1">IFERROR(__xludf.DUMMYFUNCTION("""COMPUTED_VALUE"""),"Roy and Audrey Griffiths")</f>
        <v>Roy and Audrey Griffiths</v>
      </c>
      <c r="L485" s="27" t="str">
        <f ca="1">IFERROR(__xludf.DUMMYFUNCTION("""COMPUTED_VALUE"""),"closed")</f>
        <v>closed</v>
      </c>
      <c r="M485" s="27" t="str">
        <f ca="1">IFERROR(__xludf.DUMMYFUNCTION("""COMPUTED_VALUE"""),"1st U")</f>
        <v>1st U</v>
      </c>
      <c r="N485" s="25" t="str">
        <f ca="1">IFERROR(__xludf.DUMMYFUNCTION("""COMPUTED_VALUE"""),"Accepted")</f>
        <v>Accepted</v>
      </c>
      <c r="O485" s="28"/>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c r="BP485" s="25"/>
      <c r="BQ485" s="25"/>
      <c r="BR485" s="25"/>
      <c r="BS485" s="25"/>
      <c r="BT485" s="25"/>
      <c r="BU485" s="25"/>
      <c r="BV485" s="25"/>
      <c r="BW485" s="25"/>
      <c r="BX485" s="25"/>
      <c r="BY485" s="25"/>
      <c r="BZ485" s="25"/>
      <c r="CA485" s="25"/>
      <c r="CB485" s="25"/>
    </row>
    <row r="486" spans="1:80" ht="12.75" hidden="1" customHeight="1">
      <c r="A486" s="10">
        <f ca="1">IFERROR(__xludf.DUMMYFUNCTION("""COMPUTED_VALUE"""),2009)</f>
        <v>2009</v>
      </c>
      <c r="B486" s="50">
        <f ca="1">IFERROR(__xludf.DUMMYFUNCTION("""COMPUTED_VALUE"""),39955)</f>
        <v>39955</v>
      </c>
      <c r="C486" s="41">
        <f ca="1">IFERROR(__xludf.DUMMYFUNCTION("""COMPUTED_VALUE"""),39921)</f>
        <v>39921</v>
      </c>
      <c r="D486" s="42" t="str">
        <f ca="1">IFERROR(__xludf.DUMMYFUNCTION("""COMPUTED_VALUE"""),"Cattle Egret")</f>
        <v>Cattle Egret</v>
      </c>
      <c r="E486" s="53">
        <f ca="1">IFERROR(__xludf.DUMMYFUNCTION("""COMPUTED_VALUE"""),1)</f>
        <v>1</v>
      </c>
      <c r="F486" s="15"/>
      <c r="G486" s="44" t="str">
        <f ca="1">IFERROR(__xludf.DUMMYFUNCTION("""COMPUTED_VALUE"""),"Frodsham")</f>
        <v>Frodsham</v>
      </c>
      <c r="H486" s="12">
        <f ca="1">IFERROR(__xludf.DUMMYFUNCTION("""COMPUTED_VALUE"""),39873)</f>
        <v>39873</v>
      </c>
      <c r="I486" s="13"/>
      <c r="J486" s="14"/>
      <c r="K486" s="15" t="str">
        <f ca="1">IFERROR(__xludf.DUMMYFUNCTION("""COMPUTED_VALUE"""),"Roy and Audrey Griffiths")</f>
        <v>Roy and Audrey Griffiths</v>
      </c>
      <c r="L486" s="17" t="str">
        <f ca="1">IFERROR(__xludf.DUMMYFUNCTION("""COMPUTED_VALUE"""),"closed")</f>
        <v>closed</v>
      </c>
      <c r="M486" s="17" t="str">
        <f ca="1">IFERROR(__xludf.DUMMYFUNCTION("""COMPUTED_VALUE"""),"1st U")</f>
        <v>1st U</v>
      </c>
      <c r="N486" s="15" t="str">
        <f ca="1">IFERROR(__xludf.DUMMYFUNCTION("""COMPUTED_VALUE"""),"Accepted")</f>
        <v>Accepted</v>
      </c>
      <c r="O486" s="18"/>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row>
    <row r="487" spans="1:80" ht="12.75" hidden="1" customHeight="1">
      <c r="A487" s="20">
        <f ca="1">IFERROR(__xludf.DUMMYFUNCTION("""COMPUTED_VALUE"""),2009)</f>
        <v>2009</v>
      </c>
      <c r="B487" s="45">
        <f ca="1">IFERROR(__xludf.DUMMYFUNCTION("""COMPUTED_VALUE"""),40466)</f>
        <v>40466</v>
      </c>
      <c r="C487" s="46"/>
      <c r="D487" s="47" t="str">
        <f ca="1">IFERROR(__xludf.DUMMYFUNCTION("""COMPUTED_VALUE"""),"Cattle Egret")</f>
        <v>Cattle Egret</v>
      </c>
      <c r="E487" s="52">
        <f ca="1">IFERROR(__xludf.DUMMYFUNCTION("""COMPUTED_VALUE"""),1)</f>
        <v>1</v>
      </c>
      <c r="F487" s="25"/>
      <c r="G487" s="48" t="str">
        <f ca="1">IFERROR(__xludf.DUMMYFUNCTION("""COMPUTED_VALUE"""),"Beeston")</f>
        <v>Beeston</v>
      </c>
      <c r="H487" s="22">
        <f ca="1">IFERROR(__xludf.DUMMYFUNCTION("""COMPUTED_VALUE"""),39818)</f>
        <v>39818</v>
      </c>
      <c r="I487" s="22">
        <f ca="1">IFERROR(__xludf.DUMMYFUNCTION("""COMPUTED_VALUE"""),39823)</f>
        <v>39823</v>
      </c>
      <c r="J487" s="24" t="str">
        <f ca="1">IFERROR(__xludf.DUMMYFUNCTION("""COMPUTED_VALUE"""),"Pulsford, AH")</f>
        <v>Pulsford, AH</v>
      </c>
      <c r="K487" s="25" t="str">
        <f ca="1">IFERROR(__xludf.DUMMYFUNCTION("""COMPUTED_VALUE"""),"Colin &amp; Susan Reed")</f>
        <v>Colin &amp; Susan Reed</v>
      </c>
      <c r="L487" s="27" t="str">
        <f ca="1">IFERROR(__xludf.DUMMYFUNCTION("""COMPUTED_VALUE"""),"closed")</f>
        <v>closed</v>
      </c>
      <c r="M487" s="27" t="str">
        <f ca="1">IFERROR(__xludf.DUMMYFUNCTION("""COMPUTED_VALUE"""),"1st U")</f>
        <v>1st U</v>
      </c>
      <c r="N487" s="25" t="str">
        <f ca="1">IFERROR(__xludf.DUMMYFUNCTION("""COMPUTED_VALUE"""),"accepted")</f>
        <v>accepted</v>
      </c>
      <c r="O487" s="28" t="str">
        <f ca="1">IFERROR(__xludf.DUMMYFUNCTION("""COMPUTED_VALUE"""),"picked up dead on 11/1/09")</f>
        <v>picked up dead on 11/1/09</v>
      </c>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c r="BP487" s="25"/>
      <c r="BQ487" s="25"/>
      <c r="BR487" s="25"/>
      <c r="BS487" s="25"/>
      <c r="BT487" s="25"/>
      <c r="BU487" s="25"/>
      <c r="BV487" s="25"/>
      <c r="BW487" s="25"/>
      <c r="BX487" s="25"/>
      <c r="BY487" s="25"/>
      <c r="BZ487" s="25"/>
      <c r="CA487" s="25"/>
      <c r="CB487" s="25"/>
    </row>
    <row r="488" spans="1:80" ht="12.75" hidden="1" customHeight="1">
      <c r="A488" s="10">
        <f ca="1">IFERROR(__xludf.DUMMYFUNCTION("""COMPUTED_VALUE"""),2009)</f>
        <v>2009</v>
      </c>
      <c r="B488" s="50">
        <f ca="1">IFERROR(__xludf.DUMMYFUNCTION("""COMPUTED_VALUE"""),40253)</f>
        <v>40253</v>
      </c>
      <c r="C488" s="41">
        <f ca="1">IFERROR(__xludf.DUMMYFUNCTION("""COMPUTED_VALUE"""),40245)</f>
        <v>40245</v>
      </c>
      <c r="D488" s="42" t="str">
        <f ca="1">IFERROR(__xludf.DUMMYFUNCTION("""COMPUTED_VALUE"""),"Honey-Buzzard")</f>
        <v>Honey-Buzzard</v>
      </c>
      <c r="E488" s="53">
        <f ca="1">IFERROR(__xludf.DUMMYFUNCTION("""COMPUTED_VALUE"""),1)</f>
        <v>1</v>
      </c>
      <c r="F488" s="15"/>
      <c r="G488" s="44" t="str">
        <f ca="1">IFERROR(__xludf.DUMMYFUNCTION("""COMPUTED_VALUE"""),"Meremour Farm")</f>
        <v>Meremour Farm</v>
      </c>
      <c r="H488" s="12">
        <f ca="1">IFERROR(__xludf.DUMMYFUNCTION("""COMPUTED_VALUE"""),40026)</f>
        <v>40026</v>
      </c>
      <c r="I488" s="13"/>
      <c r="J488" s="14" t="str">
        <f ca="1">IFERROR(__xludf.DUMMYFUNCTION("""COMPUTED_VALUE"""),"Brydges, A")</f>
        <v>Brydges, A</v>
      </c>
      <c r="K488" s="15" t="str">
        <f ca="1">IFERROR(__xludf.DUMMYFUNCTION("""COMPUTED_VALUE"""),"Brydges, A")</f>
        <v>Brydges, A</v>
      </c>
      <c r="L488" s="17" t="str">
        <f ca="1">IFERROR(__xludf.DUMMYFUNCTION("""COMPUTED_VALUE"""),"closed")</f>
        <v>closed</v>
      </c>
      <c r="M488" s="17" t="str">
        <f ca="1">IFERROR(__xludf.DUMMYFUNCTION("""COMPUTED_VALUE"""),"2nd U")</f>
        <v>2nd U</v>
      </c>
      <c r="N488" s="15" t="str">
        <f ca="1">IFERROR(__xludf.DUMMYFUNCTION("""COMPUTED_VALUE"""),"accepted")</f>
        <v>accepted</v>
      </c>
      <c r="O488" s="18"/>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row>
    <row r="489" spans="1:80" ht="14.25" hidden="1" customHeight="1">
      <c r="A489" s="20">
        <f ca="1">IFERROR(__xludf.DUMMYFUNCTION("""COMPUTED_VALUE"""),2009)</f>
        <v>2009</v>
      </c>
      <c r="B489" s="45">
        <f ca="1">IFERROR(__xludf.DUMMYFUNCTION("""COMPUTED_VALUE"""),40466)</f>
        <v>40466</v>
      </c>
      <c r="C489" s="46">
        <f ca="1">IFERROR(__xludf.DUMMYFUNCTION("""COMPUTED_VALUE"""),40336)</f>
        <v>40336</v>
      </c>
      <c r="D489" s="47" t="str">
        <f ca="1">IFERROR(__xludf.DUMMYFUNCTION("""COMPUTED_VALUE"""),"Hoopoe")</f>
        <v>Hoopoe</v>
      </c>
      <c r="E489" s="52">
        <f ca="1">IFERROR(__xludf.DUMMYFUNCTION("""COMPUTED_VALUE"""),1)</f>
        <v>1</v>
      </c>
      <c r="F489" s="25"/>
      <c r="G489" s="48" t="str">
        <f ca="1">IFERROR(__xludf.DUMMYFUNCTION("""COMPUTED_VALUE"""),"Oxmoor")</f>
        <v>Oxmoor</v>
      </c>
      <c r="H489" s="22">
        <f ca="1">IFERROR(__xludf.DUMMYFUNCTION("""COMPUTED_VALUE"""),40050)</f>
        <v>40050</v>
      </c>
      <c r="I489" s="23"/>
      <c r="J489" s="24" t="str">
        <f ca="1">IFERROR(__xludf.DUMMYFUNCTION("""COMPUTED_VALUE"""),"Norman, D")</f>
        <v>Norman, D</v>
      </c>
      <c r="K489" s="25" t="str">
        <f ca="1">IFERROR(__xludf.DUMMYFUNCTION("""COMPUTED_VALUE"""),"Norman, D")</f>
        <v>Norman, D</v>
      </c>
      <c r="L489" s="27" t="str">
        <f ca="1">IFERROR(__xludf.DUMMYFUNCTION("""COMPUTED_VALUE"""),"closed")</f>
        <v>closed</v>
      </c>
      <c r="M489" s="27" t="str">
        <f ca="1">IFERROR(__xludf.DUMMYFUNCTION("""COMPUTED_VALUE"""),"1st U")</f>
        <v>1st U</v>
      </c>
      <c r="N489" s="25" t="str">
        <f ca="1">IFERROR(__xludf.DUMMYFUNCTION("""COMPUTED_VALUE"""),"accepted")</f>
        <v>accepted</v>
      </c>
      <c r="O489" s="28"/>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c r="BH489" s="25"/>
      <c r="BI489" s="25"/>
      <c r="BJ489" s="25"/>
      <c r="BK489" s="25"/>
      <c r="BL489" s="25"/>
      <c r="BM489" s="25"/>
      <c r="BN489" s="25"/>
      <c r="BO489" s="25"/>
      <c r="BP489" s="25"/>
      <c r="BQ489" s="25"/>
      <c r="BR489" s="25"/>
      <c r="BS489" s="25"/>
      <c r="BT489" s="25"/>
      <c r="BU489" s="25"/>
      <c r="BV489" s="25"/>
      <c r="BW489" s="25"/>
      <c r="BX489" s="25"/>
      <c r="BY489" s="25"/>
      <c r="BZ489" s="25"/>
      <c r="CA489" s="25"/>
      <c r="CB489" s="25"/>
    </row>
    <row r="490" spans="1:80" ht="12.75" hidden="1" customHeight="1">
      <c r="A490" s="10">
        <f ca="1">IFERROR(__xludf.DUMMYFUNCTION("""COMPUTED_VALUE"""),2009)</f>
        <v>2009</v>
      </c>
      <c r="B490" s="50">
        <f ca="1">IFERROR(__xludf.DUMMYFUNCTION("""COMPUTED_VALUE"""),40245)</f>
        <v>40245</v>
      </c>
      <c r="C490" s="41">
        <f ca="1">IFERROR(__xludf.DUMMYFUNCTION("""COMPUTED_VALUE"""),40205)</f>
        <v>40205</v>
      </c>
      <c r="D490" s="42" t="str">
        <f ca="1">IFERROR(__xludf.DUMMYFUNCTION("""COMPUTED_VALUE"""),"Red-rumped Swallow")</f>
        <v>Red-rumped Swallow</v>
      </c>
      <c r="E490" s="53">
        <f ca="1">IFERROR(__xludf.DUMMYFUNCTION("""COMPUTED_VALUE"""),1)</f>
        <v>1</v>
      </c>
      <c r="F490" s="15"/>
      <c r="G490" s="44" t="str">
        <f ca="1">IFERROR(__xludf.DUMMYFUNCTION("""COMPUTED_VALUE"""),"Carr Lane Moreton/Barker &amp; Briscoe")</f>
        <v>Carr Lane Moreton/Barker &amp; Briscoe</v>
      </c>
      <c r="H490" s="12">
        <f ca="1">IFERROR(__xludf.DUMMYFUNCTION("""COMPUTED_VALUE"""),39918)</f>
        <v>39918</v>
      </c>
      <c r="I490" s="12">
        <f ca="1">IFERROR(__xludf.DUMMYFUNCTION("""COMPUTED_VALUE"""),39920)</f>
        <v>39920</v>
      </c>
      <c r="J490" s="14" t="str">
        <f ca="1">IFERROR(__xludf.DUMMYFUNCTION("""COMPUTED_VALUE"""),"Conlin, A")</f>
        <v>Conlin, A</v>
      </c>
      <c r="K490" s="15" t="str">
        <f ca="1">IFERROR(__xludf.DUMMYFUNCTION("""COMPUTED_VALUE"""),"Conlin, A")</f>
        <v>Conlin, A</v>
      </c>
      <c r="L490" s="17" t="str">
        <f ca="1">IFERROR(__xludf.DUMMYFUNCTION("""COMPUTED_VALUE"""),"closed")</f>
        <v>closed</v>
      </c>
      <c r="M490" s="17" t="str">
        <f ca="1">IFERROR(__xludf.DUMMYFUNCTION("""COMPUTED_VALUE"""),"1st U")</f>
        <v>1st U</v>
      </c>
      <c r="N490" s="15" t="str">
        <f ca="1">IFERROR(__xludf.DUMMYFUNCTION("""COMPUTED_VALUE"""),"accepted")</f>
        <v>accepted</v>
      </c>
      <c r="O490" s="18"/>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row>
    <row r="491" spans="1:80" ht="12.75" hidden="1" customHeight="1">
      <c r="A491" s="20">
        <f ca="1">IFERROR(__xludf.DUMMYFUNCTION("""COMPUTED_VALUE"""),2009)</f>
        <v>2009</v>
      </c>
      <c r="B491" s="45">
        <f ca="1">IFERROR(__xludf.DUMMYFUNCTION("""COMPUTED_VALUE"""),40085)</f>
        <v>40085</v>
      </c>
      <c r="C491" s="46">
        <f ca="1">IFERROR(__xludf.DUMMYFUNCTION("""COMPUTED_VALUE"""),40065)</f>
        <v>40065</v>
      </c>
      <c r="D491" s="47" t="str">
        <f ca="1">IFERROR(__xludf.DUMMYFUNCTION("""COMPUTED_VALUE"""),"Cetti's Warbler")</f>
        <v>Cetti's Warbler</v>
      </c>
      <c r="E491" s="52">
        <f ca="1">IFERROR(__xludf.DUMMYFUNCTION("""COMPUTED_VALUE"""),1)</f>
        <v>1</v>
      </c>
      <c r="F491" s="25"/>
      <c r="G491" s="48" t="str">
        <f ca="1">IFERROR(__xludf.DUMMYFUNCTION("""COMPUTED_VALUE"""),"Oxmoor LNR, Runcorn")</f>
        <v>Oxmoor LNR, Runcorn</v>
      </c>
      <c r="H491" s="22">
        <f ca="1">IFERROR(__xludf.DUMMYFUNCTION("""COMPUTED_VALUE"""),39887)</f>
        <v>39887</v>
      </c>
      <c r="I491" s="22">
        <f ca="1">IFERROR(__xludf.DUMMYFUNCTION("""COMPUTED_VALUE"""),39959)</f>
        <v>39959</v>
      </c>
      <c r="J491" s="24" t="str">
        <f ca="1">IFERROR(__xludf.DUMMYFUNCTION("""COMPUTED_VALUE"""),"?")</f>
        <v>?</v>
      </c>
      <c r="K491" s="25" t="str">
        <f ca="1">IFERROR(__xludf.DUMMYFUNCTION("""COMPUTED_VALUE"""),"?")</f>
        <v>?</v>
      </c>
      <c r="L491" s="27" t="str">
        <f ca="1">IFERROR(__xludf.DUMMYFUNCTION("""COMPUTED_VALUE"""),"closed")</f>
        <v>closed</v>
      </c>
      <c r="M491" s="27" t="str">
        <f ca="1">IFERROR(__xludf.DUMMYFUNCTION("""COMPUTED_VALUE"""),"1st U")</f>
        <v>1st U</v>
      </c>
      <c r="N491" s="25" t="str">
        <f ca="1">IFERROR(__xludf.DUMMYFUNCTION("""COMPUTED_VALUE"""),"Accepted")</f>
        <v>Accepted</v>
      </c>
      <c r="O491" s="28" t="str">
        <f ca="1">IFERROR(__xludf.DUMMYFUNCTION("""COMPUTED_VALUE"""),"check latest date")</f>
        <v>check latest date</v>
      </c>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c r="BP491" s="25"/>
      <c r="BQ491" s="25"/>
      <c r="BR491" s="25"/>
      <c r="BS491" s="25"/>
      <c r="BT491" s="25"/>
      <c r="BU491" s="25"/>
      <c r="BV491" s="25"/>
      <c r="BW491" s="25"/>
      <c r="BX491" s="25"/>
      <c r="BY491" s="25"/>
      <c r="BZ491" s="25"/>
      <c r="CA491" s="25"/>
      <c r="CB491" s="25"/>
    </row>
    <row r="492" spans="1:80" ht="12.75" hidden="1" customHeight="1">
      <c r="A492" s="10">
        <f ca="1">IFERROR(__xludf.DUMMYFUNCTION("""COMPUTED_VALUE"""),2009)</f>
        <v>2009</v>
      </c>
      <c r="B492" s="50">
        <f ca="1">IFERROR(__xludf.DUMMYFUNCTION("""COMPUTED_VALUE"""),40239)</f>
        <v>40239</v>
      </c>
      <c r="C492" s="41">
        <f ca="1">IFERROR(__xludf.DUMMYFUNCTION("""COMPUTED_VALUE"""),40205)</f>
        <v>40205</v>
      </c>
      <c r="D492" s="42" t="str">
        <f ca="1">IFERROR(__xludf.DUMMYFUNCTION("""COMPUTED_VALUE"""),"Cetti's Warbler")</f>
        <v>Cetti's Warbler</v>
      </c>
      <c r="E492" s="53">
        <f ca="1">IFERROR(__xludf.DUMMYFUNCTION("""COMPUTED_VALUE"""),1)</f>
        <v>1</v>
      </c>
      <c r="F492" s="15"/>
      <c r="G492" s="44" t="str">
        <f ca="1">IFERROR(__xludf.DUMMYFUNCTION("""COMPUTED_VALUE"""),"Bar mere")</f>
        <v>Bar mere</v>
      </c>
      <c r="H492" s="12">
        <f ca="1">IFERROR(__xludf.DUMMYFUNCTION("""COMPUTED_VALUE"""),40139)</f>
        <v>40139</v>
      </c>
      <c r="I492" s="13"/>
      <c r="J492" s="14" t="str">
        <f ca="1">IFERROR(__xludf.DUMMYFUNCTION("""COMPUTED_VALUE"""),"Driver, C")</f>
        <v>Driver, C</v>
      </c>
      <c r="K492" s="15" t="str">
        <f ca="1">IFERROR(__xludf.DUMMYFUNCTION("""COMPUTED_VALUE"""),"Driver, C")</f>
        <v>Driver, C</v>
      </c>
      <c r="L492" s="17" t="str">
        <f ca="1">IFERROR(__xludf.DUMMYFUNCTION("""COMPUTED_VALUE"""),"closed")</f>
        <v>closed</v>
      </c>
      <c r="M492" s="17" t="str">
        <f ca="1">IFERROR(__xludf.DUMMYFUNCTION("""COMPUTED_VALUE"""),"1st U")</f>
        <v>1st U</v>
      </c>
      <c r="N492" s="15" t="str">
        <f ca="1">IFERROR(__xludf.DUMMYFUNCTION("""COMPUTED_VALUE"""),"accepted")</f>
        <v>accepted</v>
      </c>
      <c r="O492" s="18"/>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row>
    <row r="493" spans="1:80" ht="12.75" hidden="1" customHeight="1">
      <c r="A493" s="20">
        <f ca="1">IFERROR(__xludf.DUMMYFUNCTION("""COMPUTED_VALUE"""),2009)</f>
        <v>2009</v>
      </c>
      <c r="B493" s="45">
        <f ca="1">IFERROR(__xludf.DUMMYFUNCTION("""COMPUTED_VALUE"""),40239)</f>
        <v>40239</v>
      </c>
      <c r="C493" s="46">
        <f ca="1">IFERROR(__xludf.DUMMYFUNCTION("""COMPUTED_VALUE"""),40205)</f>
        <v>40205</v>
      </c>
      <c r="D493" s="47" t="str">
        <f ca="1">IFERROR(__xludf.DUMMYFUNCTION("""COMPUTED_VALUE"""),"Cetti's Warbler")</f>
        <v>Cetti's Warbler</v>
      </c>
      <c r="E493" s="52">
        <f ca="1">IFERROR(__xludf.DUMMYFUNCTION("""COMPUTED_VALUE"""),1)</f>
        <v>1</v>
      </c>
      <c r="F493" s="25" t="str">
        <f ca="1">IFERROR(__xludf.DUMMYFUNCTION("""COMPUTED_VALUE"""),"m")</f>
        <v>m</v>
      </c>
      <c r="G493" s="48" t="str">
        <f ca="1">IFERROR(__xludf.DUMMYFUNCTION("""COMPUTED_VALUE"""),"Rostherne")</f>
        <v>Rostherne</v>
      </c>
      <c r="H493" s="22">
        <f ca="1">IFERROR(__xludf.DUMMYFUNCTION("""COMPUTED_VALUE"""),40087)</f>
        <v>40087</v>
      </c>
      <c r="I493" s="22">
        <f ca="1">IFERROR(__xludf.DUMMYFUNCTION("""COMPUTED_VALUE"""),40164)</f>
        <v>40164</v>
      </c>
      <c r="J493" s="24" t="str">
        <f ca="1">IFERROR(__xludf.DUMMYFUNCTION("""COMPUTED_VALUE"""),"Calvert, M")</f>
        <v>Calvert, M</v>
      </c>
      <c r="K493" s="25"/>
      <c r="L493" s="27" t="str">
        <f ca="1">IFERROR(__xludf.DUMMYFUNCTION("""COMPUTED_VALUE"""),"closed")</f>
        <v>closed</v>
      </c>
      <c r="M493" s="27" t="str">
        <f ca="1">IFERROR(__xludf.DUMMYFUNCTION("""COMPUTED_VALUE"""),"1st U")</f>
        <v>1st U</v>
      </c>
      <c r="N493" s="25" t="str">
        <f ca="1">IFERROR(__xludf.DUMMYFUNCTION("""COMPUTED_VALUE"""),"accepted")</f>
        <v>accepted</v>
      </c>
      <c r="O493" s="28" t="str">
        <f ca="1">IFERROR(__xludf.DUMMYFUNCTION("""COMPUTED_VALUE"""),"on the reserve ""since OCT""")</f>
        <v>on the reserve "since OCT"</v>
      </c>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c r="BH493" s="25"/>
      <c r="BI493" s="25"/>
      <c r="BJ493" s="25"/>
      <c r="BK493" s="25"/>
      <c r="BL493" s="25"/>
      <c r="BM493" s="25"/>
      <c r="BN493" s="25"/>
      <c r="BO493" s="25"/>
      <c r="BP493" s="25"/>
      <c r="BQ493" s="25"/>
      <c r="BR493" s="25"/>
      <c r="BS493" s="25"/>
      <c r="BT493" s="25"/>
      <c r="BU493" s="25"/>
      <c r="BV493" s="25"/>
      <c r="BW493" s="25"/>
      <c r="BX493" s="25"/>
      <c r="BY493" s="25"/>
      <c r="BZ493" s="25"/>
      <c r="CA493" s="25"/>
      <c r="CB493" s="25"/>
    </row>
    <row r="494" spans="1:80" ht="12.75" hidden="1" customHeight="1">
      <c r="A494" s="10">
        <f ca="1">IFERROR(__xludf.DUMMYFUNCTION("""COMPUTED_VALUE"""),2009)</f>
        <v>2009</v>
      </c>
      <c r="B494" s="50">
        <f ca="1">IFERROR(__xludf.DUMMYFUNCTION("""COMPUTED_VALUE"""),40239)</f>
        <v>40239</v>
      </c>
      <c r="C494" s="41">
        <f ca="1">IFERROR(__xludf.DUMMYFUNCTION("""COMPUTED_VALUE"""),40205)</f>
        <v>40205</v>
      </c>
      <c r="D494" s="42" t="str">
        <f ca="1">IFERROR(__xludf.DUMMYFUNCTION("""COMPUTED_VALUE"""),"Cetti's Warbler")</f>
        <v>Cetti's Warbler</v>
      </c>
      <c r="E494" s="53">
        <f ca="1">IFERROR(__xludf.DUMMYFUNCTION("""COMPUTED_VALUE"""),1)</f>
        <v>1</v>
      </c>
      <c r="F494" s="15"/>
      <c r="G494" s="44" t="str">
        <f ca="1">IFERROR(__xludf.DUMMYFUNCTION("""COMPUTED_VALUE"""),"Penketh")</f>
        <v>Penketh</v>
      </c>
      <c r="H494" s="12">
        <f ca="1">IFERROR(__xludf.DUMMYFUNCTION("""COMPUTED_VALUE"""),39863)</f>
        <v>39863</v>
      </c>
      <c r="I494" s="13"/>
      <c r="J494" s="14" t="str">
        <f ca="1">IFERROR(__xludf.DUMMYFUNCTION("""COMPUTED_VALUE"""),"Vaughan, T")</f>
        <v>Vaughan, T</v>
      </c>
      <c r="K494" s="15" t="str">
        <f ca="1">IFERROR(__xludf.DUMMYFUNCTION("""COMPUTED_VALUE"""),"Vaughan, T")</f>
        <v>Vaughan, T</v>
      </c>
      <c r="L494" s="17" t="str">
        <f ca="1">IFERROR(__xludf.DUMMYFUNCTION("""COMPUTED_VALUE"""),"closed")</f>
        <v>closed</v>
      </c>
      <c r="M494" s="17" t="str">
        <f ca="1">IFERROR(__xludf.DUMMYFUNCTION("""COMPUTED_VALUE"""),"1st U")</f>
        <v>1st U</v>
      </c>
      <c r="N494" s="15" t="str">
        <f ca="1">IFERROR(__xludf.DUMMYFUNCTION("""COMPUTED_VALUE"""),"accepted")</f>
        <v>accepted</v>
      </c>
      <c r="O494" s="18"/>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row>
    <row r="495" spans="1:80" ht="12.75" hidden="1" customHeight="1">
      <c r="A495" s="20">
        <f ca="1">IFERROR(__xludf.DUMMYFUNCTION("""COMPUTED_VALUE"""),2009)</f>
        <v>2009</v>
      </c>
      <c r="B495" s="45">
        <f ca="1">IFERROR(__xludf.DUMMYFUNCTION("""COMPUTED_VALUE"""),40336)</f>
        <v>40336</v>
      </c>
      <c r="C495" s="46">
        <f ca="1">IFERROR(__xludf.DUMMYFUNCTION("""COMPUTED_VALUE"""),40245)</f>
        <v>40245</v>
      </c>
      <c r="D495" s="47" t="str">
        <f ca="1">IFERROR(__xludf.DUMMYFUNCTION("""COMPUTED_VALUE"""),"Siberian Chiffchaff [tristis race]")</f>
        <v>Siberian Chiffchaff [tristis race]</v>
      </c>
      <c r="E495" s="52">
        <f ca="1">IFERROR(__xludf.DUMMYFUNCTION("""COMPUTED_VALUE"""),1)</f>
        <v>1</v>
      </c>
      <c r="F495" s="25"/>
      <c r="G495" s="48" t="str">
        <f ca="1">IFERROR(__xludf.DUMMYFUNCTION("""COMPUTED_VALUE"""),"Red Rocks, Hoylake")</f>
        <v>Red Rocks, Hoylake</v>
      </c>
      <c r="H495" s="22">
        <f ca="1">IFERROR(__xludf.DUMMYFUNCTION("""COMPUTED_VALUE"""),40103)</f>
        <v>40103</v>
      </c>
      <c r="I495" s="23"/>
      <c r="J495" s="24" t="str">
        <f ca="1">IFERROR(__xludf.DUMMYFUNCTION("""COMPUTED_VALUE"""),"Turner, JE &amp; MG")</f>
        <v>Turner, JE &amp; MG</v>
      </c>
      <c r="K495" s="25" t="str">
        <f ca="1">IFERROR(__xludf.DUMMYFUNCTION("""COMPUTED_VALUE"""),"Turner, JE")</f>
        <v>Turner, JE</v>
      </c>
      <c r="L495" s="27" t="str">
        <f ca="1">IFERROR(__xludf.DUMMYFUNCTION("""COMPUTED_VALUE"""),"closed")</f>
        <v>closed</v>
      </c>
      <c r="M495" s="27" t="str">
        <f ca="1">IFERROR(__xludf.DUMMYFUNCTION("""COMPUTED_VALUE"""),"1st U")</f>
        <v>1st U</v>
      </c>
      <c r="N495" s="25" t="str">
        <f ca="1">IFERROR(__xludf.DUMMYFUNCTION("""COMPUTED_VALUE"""),"accepted")</f>
        <v>accepted</v>
      </c>
      <c r="O495" s="28"/>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c r="BU495" s="25"/>
      <c r="BV495" s="25"/>
      <c r="BW495" s="25"/>
      <c r="BX495" s="25"/>
      <c r="BY495" s="25"/>
      <c r="BZ495" s="25"/>
      <c r="CA495" s="25"/>
      <c r="CB495" s="25"/>
    </row>
    <row r="496" spans="1:80" ht="12.75" hidden="1" customHeight="1">
      <c r="A496" s="10">
        <f ca="1">IFERROR(__xludf.DUMMYFUNCTION("""COMPUTED_VALUE"""),2009)</f>
        <v>2009</v>
      </c>
      <c r="B496" s="50">
        <f ca="1">IFERROR(__xludf.DUMMYFUNCTION("""COMPUTED_VALUE"""),40336)</f>
        <v>40336</v>
      </c>
      <c r="C496" s="41">
        <f ca="1">IFERROR(__xludf.DUMMYFUNCTION("""COMPUTED_VALUE"""),40245)</f>
        <v>40245</v>
      </c>
      <c r="D496" s="42" t="str">
        <f ca="1">IFERROR(__xludf.DUMMYFUNCTION("""COMPUTED_VALUE"""),"Greenish Warbler")</f>
        <v>Greenish Warbler</v>
      </c>
      <c r="E496" s="53">
        <f ca="1">IFERROR(__xludf.DUMMYFUNCTION("""COMPUTED_VALUE"""),1)</f>
        <v>1</v>
      </c>
      <c r="F496" s="15" t="str">
        <f ca="1">IFERROR(__xludf.DUMMYFUNCTION("""COMPUTED_VALUE"""),"1st W")</f>
        <v>1st W</v>
      </c>
      <c r="G496" s="44" t="str">
        <f ca="1">IFERROR(__xludf.DUMMYFUNCTION("""COMPUTED_VALUE"""),"Hoylake seafront")</f>
        <v>Hoylake seafront</v>
      </c>
      <c r="H496" s="12">
        <f ca="1">IFERROR(__xludf.DUMMYFUNCTION("""COMPUTED_VALUE"""),40064)</f>
        <v>40064</v>
      </c>
      <c r="I496" s="13"/>
      <c r="J496" s="14"/>
      <c r="K496" s="15"/>
      <c r="L496" s="17" t="str">
        <f ca="1">IFERROR(__xludf.DUMMYFUNCTION("""COMPUTED_VALUE"""),"closed")</f>
        <v>closed</v>
      </c>
      <c r="M496" s="17" t="str">
        <f ca="1">IFERROR(__xludf.DUMMYFUNCTION("""COMPUTED_VALUE"""),"1st U")</f>
        <v>1st U</v>
      </c>
      <c r="N496" s="15" t="str">
        <f ca="1">IFERROR(__xludf.DUMMYFUNCTION("""COMPUTED_VALUE"""),"unproven")</f>
        <v>unproven</v>
      </c>
      <c r="O496" s="18" t="str">
        <f ca="1">IFERROR(__xludf.DUMMYFUNCTION("""COMPUTED_VALUE"""),"Thought to be one but too brief an observation for such a rare bird")</f>
        <v>Thought to be one but too brief an observation for such a rare bird</v>
      </c>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row>
    <row r="497" spans="1:80" ht="12.75" hidden="1" customHeight="1">
      <c r="A497" s="20">
        <f ca="1">IFERROR(__xludf.DUMMYFUNCTION("""COMPUTED_VALUE"""),2009)</f>
        <v>2009</v>
      </c>
      <c r="B497" s="45">
        <f ca="1">IFERROR(__xludf.DUMMYFUNCTION("""COMPUTED_VALUE"""),44568)</f>
        <v>44568</v>
      </c>
      <c r="C497" s="46"/>
      <c r="D497" s="47" t="str">
        <f ca="1">IFERROR(__xludf.DUMMYFUNCTION("""COMPUTED_VALUE"""),"Paddyfield Warbler")</f>
        <v>Paddyfield Warbler</v>
      </c>
      <c r="E497" s="52"/>
      <c r="F497" s="25"/>
      <c r="G497" s="48" t="str">
        <f ca="1">IFERROR(__xludf.DUMMYFUNCTION("""COMPUTED_VALUE"""),"Hilbre")</f>
        <v>Hilbre</v>
      </c>
      <c r="H497" s="22">
        <f ca="1">IFERROR(__xludf.DUMMYFUNCTION("""COMPUTED_VALUE"""),39969)</f>
        <v>39969</v>
      </c>
      <c r="I497" s="22">
        <f ca="1">IFERROR(__xludf.DUMMYFUNCTION("""COMPUTED_VALUE"""),39973)</f>
        <v>39973</v>
      </c>
      <c r="J497" s="24"/>
      <c r="K497" s="25"/>
      <c r="L497" s="27" t="str">
        <f ca="1">IFERROR(__xludf.DUMMYFUNCTION("""COMPUTED_VALUE"""),"closed")</f>
        <v>closed</v>
      </c>
      <c r="M497" s="27"/>
      <c r="N497" s="25" t="str">
        <f ca="1">IFERROR(__xludf.DUMMYFUNCTION("""COMPUTED_VALUE"""),"BBRC-OK")</f>
        <v>BBRC-OK</v>
      </c>
      <c r="O497" s="28" t="str">
        <f ca="1">IFERROR(__xludf.DUMMYFUNCTION("""COMPUTED_VALUE"""),"trapped, photo")</f>
        <v>trapped, photo</v>
      </c>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c r="BP497" s="25"/>
      <c r="BQ497" s="25"/>
      <c r="BR497" s="25"/>
      <c r="BS497" s="25"/>
      <c r="BT497" s="25"/>
      <c r="BU497" s="25"/>
      <c r="BV497" s="25"/>
      <c r="BW497" s="25"/>
      <c r="BX497" s="25"/>
      <c r="BY497" s="25"/>
      <c r="BZ497" s="25"/>
      <c r="CA497" s="25"/>
      <c r="CB497" s="25"/>
    </row>
    <row r="498" spans="1:80" ht="12.75" hidden="1" customHeight="1">
      <c r="A498" s="10">
        <f ca="1">IFERROR(__xludf.DUMMYFUNCTION("""COMPUTED_VALUE"""),2009)</f>
        <v>2009</v>
      </c>
      <c r="B498" s="50">
        <f ca="1">IFERROR(__xludf.DUMMYFUNCTION("""COMPUTED_VALUE"""),40085)</f>
        <v>40085</v>
      </c>
      <c r="C498" s="41">
        <f ca="1">IFERROR(__xludf.DUMMYFUNCTION("""COMPUTED_VALUE"""),40065)</f>
        <v>40065</v>
      </c>
      <c r="D498" s="42" t="str">
        <f ca="1">IFERROR(__xludf.DUMMYFUNCTION("""COMPUTED_VALUE"""),"Black Redstart")</f>
        <v>Black Redstart</v>
      </c>
      <c r="E498" s="53">
        <f ca="1">IFERROR(__xludf.DUMMYFUNCTION("""COMPUTED_VALUE"""),1)</f>
        <v>1</v>
      </c>
      <c r="F498" s="15"/>
      <c r="G498" s="44" t="str">
        <f ca="1">IFERROR(__xludf.DUMMYFUNCTION("""COMPUTED_VALUE"""),"Duckington")</f>
        <v>Duckington</v>
      </c>
      <c r="H498" s="12">
        <f ca="1">IFERROR(__xludf.DUMMYFUNCTION("""COMPUTED_VALUE"""),39926)</f>
        <v>39926</v>
      </c>
      <c r="I498" s="13"/>
      <c r="J498" s="14" t="str">
        <f ca="1">IFERROR(__xludf.DUMMYFUNCTION("""COMPUTED_VALUE"""),"Nutter, R")</f>
        <v>Nutter, R</v>
      </c>
      <c r="K498" s="15" t="str">
        <f ca="1">IFERROR(__xludf.DUMMYFUNCTION("""COMPUTED_VALUE"""),"Roger Nutter")</f>
        <v>Roger Nutter</v>
      </c>
      <c r="L498" s="17" t="str">
        <f ca="1">IFERROR(__xludf.DUMMYFUNCTION("""COMPUTED_VALUE"""),"closed")</f>
        <v>closed</v>
      </c>
      <c r="M498" s="17" t="str">
        <f ca="1">IFERROR(__xludf.DUMMYFUNCTION("""COMPUTED_VALUE"""),"1st U")</f>
        <v>1st U</v>
      </c>
      <c r="N498" s="15" t="str">
        <f ca="1">IFERROR(__xludf.DUMMYFUNCTION("""COMPUTED_VALUE"""),"Accepted")</f>
        <v>Accepted</v>
      </c>
      <c r="O498" s="18"/>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row>
    <row r="499" spans="1:80" ht="12.75" hidden="1" customHeight="1">
      <c r="A499" s="20">
        <f ca="1">IFERROR(__xludf.DUMMYFUNCTION("""COMPUTED_VALUE"""),2009)</f>
        <v>2009</v>
      </c>
      <c r="B499" s="45">
        <f ca="1">IFERROR(__xludf.DUMMYFUNCTION("""COMPUTED_VALUE"""),40242)</f>
        <v>40242</v>
      </c>
      <c r="C499" s="46">
        <f ca="1">IFERROR(__xludf.DUMMYFUNCTION("""COMPUTED_VALUE"""),40205)</f>
        <v>40205</v>
      </c>
      <c r="D499" s="47" t="str">
        <f ca="1">IFERROR(__xludf.DUMMYFUNCTION("""COMPUTED_VALUE"""),"Richard's Pipit")</f>
        <v>Richard's Pipit</v>
      </c>
      <c r="E499" s="52">
        <f ca="1">IFERROR(__xludf.DUMMYFUNCTION("""COMPUTED_VALUE"""),1)</f>
        <v>1</v>
      </c>
      <c r="F499" s="25"/>
      <c r="G499" s="48" t="str">
        <f ca="1">IFERROR(__xludf.DUMMYFUNCTION("""COMPUTED_VALUE"""),"Little Neston (opposite harp Inn)")</f>
        <v>Little Neston (opposite harp Inn)</v>
      </c>
      <c r="H499" s="22">
        <f ca="1">IFERROR(__xludf.DUMMYFUNCTION("""COMPUTED_VALUE"""),40167)</f>
        <v>40167</v>
      </c>
      <c r="I499" s="23"/>
      <c r="J499" s="24" t="str">
        <f ca="1">IFERROR(__xludf.DUMMYFUNCTION("""COMPUTED_VALUE"""),"Vautrinot, P")</f>
        <v>Vautrinot, P</v>
      </c>
      <c r="K499" s="25" t="str">
        <f ca="1">IFERROR(__xludf.DUMMYFUNCTION("""COMPUTED_VALUE"""),"Vautrinot, P")</f>
        <v>Vautrinot, P</v>
      </c>
      <c r="L499" s="27" t="str">
        <f ca="1">IFERROR(__xludf.DUMMYFUNCTION("""COMPUTED_VALUE"""),"closed")</f>
        <v>closed</v>
      </c>
      <c r="M499" s="27" t="str">
        <f ca="1">IFERROR(__xludf.DUMMYFUNCTION("""COMPUTED_VALUE"""),"1st U")</f>
        <v>1st U</v>
      </c>
      <c r="N499" s="25" t="str">
        <f ca="1">IFERROR(__xludf.DUMMYFUNCTION("""COMPUTED_VALUE"""),"accepted")</f>
        <v>accepted</v>
      </c>
      <c r="O499" s="28"/>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c r="BP499" s="25"/>
      <c r="BQ499" s="25"/>
      <c r="BR499" s="25"/>
      <c r="BS499" s="25"/>
      <c r="BT499" s="25"/>
      <c r="BU499" s="25"/>
      <c r="BV499" s="25"/>
      <c r="BW499" s="25"/>
      <c r="BX499" s="25"/>
      <c r="BY499" s="25"/>
      <c r="BZ499" s="25"/>
      <c r="CA499" s="25"/>
      <c r="CB499" s="25"/>
    </row>
    <row r="500" spans="1:80" ht="12.75" hidden="1" customHeight="1">
      <c r="A500" s="10">
        <f ca="1">IFERROR(__xludf.DUMMYFUNCTION("""COMPUTED_VALUE"""),2009)</f>
        <v>2009</v>
      </c>
      <c r="B500" s="50">
        <f ca="1">IFERROR(__xludf.DUMMYFUNCTION("""COMPUTED_VALUE"""),39866)</f>
        <v>39866</v>
      </c>
      <c r="C500" s="41">
        <f ca="1">IFERROR(__xludf.DUMMYFUNCTION("""COMPUTED_VALUE"""),39824)</f>
        <v>39824</v>
      </c>
      <c r="D500" s="42" t="str">
        <f ca="1">IFERROR(__xludf.DUMMYFUNCTION("""COMPUTED_VALUE"""),"Hawfinch")</f>
        <v>Hawfinch</v>
      </c>
      <c r="E500" s="53">
        <f ca="1">IFERROR(__xludf.DUMMYFUNCTION("""COMPUTED_VALUE"""),1)</f>
        <v>1</v>
      </c>
      <c r="F500" s="15" t="str">
        <f ca="1">IFERROR(__xludf.DUMMYFUNCTION("""COMPUTED_VALUE"""),"f")</f>
        <v>f</v>
      </c>
      <c r="G500" s="44" t="str">
        <f ca="1">IFERROR(__xludf.DUMMYFUNCTION("""COMPUTED_VALUE"""),"Marbury Country Park")</f>
        <v>Marbury Country Park</v>
      </c>
      <c r="H500" s="12">
        <f ca="1">IFERROR(__xludf.DUMMYFUNCTION("""COMPUTED_VALUE"""),39814)</f>
        <v>39814</v>
      </c>
      <c r="I500" s="12">
        <f ca="1">IFERROR(__xludf.DUMMYFUNCTION("""COMPUTED_VALUE"""),39817)</f>
        <v>39817</v>
      </c>
      <c r="J500" s="14" t="str">
        <f ca="1">IFERROR(__xludf.DUMMYFUNCTION("""COMPUTED_VALUE"""),"Woollen, P")</f>
        <v>Woollen, P</v>
      </c>
      <c r="K500" s="15" t="str">
        <f ca="1">IFERROR(__xludf.DUMMYFUNCTION("""COMPUTED_VALUE"""),"Tony and Enid Murphy")</f>
        <v>Tony and Enid Murphy</v>
      </c>
      <c r="L500" s="17" t="str">
        <f ca="1">IFERROR(__xludf.DUMMYFUNCTION("""COMPUTED_VALUE"""),"closed")</f>
        <v>closed</v>
      </c>
      <c r="M500" s="17" t="str">
        <f ca="1">IFERROR(__xludf.DUMMYFUNCTION("""COMPUTED_VALUE"""),"1st U")</f>
        <v>1st U</v>
      </c>
      <c r="N500" s="15" t="str">
        <f ca="1">IFERROR(__xludf.DUMMYFUNCTION("""COMPUTED_VALUE"""),"Accepted")</f>
        <v>Accepted</v>
      </c>
      <c r="O500" s="18"/>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row>
    <row r="501" spans="1:80" ht="12.75" hidden="1" customHeight="1">
      <c r="A501" s="20">
        <f ca="1">IFERROR(__xludf.DUMMYFUNCTION("""COMPUTED_VALUE"""),2009)</f>
        <v>2009</v>
      </c>
      <c r="B501" s="45">
        <f ca="1">IFERROR(__xludf.DUMMYFUNCTION("""COMPUTED_VALUE"""),39955)</f>
        <v>39955</v>
      </c>
      <c r="C501" s="46">
        <f ca="1">IFERROR(__xludf.DUMMYFUNCTION("""COMPUTED_VALUE"""),39921)</f>
        <v>39921</v>
      </c>
      <c r="D501" s="47" t="str">
        <f ca="1">IFERROR(__xludf.DUMMYFUNCTION("""COMPUTED_VALUE"""),"Hawfinch")</f>
        <v>Hawfinch</v>
      </c>
      <c r="E501" s="52">
        <f ca="1">IFERROR(__xludf.DUMMYFUNCTION("""COMPUTED_VALUE"""),1)</f>
        <v>1</v>
      </c>
      <c r="F501" s="25"/>
      <c r="G501" s="48" t="str">
        <f ca="1">IFERROR(__xludf.DUMMYFUNCTION("""COMPUTED_VALUE"""),"Great Sankey")</f>
        <v>Great Sankey</v>
      </c>
      <c r="H501" s="22">
        <f ca="1">IFERROR(__xludf.DUMMYFUNCTION("""COMPUTED_VALUE"""),39844)</f>
        <v>39844</v>
      </c>
      <c r="I501" s="23"/>
      <c r="J501" s="24" t="str">
        <f ca="1">IFERROR(__xludf.DUMMYFUNCTION("""COMPUTED_VALUE"""),"Hellam, L")</f>
        <v>Hellam, L</v>
      </c>
      <c r="K501" s="25" t="str">
        <f ca="1">IFERROR(__xludf.DUMMYFUNCTION("""COMPUTED_VALUE"""),"Peter Hellam")</f>
        <v>Peter Hellam</v>
      </c>
      <c r="L501" s="27" t="str">
        <f ca="1">IFERROR(__xludf.DUMMYFUNCTION("""COMPUTED_VALUE"""),"closed")</f>
        <v>closed</v>
      </c>
      <c r="M501" s="27" t="str">
        <f ca="1">IFERROR(__xludf.DUMMYFUNCTION("""COMPUTED_VALUE"""),"1st U")</f>
        <v>1st U</v>
      </c>
      <c r="N501" s="25" t="str">
        <f ca="1">IFERROR(__xludf.DUMMYFUNCTION("""COMPUTED_VALUE"""),"Accepted")</f>
        <v>Accepted</v>
      </c>
      <c r="O501" s="28"/>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c r="BS501" s="25"/>
      <c r="BT501" s="25"/>
      <c r="BU501" s="25"/>
      <c r="BV501" s="25"/>
      <c r="BW501" s="25"/>
      <c r="BX501" s="25"/>
      <c r="BY501" s="25"/>
      <c r="BZ501" s="25"/>
      <c r="CA501" s="25"/>
      <c r="CB501" s="25"/>
    </row>
    <row r="502" spans="1:80" ht="12.75" hidden="1" customHeight="1">
      <c r="A502" s="10">
        <f ca="1">IFERROR(__xludf.DUMMYFUNCTION("""COMPUTED_VALUE"""),2009)</f>
        <v>2009</v>
      </c>
      <c r="B502" s="50">
        <f ca="1">IFERROR(__xludf.DUMMYFUNCTION("""COMPUTED_VALUE"""),40588)</f>
        <v>40588</v>
      </c>
      <c r="C502" s="41">
        <f ca="1">IFERROR(__xludf.DUMMYFUNCTION("""COMPUTED_VALUE"""),40587)</f>
        <v>40587</v>
      </c>
      <c r="D502" s="42" t="str">
        <f ca="1">IFERROR(__xludf.DUMMYFUNCTION("""COMPUTED_VALUE"""),"Hawfinch")</f>
        <v>Hawfinch</v>
      </c>
      <c r="E502" s="53">
        <f ca="1">IFERROR(__xludf.DUMMYFUNCTION("""COMPUTED_VALUE"""),1)</f>
        <v>1</v>
      </c>
      <c r="F502" s="15"/>
      <c r="G502" s="44" t="str">
        <f ca="1">IFERROR(__xludf.DUMMYFUNCTION("""COMPUTED_VALUE"""),"Hale Shore (Hale)")</f>
        <v>Hale Shore (Hale)</v>
      </c>
      <c r="H502" s="12">
        <f ca="1">IFERROR(__xludf.DUMMYFUNCTION("""COMPUTED_VALUE"""),40114)</f>
        <v>40114</v>
      </c>
      <c r="I502" s="12">
        <f ca="1">IFERROR(__xludf.DUMMYFUNCTION("""COMPUTED_VALUE"""),40114)</f>
        <v>40114</v>
      </c>
      <c r="J502" s="14" t="str">
        <f ca="1">IFERROR(__xludf.DUMMYFUNCTION("""COMPUTED_VALUE"""),"Cockbain, RP&amp;CA")</f>
        <v>Cockbain, RP&amp;CA</v>
      </c>
      <c r="K502" s="15" t="str">
        <f ca="1">IFERROR(__xludf.DUMMYFUNCTION("""COMPUTED_VALUE"""),"RC &amp; Jeff Clarke")</f>
        <v>RC &amp; Jeff Clarke</v>
      </c>
      <c r="L502" s="17" t="str">
        <f ca="1">IFERROR(__xludf.DUMMYFUNCTION("""COMPUTED_VALUE"""),"closed")</f>
        <v>closed</v>
      </c>
      <c r="M502" s="17" t="str">
        <f ca="1">IFERROR(__xludf.DUMMYFUNCTION("""COMPUTED_VALUE"""),"1st U")</f>
        <v>1st U</v>
      </c>
      <c r="N502" s="15" t="str">
        <f ca="1">IFERROR(__xludf.DUMMYFUNCTION("""COMPUTED_VALUE"""),"accepted")</f>
        <v>accepted</v>
      </c>
      <c r="O502" s="18" t="str">
        <f ca="1">IFERROR(__xludf.DUMMYFUNCTION("""COMPUTED_VALUE"""),"ADDITIONAL RECORD")</f>
        <v>ADDITIONAL RECORD</v>
      </c>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row>
    <row r="503" spans="1:80" ht="12.75" hidden="1" customHeight="1">
      <c r="A503" s="20">
        <f ca="1">IFERROR(__xludf.DUMMYFUNCTION("""COMPUTED_VALUE"""),2009)</f>
        <v>2009</v>
      </c>
      <c r="B503" s="45">
        <f ca="1">IFERROR(__xludf.DUMMYFUNCTION("""COMPUTED_VALUE"""),39967)</f>
        <v>39967</v>
      </c>
      <c r="C503" s="46">
        <f ca="1">IFERROR(__xludf.DUMMYFUNCTION("""COMPUTED_VALUE"""),39921)</f>
        <v>39921</v>
      </c>
      <c r="D503" s="47" t="str">
        <f ca="1">IFERROR(__xludf.DUMMYFUNCTION("""COMPUTED_VALUE"""),"Mealy Redpoll")</f>
        <v>Mealy Redpoll</v>
      </c>
      <c r="E503" s="52">
        <f ca="1">IFERROR(__xludf.DUMMYFUNCTION("""COMPUTED_VALUE"""),3)</f>
        <v>3</v>
      </c>
      <c r="F503" s="25"/>
      <c r="G503" s="48" t="str">
        <f ca="1">IFERROR(__xludf.DUMMYFUNCTION("""COMPUTED_VALUE"""),"Disley")</f>
        <v>Disley</v>
      </c>
      <c r="H503" s="22">
        <f ca="1">IFERROR(__xludf.DUMMYFUNCTION("""COMPUTED_VALUE"""),39836)</f>
        <v>39836</v>
      </c>
      <c r="I503" s="22">
        <f ca="1">IFERROR(__xludf.DUMMYFUNCTION("""COMPUTED_VALUE"""),39850)</f>
        <v>39850</v>
      </c>
      <c r="J503" s="24" t="str">
        <f ca="1">IFERROR(__xludf.DUMMYFUNCTION("""COMPUTED_VALUE"""),"Blagden, I")</f>
        <v>Blagden, I</v>
      </c>
      <c r="K503" s="25" t="str">
        <f ca="1">IFERROR(__xludf.DUMMYFUNCTION("""COMPUTED_VALUE"""),"Irene Blagden")</f>
        <v>Irene Blagden</v>
      </c>
      <c r="L503" s="27" t="str">
        <f ca="1">IFERROR(__xludf.DUMMYFUNCTION("""COMPUTED_VALUE"""),"closed")</f>
        <v>closed</v>
      </c>
      <c r="M503" s="27" t="str">
        <f ca="1">IFERROR(__xludf.DUMMYFUNCTION("""COMPUTED_VALUE"""),"2nd U")</f>
        <v>2nd U</v>
      </c>
      <c r="N503" s="25" t="str">
        <f ca="1">IFERROR(__xludf.DUMMYFUNCTION("""COMPUTED_VALUE"""),"Accepted")</f>
        <v>Accepted</v>
      </c>
      <c r="O503" s="28" t="str">
        <f ca="1">IFERROR(__xludf.DUMMYFUNCTION("""COMPUTED_VALUE"""),"At least two and up to three, also submitted by J.Raynor")</f>
        <v>At least two and up to three, also submitted by J.Raynor</v>
      </c>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c r="BS503" s="25"/>
      <c r="BT503" s="25"/>
      <c r="BU503" s="25"/>
      <c r="BV503" s="25"/>
      <c r="BW503" s="25"/>
      <c r="BX503" s="25"/>
      <c r="BY503" s="25"/>
      <c r="BZ503" s="25"/>
      <c r="CA503" s="25"/>
      <c r="CB503" s="25"/>
    </row>
    <row r="504" spans="1:80" ht="12.75" hidden="1" customHeight="1">
      <c r="A504" s="10">
        <f ca="1">IFERROR(__xludf.DUMMYFUNCTION("""COMPUTED_VALUE"""),2009)</f>
        <v>2009</v>
      </c>
      <c r="B504" s="50">
        <f ca="1">IFERROR(__xludf.DUMMYFUNCTION("""COMPUTED_VALUE"""),39967)</f>
        <v>39967</v>
      </c>
      <c r="C504" s="41">
        <f ca="1">IFERROR(__xludf.DUMMYFUNCTION("""COMPUTED_VALUE"""),39921)</f>
        <v>39921</v>
      </c>
      <c r="D504" s="42" t="str">
        <f ca="1">IFERROR(__xludf.DUMMYFUNCTION("""COMPUTED_VALUE"""),"Mealy Redpoll")</f>
        <v>Mealy Redpoll</v>
      </c>
      <c r="E504" s="53">
        <f ca="1">IFERROR(__xludf.DUMMYFUNCTION("""COMPUTED_VALUE"""),7)</f>
        <v>7</v>
      </c>
      <c r="F504" s="15"/>
      <c r="G504" s="44" t="str">
        <f ca="1">IFERROR(__xludf.DUMMYFUNCTION("""COMPUTED_VALUE"""),"Stanney Woods")</f>
        <v>Stanney Woods</v>
      </c>
      <c r="H504" s="12">
        <f ca="1">IFERROR(__xludf.DUMMYFUNCTION("""COMPUTED_VALUE"""),39838)</f>
        <v>39838</v>
      </c>
      <c r="I504" s="12">
        <f ca="1">IFERROR(__xludf.DUMMYFUNCTION("""COMPUTED_VALUE"""),39859)</f>
        <v>39859</v>
      </c>
      <c r="J504" s="14" t="str">
        <f ca="1">IFERROR(__xludf.DUMMYFUNCTION("""COMPUTED_VALUE"""),"Woollen, P")</f>
        <v>Woollen, P</v>
      </c>
      <c r="K504" s="15" t="str">
        <f ca="1">IFERROR(__xludf.DUMMYFUNCTION("""COMPUTED_VALUE"""),"Phil woollen")</f>
        <v>Phil woollen</v>
      </c>
      <c r="L504" s="17" t="str">
        <f ca="1">IFERROR(__xludf.DUMMYFUNCTION("""COMPUTED_VALUE"""),"closed")</f>
        <v>closed</v>
      </c>
      <c r="M504" s="17" t="str">
        <f ca="1">IFERROR(__xludf.DUMMYFUNCTION("""COMPUTED_VALUE"""),"2nd U")</f>
        <v>2nd U</v>
      </c>
      <c r="N504" s="15" t="str">
        <f ca="1">IFERROR(__xludf.DUMMYFUNCTION("""COMPUTED_VALUE"""),"Accepted")</f>
        <v>Accepted</v>
      </c>
      <c r="O504" s="18"/>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row>
    <row r="505" spans="1:80" ht="12.75" hidden="1" customHeight="1">
      <c r="A505" s="20">
        <f ca="1">IFERROR(__xludf.DUMMYFUNCTION("""COMPUTED_VALUE"""),2009)</f>
        <v>2009</v>
      </c>
      <c r="B505" s="45">
        <f ca="1">IFERROR(__xludf.DUMMYFUNCTION("""COMPUTED_VALUE"""),40466)</f>
        <v>40466</v>
      </c>
      <c r="C505" s="46">
        <f ca="1">IFERROR(__xludf.DUMMYFUNCTION("""COMPUTED_VALUE"""),39921)</f>
        <v>39921</v>
      </c>
      <c r="D505" s="47" t="str">
        <f ca="1">IFERROR(__xludf.DUMMYFUNCTION("""COMPUTED_VALUE"""),"Mealy Redpoll")</f>
        <v>Mealy Redpoll</v>
      </c>
      <c r="E505" s="52">
        <f ca="1">IFERROR(__xludf.DUMMYFUNCTION("""COMPUTED_VALUE"""),2)</f>
        <v>2</v>
      </c>
      <c r="F505" s="25"/>
      <c r="G505" s="48" t="str">
        <f ca="1">IFERROR(__xludf.DUMMYFUNCTION("""COMPUTED_VALUE"""),"Stanney Woods")</f>
        <v>Stanney Woods</v>
      </c>
      <c r="H505" s="22">
        <f ca="1">IFERROR(__xludf.DUMMYFUNCTION("""COMPUTED_VALUE"""),39857)</f>
        <v>39857</v>
      </c>
      <c r="I505" s="23"/>
      <c r="J505" s="24" t="str">
        <f ca="1">IFERROR(__xludf.DUMMYFUNCTION("""COMPUTED_VALUE"""),"Turner, MG")</f>
        <v>Turner, MG</v>
      </c>
      <c r="K505" s="25" t="str">
        <f ca="1">IFERROR(__xludf.DUMMYFUNCTION("""COMPUTED_VALUE"""),"Phil Woollen")</f>
        <v>Phil Woollen</v>
      </c>
      <c r="L505" s="27" t="str">
        <f ca="1">IFERROR(__xludf.DUMMYFUNCTION("""COMPUTED_VALUE"""),"closed")</f>
        <v>closed</v>
      </c>
      <c r="M505" s="27" t="str">
        <f ca="1">IFERROR(__xludf.DUMMYFUNCTION("""COMPUTED_VALUE"""),"2nd U")</f>
        <v>2nd U</v>
      </c>
      <c r="N505" s="25" t="str">
        <f ca="1">IFERROR(__xludf.DUMMYFUNCTION("""COMPUTED_VALUE"""),"accepted")</f>
        <v>accepted</v>
      </c>
      <c r="O505" s="28"/>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c r="BP505" s="25"/>
      <c r="BQ505" s="25"/>
      <c r="BR505" s="25"/>
      <c r="BS505" s="25"/>
      <c r="BT505" s="25"/>
      <c r="BU505" s="25"/>
      <c r="BV505" s="25"/>
      <c r="BW505" s="25"/>
      <c r="BX505" s="25"/>
      <c r="BY505" s="25"/>
      <c r="BZ505" s="25"/>
      <c r="CA505" s="25"/>
      <c r="CB505" s="25"/>
    </row>
    <row r="506" spans="1:80" ht="12.75" hidden="1" customHeight="1">
      <c r="A506" s="10">
        <f ca="1">IFERROR(__xludf.DUMMYFUNCTION("""COMPUTED_VALUE"""),2009)</f>
        <v>2009</v>
      </c>
      <c r="B506" s="50">
        <f ca="1">IFERROR(__xludf.DUMMYFUNCTION("""COMPUTED_VALUE"""),40085)</f>
        <v>40085</v>
      </c>
      <c r="C506" s="41">
        <f ca="1">IFERROR(__xludf.DUMMYFUNCTION("""COMPUTED_VALUE"""),40065)</f>
        <v>40065</v>
      </c>
      <c r="D506" s="42" t="str">
        <f ca="1">IFERROR(__xludf.DUMMYFUNCTION("""COMPUTED_VALUE"""),"Mealy Redpoll")</f>
        <v>Mealy Redpoll</v>
      </c>
      <c r="E506" s="53">
        <f ca="1">IFERROR(__xludf.DUMMYFUNCTION("""COMPUTED_VALUE"""),1)</f>
        <v>1</v>
      </c>
      <c r="F506" s="15" t="str">
        <f ca="1">IFERROR(__xludf.DUMMYFUNCTION("""COMPUTED_VALUE"""),"f")</f>
        <v>f</v>
      </c>
      <c r="G506" s="44" t="str">
        <f ca="1">IFERROR(__xludf.DUMMYFUNCTION("""COMPUTED_VALUE"""),"Acre Nook SQ")</f>
        <v>Acre Nook SQ</v>
      </c>
      <c r="H506" s="12">
        <f ca="1">IFERROR(__xludf.DUMMYFUNCTION("""COMPUTED_VALUE"""),39894)</f>
        <v>39894</v>
      </c>
      <c r="I506" s="13"/>
      <c r="J506" s="14" t="str">
        <f ca="1">IFERROR(__xludf.DUMMYFUNCTION("""COMPUTED_VALUE"""),"Spottiswood, J")</f>
        <v>Spottiswood, J</v>
      </c>
      <c r="K506" s="15" t="str">
        <f ca="1">IFERROR(__xludf.DUMMYFUNCTION("""COMPUTED_VALUE"""),"Spottiswood, J")</f>
        <v>Spottiswood, J</v>
      </c>
      <c r="L506" s="17" t="str">
        <f ca="1">IFERROR(__xludf.DUMMYFUNCTION("""COMPUTED_VALUE"""),"closed")</f>
        <v>closed</v>
      </c>
      <c r="M506" s="17" t="str">
        <f ca="1">IFERROR(__xludf.DUMMYFUNCTION("""COMPUTED_VALUE"""),"1st M")</f>
        <v>1st M</v>
      </c>
      <c r="N506" s="15" t="str">
        <f ca="1">IFERROR(__xludf.DUMMYFUNCTION("""COMPUTED_VALUE"""),"Accepted")</f>
        <v>Accepted</v>
      </c>
      <c r="O506" s="18"/>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row>
    <row r="507" spans="1:80" ht="12.75" hidden="1" customHeight="1">
      <c r="A507" s="20">
        <f ca="1">IFERROR(__xludf.DUMMYFUNCTION("""COMPUTED_VALUE"""),2009)</f>
        <v>2009</v>
      </c>
      <c r="B507" s="45">
        <f ca="1">IFERROR(__xludf.DUMMYFUNCTION("""COMPUTED_VALUE"""),40085)</f>
        <v>40085</v>
      </c>
      <c r="C507" s="46">
        <f ca="1">IFERROR(__xludf.DUMMYFUNCTION("""COMPUTED_VALUE"""),40065)</f>
        <v>40065</v>
      </c>
      <c r="D507" s="47" t="str">
        <f ca="1">IFERROR(__xludf.DUMMYFUNCTION("""COMPUTED_VALUE"""),"Mealy Redpoll")</f>
        <v>Mealy Redpoll</v>
      </c>
      <c r="E507" s="52">
        <f ca="1">IFERROR(__xludf.DUMMYFUNCTION("""COMPUTED_VALUE"""),3)</f>
        <v>3</v>
      </c>
      <c r="F507" s="25"/>
      <c r="G507" s="48" t="str">
        <f ca="1">IFERROR(__xludf.DUMMYFUNCTION("""COMPUTED_VALUE"""),"Larkton Hill")</f>
        <v>Larkton Hill</v>
      </c>
      <c r="H507" s="22">
        <f ca="1">IFERROR(__xludf.DUMMYFUNCTION("""COMPUTED_VALUE"""),39854)</f>
        <v>39854</v>
      </c>
      <c r="I507" s="23"/>
      <c r="J507" s="24" t="str">
        <f ca="1">IFERROR(__xludf.DUMMYFUNCTION("""COMPUTED_VALUE"""),"French, N")</f>
        <v>French, N</v>
      </c>
      <c r="K507" s="25" t="str">
        <f ca="1">IFERROR(__xludf.DUMMYFUNCTION("""COMPUTED_VALUE"""),"French, N")</f>
        <v>French, N</v>
      </c>
      <c r="L507" s="27" t="str">
        <f ca="1">IFERROR(__xludf.DUMMYFUNCTION("""COMPUTED_VALUE"""),"closed")</f>
        <v>closed</v>
      </c>
      <c r="M507" s="27" t="str">
        <f ca="1">IFERROR(__xludf.DUMMYFUNCTION("""COMPUTED_VALUE"""),"1st M")</f>
        <v>1st M</v>
      </c>
      <c r="N507" s="25" t="str">
        <f ca="1">IFERROR(__xludf.DUMMYFUNCTION("""COMPUTED_VALUE"""),"Accepted")</f>
        <v>Accepted</v>
      </c>
      <c r="O507" s="28"/>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c r="BU507" s="25"/>
      <c r="BV507" s="25"/>
      <c r="BW507" s="25"/>
      <c r="BX507" s="25"/>
      <c r="BY507" s="25"/>
      <c r="BZ507" s="25"/>
      <c r="CA507" s="25"/>
      <c r="CB507" s="25"/>
    </row>
    <row r="508" spans="1:80" ht="12.75" hidden="1" customHeight="1">
      <c r="A508" s="10">
        <f ca="1">IFERROR(__xludf.DUMMYFUNCTION("""COMPUTED_VALUE"""),2009)</f>
        <v>2009</v>
      </c>
      <c r="B508" s="50">
        <f ca="1">IFERROR(__xludf.DUMMYFUNCTION("""COMPUTED_VALUE"""),40466)</f>
        <v>40466</v>
      </c>
      <c r="C508" s="41">
        <f ca="1">IFERROR(__xludf.DUMMYFUNCTION("""COMPUTED_VALUE"""),40465)</f>
        <v>40465</v>
      </c>
      <c r="D508" s="42" t="str">
        <f ca="1">IFERROR(__xludf.DUMMYFUNCTION("""COMPUTED_VALUE"""),"Mealy Redpoll")</f>
        <v>Mealy Redpoll</v>
      </c>
      <c r="E508" s="53">
        <f ca="1">IFERROR(__xludf.DUMMYFUNCTION("""COMPUTED_VALUE"""),1)</f>
        <v>1</v>
      </c>
      <c r="F508" s="15"/>
      <c r="G508" s="44" t="str">
        <f ca="1">IFERROR(__xludf.DUMMYFUNCTION("""COMPUTED_VALUE"""),"Hilbre")</f>
        <v>Hilbre</v>
      </c>
      <c r="H508" s="12">
        <f ca="1">IFERROR(__xludf.DUMMYFUNCTION("""COMPUTED_VALUE"""),39927)</f>
        <v>39927</v>
      </c>
      <c r="I508" s="12">
        <f ca="1">IFERROR(__xludf.DUMMYFUNCTION("""COMPUTED_VALUE"""),39927)</f>
        <v>39927</v>
      </c>
      <c r="J508" s="14" t="str">
        <f ca="1">IFERROR(__xludf.DUMMYFUNCTION("""COMPUTED_VALUE"""),"Hilbre Bird Observatory")</f>
        <v>Hilbre Bird Observatory</v>
      </c>
      <c r="K508" s="15"/>
      <c r="L508" s="17" t="str">
        <f ca="1">IFERROR(__xludf.DUMMYFUNCTION("""COMPUTED_VALUE"""),"closed")</f>
        <v>closed</v>
      </c>
      <c r="M508" s="17" t="str">
        <f ca="1">IFERROR(__xludf.DUMMYFUNCTION("""COMPUTED_VALUE"""),"1st U")</f>
        <v>1st U</v>
      </c>
      <c r="N508" s="15" t="str">
        <f ca="1">IFERROR(__xludf.DUMMYFUNCTION("""COMPUTED_VALUE"""),"accepted")</f>
        <v>accepted</v>
      </c>
      <c r="O508" s="18" t="str">
        <f ca="1">IFERROR(__xludf.DUMMYFUNCTION("""COMPUTED_VALUE"""),"trapped")</f>
        <v>trapped</v>
      </c>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row>
    <row r="509" spans="1:80" ht="12.75" hidden="1" customHeight="1">
      <c r="A509" s="20">
        <f ca="1">IFERROR(__xludf.DUMMYFUNCTION("""COMPUTED_VALUE"""),2009)</f>
        <v>2009</v>
      </c>
      <c r="B509" s="45">
        <f ca="1">IFERROR(__xludf.DUMMYFUNCTION("""COMPUTED_VALUE"""),40466)</f>
        <v>40466</v>
      </c>
      <c r="C509" s="46">
        <f ca="1">IFERROR(__xludf.DUMMYFUNCTION("""COMPUTED_VALUE"""),40465)</f>
        <v>40465</v>
      </c>
      <c r="D509" s="47" t="str">
        <f ca="1">IFERROR(__xludf.DUMMYFUNCTION("""COMPUTED_VALUE"""),"Mealy Redpoll")</f>
        <v>Mealy Redpoll</v>
      </c>
      <c r="E509" s="52">
        <f ca="1">IFERROR(__xludf.DUMMYFUNCTION("""COMPUTED_VALUE"""),1)</f>
        <v>1</v>
      </c>
      <c r="F509" s="25"/>
      <c r="G509" s="48" t="str">
        <f ca="1">IFERROR(__xludf.DUMMYFUNCTION("""COMPUTED_VALUE"""),"Hilbre")</f>
        <v>Hilbre</v>
      </c>
      <c r="H509" s="22">
        <f ca="1">IFERROR(__xludf.DUMMYFUNCTION("""COMPUTED_VALUE"""),39928)</f>
        <v>39928</v>
      </c>
      <c r="I509" s="22">
        <f ca="1">IFERROR(__xludf.DUMMYFUNCTION("""COMPUTED_VALUE"""),39928)</f>
        <v>39928</v>
      </c>
      <c r="J509" s="24" t="str">
        <f ca="1">IFERROR(__xludf.DUMMYFUNCTION("""COMPUTED_VALUE"""),"Hilbre Bird Observatory")</f>
        <v>Hilbre Bird Observatory</v>
      </c>
      <c r="K509" s="25"/>
      <c r="L509" s="27" t="str">
        <f ca="1">IFERROR(__xludf.DUMMYFUNCTION("""COMPUTED_VALUE"""),"closed")</f>
        <v>closed</v>
      </c>
      <c r="M509" s="27" t="str">
        <f ca="1">IFERROR(__xludf.DUMMYFUNCTION("""COMPUTED_VALUE"""),"1st U")</f>
        <v>1st U</v>
      </c>
      <c r="N509" s="25" t="str">
        <f ca="1">IFERROR(__xludf.DUMMYFUNCTION("""COMPUTED_VALUE"""),"accepted")</f>
        <v>accepted</v>
      </c>
      <c r="O509" s="28" t="str">
        <f ca="1">IFERROR(__xludf.DUMMYFUNCTION("""COMPUTED_VALUE"""),"trapped")</f>
        <v>trapped</v>
      </c>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c r="BS509" s="25"/>
      <c r="BT509" s="25"/>
      <c r="BU509" s="25"/>
      <c r="BV509" s="25"/>
      <c r="BW509" s="25"/>
      <c r="BX509" s="25"/>
      <c r="BY509" s="25"/>
      <c r="BZ509" s="25"/>
      <c r="CA509" s="25"/>
      <c r="CB509" s="25"/>
    </row>
    <row r="510" spans="1:80" ht="12.75" hidden="1" customHeight="1">
      <c r="A510" s="10">
        <f ca="1">IFERROR(__xludf.DUMMYFUNCTION("""COMPUTED_VALUE"""),2009)</f>
        <v>2009</v>
      </c>
      <c r="B510" s="50">
        <f ca="1">IFERROR(__xludf.DUMMYFUNCTION("""COMPUTED_VALUE"""),40466)</f>
        <v>40466</v>
      </c>
      <c r="C510" s="41">
        <f ca="1">IFERROR(__xludf.DUMMYFUNCTION("""COMPUTED_VALUE"""),40465)</f>
        <v>40465</v>
      </c>
      <c r="D510" s="42" t="str">
        <f ca="1">IFERROR(__xludf.DUMMYFUNCTION("""COMPUTED_VALUE"""),"Mealy Redpoll")</f>
        <v>Mealy Redpoll</v>
      </c>
      <c r="E510" s="53">
        <f ca="1">IFERROR(__xludf.DUMMYFUNCTION("""COMPUTED_VALUE"""),1)</f>
        <v>1</v>
      </c>
      <c r="F510" s="15"/>
      <c r="G510" s="44" t="str">
        <f ca="1">IFERROR(__xludf.DUMMYFUNCTION("""COMPUTED_VALUE"""),"Hilbre")</f>
        <v>Hilbre</v>
      </c>
      <c r="H510" s="12">
        <f ca="1">IFERROR(__xludf.DUMMYFUNCTION("""COMPUTED_VALUE"""),39929)</f>
        <v>39929</v>
      </c>
      <c r="I510" s="12">
        <f ca="1">IFERROR(__xludf.DUMMYFUNCTION("""COMPUTED_VALUE"""),39929)</f>
        <v>39929</v>
      </c>
      <c r="J510" s="14" t="str">
        <f ca="1">IFERROR(__xludf.DUMMYFUNCTION("""COMPUTED_VALUE"""),"Hilbre Bird Observatory")</f>
        <v>Hilbre Bird Observatory</v>
      </c>
      <c r="K510" s="15"/>
      <c r="L510" s="17" t="str">
        <f ca="1">IFERROR(__xludf.DUMMYFUNCTION("""COMPUTED_VALUE"""),"closed")</f>
        <v>closed</v>
      </c>
      <c r="M510" s="17" t="str">
        <f ca="1">IFERROR(__xludf.DUMMYFUNCTION("""COMPUTED_VALUE"""),"1st U")</f>
        <v>1st U</v>
      </c>
      <c r="N510" s="15" t="str">
        <f ca="1">IFERROR(__xludf.DUMMYFUNCTION("""COMPUTED_VALUE"""),"accepted")</f>
        <v>accepted</v>
      </c>
      <c r="O510" s="18" t="str">
        <f ca="1">IFERROR(__xludf.DUMMYFUNCTION("""COMPUTED_VALUE"""),"trapped")</f>
        <v>trapped</v>
      </c>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row>
    <row r="511" spans="1:80" ht="12.75" hidden="1" customHeight="1">
      <c r="A511" s="20">
        <f ca="1">IFERROR(__xludf.DUMMYFUNCTION("""COMPUTED_VALUE"""),2009)</f>
        <v>2009</v>
      </c>
      <c r="B511" s="45">
        <f ca="1">IFERROR(__xludf.DUMMYFUNCTION("""COMPUTED_VALUE"""),40085)</f>
        <v>40085</v>
      </c>
      <c r="C511" s="46">
        <f ca="1">IFERROR(__xludf.DUMMYFUNCTION("""COMPUTED_VALUE"""),40065)</f>
        <v>40065</v>
      </c>
      <c r="D511" s="47" t="str">
        <f ca="1">IFERROR(__xludf.DUMMYFUNCTION("""COMPUTED_VALUE"""),"Serin")</f>
        <v>Serin</v>
      </c>
      <c r="E511" s="52">
        <f ca="1">IFERROR(__xludf.DUMMYFUNCTION("""COMPUTED_VALUE"""),1)</f>
        <v>1</v>
      </c>
      <c r="F511" s="25" t="str">
        <f ca="1">IFERROR(__xludf.DUMMYFUNCTION("""COMPUTED_VALUE"""),"1stw Fem")</f>
        <v>1stw Fem</v>
      </c>
      <c r="G511" s="48" t="str">
        <f ca="1">IFERROR(__xludf.DUMMYFUNCTION("""COMPUTED_VALUE"""),"Woolston Eyes")</f>
        <v>Woolston Eyes</v>
      </c>
      <c r="H511" s="22">
        <f ca="1">IFERROR(__xludf.DUMMYFUNCTION("""COMPUTED_VALUE"""),39844)</f>
        <v>39844</v>
      </c>
      <c r="I511" s="23"/>
      <c r="J511" s="24" t="str">
        <f ca="1">IFERROR(__xludf.DUMMYFUNCTION("""COMPUTED_VALUE"""),"Miles, MR")</f>
        <v>Miles, MR</v>
      </c>
      <c r="K511" s="25" t="str">
        <f ca="1">IFERROR(__xludf.DUMMYFUNCTION("""COMPUTED_VALUE"""),"Miles, MR")</f>
        <v>Miles, MR</v>
      </c>
      <c r="L511" s="27" t="str">
        <f ca="1">IFERROR(__xludf.DUMMYFUNCTION("""COMPUTED_VALUE"""),"closed")</f>
        <v>closed</v>
      </c>
      <c r="M511" s="27" t="str">
        <f ca="1">IFERROR(__xludf.DUMMYFUNCTION("""COMPUTED_VALUE"""),"1st U")</f>
        <v>1st U</v>
      </c>
      <c r="N511" s="25" t="str">
        <f ca="1">IFERROR(__xludf.DUMMYFUNCTION("""COMPUTED_VALUE"""),"Accepted")</f>
        <v>Accepted</v>
      </c>
      <c r="O511" s="28" t="str">
        <f ca="1">IFERROR(__xludf.DUMMYFUNCTION("""COMPUTED_VALUE"""),"identified by Stuart Piner. Trapped and photographed. Kieran Foster, Alan Hitchmough, Stephen Menzie also contributed to the description")</f>
        <v>identified by Stuart Piner. Trapped and photographed. Kieran Foster, Alan Hitchmough, Stephen Menzie also contributed to the description</v>
      </c>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c r="BH511" s="25"/>
      <c r="BI511" s="25"/>
      <c r="BJ511" s="25"/>
      <c r="BK511" s="25"/>
      <c r="BL511" s="25"/>
      <c r="BM511" s="25"/>
      <c r="BN511" s="25"/>
      <c r="BO511" s="25"/>
      <c r="BP511" s="25"/>
      <c r="BQ511" s="25"/>
      <c r="BR511" s="25"/>
      <c r="BS511" s="25"/>
      <c r="BT511" s="25"/>
      <c r="BU511" s="25"/>
      <c r="BV511" s="25"/>
      <c r="BW511" s="25"/>
      <c r="BX511" s="25"/>
      <c r="BY511" s="25"/>
      <c r="BZ511" s="25"/>
      <c r="CA511" s="25"/>
      <c r="CB511" s="25"/>
    </row>
    <row r="512" spans="1:80" ht="12.75" hidden="1" customHeight="1">
      <c r="A512" s="10">
        <f ca="1">IFERROR(__xludf.DUMMYFUNCTION("""COMPUTED_VALUE"""),2009)</f>
        <v>2009</v>
      </c>
      <c r="B512" s="50">
        <f ca="1">IFERROR(__xludf.DUMMYFUNCTION("""COMPUTED_VALUE"""),40606)</f>
        <v>40606</v>
      </c>
      <c r="C512" s="41">
        <f ca="1">IFERROR(__xludf.DUMMYFUNCTION("""COMPUTED_VALUE"""),40589)</f>
        <v>40589</v>
      </c>
      <c r="D512" s="42" t="str">
        <f ca="1">IFERROR(__xludf.DUMMYFUNCTION("""COMPUTED_VALUE"""),"Serin")</f>
        <v>Serin</v>
      </c>
      <c r="E512" s="53">
        <f ca="1">IFERROR(__xludf.DUMMYFUNCTION("""COMPUTED_VALUE"""),1)</f>
        <v>1</v>
      </c>
      <c r="F512" s="15" t="str">
        <f ca="1">IFERROR(__xludf.DUMMYFUNCTION("""COMPUTED_VALUE"""),"1stw male")</f>
        <v>1stw male</v>
      </c>
      <c r="G512" s="44" t="str">
        <f ca="1">IFERROR(__xludf.DUMMYFUNCTION("""COMPUTED_VALUE"""),"Northwich (CW8 4AX)")</f>
        <v>Northwich (CW8 4AX)</v>
      </c>
      <c r="H512" s="12">
        <f ca="1">IFERROR(__xludf.DUMMYFUNCTION("""COMPUTED_VALUE"""),39892)</f>
        <v>39892</v>
      </c>
      <c r="I512" s="13"/>
      <c r="J512" s="14" t="str">
        <f ca="1">IFERROR(__xludf.DUMMYFUNCTION("""COMPUTED_VALUE"""),"Roberts, S")</f>
        <v>Roberts, S</v>
      </c>
      <c r="K512" s="15" t="str">
        <f ca="1">IFERROR(__xludf.DUMMYFUNCTION("""COMPUTED_VALUE"""),"Roberts, S")</f>
        <v>Roberts, S</v>
      </c>
      <c r="L512" s="17" t="str">
        <f ca="1">IFERROR(__xludf.DUMMYFUNCTION("""COMPUTED_VALUE"""),"closed")</f>
        <v>closed</v>
      </c>
      <c r="M512" s="17" t="str">
        <f ca="1">IFERROR(__xludf.DUMMYFUNCTION("""COMPUTED_VALUE"""),"1st U")</f>
        <v>1st U</v>
      </c>
      <c r="N512" s="15" t="str">
        <f ca="1">IFERROR(__xludf.DUMMYFUNCTION("""COMPUTED_VALUE"""),"Accepted")</f>
        <v>Accepted</v>
      </c>
      <c r="O512" s="18" t="str">
        <f ca="1">IFERROR(__xludf.DUMMYFUNCTION("""COMPUTED_VALUE"""),"""photographed in garden, date is ""late march""")</f>
        <v>"photographed in garden, date is "late march"</v>
      </c>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row>
    <row r="513" spans="1:80" ht="12.75" hidden="1" customHeight="1">
      <c r="A513" s="20">
        <f ca="1">IFERROR(__xludf.DUMMYFUNCTION("""COMPUTED_VALUE"""),2009)</f>
        <v>2009</v>
      </c>
      <c r="B513" s="45">
        <f ca="1">IFERROR(__xludf.DUMMYFUNCTION("""COMPUTED_VALUE"""),44568)</f>
        <v>44568</v>
      </c>
      <c r="C513" s="46"/>
      <c r="D513" s="47" t="str">
        <f ca="1">IFERROR(__xludf.DUMMYFUNCTION("""COMPUTED_VALUE"""),"Terek Sandpiper")</f>
        <v>Terek Sandpiper</v>
      </c>
      <c r="E513" s="52"/>
      <c r="F513" s="25"/>
      <c r="G513" s="48" t="str">
        <f ca="1">IFERROR(__xludf.DUMMYFUNCTION("""COMPUTED_VALUE"""),"Heswall")</f>
        <v>Heswall</v>
      </c>
      <c r="H513" s="22">
        <f ca="1">IFERROR(__xludf.DUMMYFUNCTION("""COMPUTED_VALUE"""),40008)</f>
        <v>40008</v>
      </c>
      <c r="I513" s="23"/>
      <c r="J513" s="24"/>
      <c r="K513" s="25"/>
      <c r="L513" s="27" t="str">
        <f ca="1">IFERROR(__xludf.DUMMYFUNCTION("""COMPUTED_VALUE"""),"closed")</f>
        <v>closed</v>
      </c>
      <c r="M513" s="27"/>
      <c r="N513" s="25" t="str">
        <f ca="1">IFERROR(__xludf.DUMMYFUNCTION("""COMPUTED_VALUE"""),"BBRC-OK")</f>
        <v>BBRC-OK</v>
      </c>
      <c r="O513" s="28" t="str">
        <f ca="1">IFERROR(__xludf.DUMMYFUNCTION("""COMPUTED_VALUE"""),"Heswall Shore, 14th to 15th July, photo.")</f>
        <v>Heswall Shore, 14th to 15th July, photo.</v>
      </c>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c r="BP513" s="25"/>
      <c r="BQ513" s="25"/>
      <c r="BR513" s="25"/>
      <c r="BS513" s="25"/>
      <c r="BT513" s="25"/>
      <c r="BU513" s="25"/>
      <c r="BV513" s="25"/>
      <c r="BW513" s="25"/>
      <c r="BX513" s="25"/>
      <c r="BY513" s="25"/>
      <c r="BZ513" s="25"/>
      <c r="CA513" s="25"/>
      <c r="CB513" s="25"/>
    </row>
    <row r="514" spans="1:80" ht="12.75" hidden="1" customHeight="1">
      <c r="A514" s="10">
        <f ca="1">IFERROR(__xludf.DUMMYFUNCTION("""COMPUTED_VALUE"""),2010)</f>
        <v>2010</v>
      </c>
      <c r="B514" s="50">
        <f ca="1">IFERROR(__xludf.DUMMYFUNCTION("""COMPUTED_VALUE"""),44568)</f>
        <v>44568</v>
      </c>
      <c r="C514" s="41"/>
      <c r="D514" s="42" t="str">
        <f ca="1">IFERROR(__xludf.DUMMYFUNCTION("""COMPUTED_VALUE"""),"Blue-winged Teal")</f>
        <v>Blue-winged Teal</v>
      </c>
      <c r="E514" s="53"/>
      <c r="F514" s="15"/>
      <c r="G514" s="44" t="str">
        <f ca="1">IFERROR(__xludf.DUMMYFUNCTION("""COMPUTED_VALUE"""),"Silver Lane Pools, Risley")</f>
        <v>Silver Lane Pools, Risley</v>
      </c>
      <c r="H514" s="12">
        <f ca="1">IFERROR(__xludf.DUMMYFUNCTION("""COMPUTED_VALUE"""),40442)</f>
        <v>40442</v>
      </c>
      <c r="I514" s="13"/>
      <c r="J514" s="14"/>
      <c r="K514" s="15"/>
      <c r="L514" s="17" t="str">
        <f ca="1">IFERROR(__xludf.DUMMYFUNCTION("""COMPUTED_VALUE"""),"closed")</f>
        <v>closed</v>
      </c>
      <c r="M514" s="17"/>
      <c r="N514" s="15" t="str">
        <f ca="1">IFERROR(__xludf.DUMMYFUNCTION("""COMPUTED_VALUE"""),"BBRC-OK")</f>
        <v>BBRC-OK</v>
      </c>
      <c r="O514" s="18" t="str">
        <f ca="1">IFERROR(__xludf.DUMMYFUNCTION("""COMPUTED_VALUE"""),"Silver Lane Pools, female or juvenile, 21st to 23rd September, photo.")</f>
        <v>Silver Lane Pools, female or juvenile, 21st to 23rd September, photo.</v>
      </c>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row>
    <row r="515" spans="1:80" ht="12.75" hidden="1" customHeight="1">
      <c r="A515" s="20">
        <f ca="1">IFERROR(__xludf.DUMMYFUNCTION("""COMPUTED_VALUE"""),2010)</f>
        <v>2010</v>
      </c>
      <c r="B515" s="45">
        <f ca="1">IFERROR(__xludf.DUMMYFUNCTION("""COMPUTED_VALUE"""),40612)</f>
        <v>40612</v>
      </c>
      <c r="C515" s="46">
        <f ca="1">IFERROR(__xludf.DUMMYFUNCTION("""COMPUTED_VALUE"""),40597)</f>
        <v>40597</v>
      </c>
      <c r="D515" s="47" t="str">
        <f ca="1">IFERROR(__xludf.DUMMYFUNCTION("""COMPUTED_VALUE"""),"Velvet Scoter")</f>
        <v>Velvet Scoter</v>
      </c>
      <c r="E515" s="52">
        <f ca="1">IFERROR(__xludf.DUMMYFUNCTION("""COMPUTED_VALUE"""),2)</f>
        <v>2</v>
      </c>
      <c r="F515" s="25"/>
      <c r="G515" s="48" t="str">
        <f ca="1">IFERROR(__xludf.DUMMYFUNCTION("""COMPUTED_VALUE"""),"Hoylake")</f>
        <v>Hoylake</v>
      </c>
      <c r="H515" s="22">
        <f ca="1">IFERROR(__xludf.DUMMYFUNCTION("""COMPUTED_VALUE"""),40245)</f>
        <v>40245</v>
      </c>
      <c r="I515" s="22">
        <f ca="1">IFERROR(__xludf.DUMMYFUNCTION("""COMPUTED_VALUE"""),40292)</f>
        <v>40292</v>
      </c>
      <c r="J515" s="24" t="str">
        <f ca="1">IFERROR(__xludf.DUMMYFUNCTION("""COMPUTED_VALUE"""),"Turner, JE")</f>
        <v>Turner, JE</v>
      </c>
      <c r="K515" s="25" t="str">
        <f ca="1">IFERROR(__xludf.DUMMYFUNCTION("""COMPUTED_VALUE"""),"Turner, JE")</f>
        <v>Turner, JE</v>
      </c>
      <c r="L515" s="27" t="str">
        <f ca="1">IFERROR(__xludf.DUMMYFUNCTION("""COMPUTED_VALUE"""),"closed")</f>
        <v>closed</v>
      </c>
      <c r="M515" s="27"/>
      <c r="N515" s="25" t="str">
        <f ca="1">IFERROR(__xludf.DUMMYFUNCTION("""COMPUTED_VALUE"""),"accepted")</f>
        <v>accepted</v>
      </c>
      <c r="O515" s="28"/>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c r="BH515" s="25"/>
      <c r="BI515" s="25"/>
      <c r="BJ515" s="25"/>
      <c r="BK515" s="25"/>
      <c r="BL515" s="25"/>
      <c r="BM515" s="25"/>
      <c r="BN515" s="25"/>
      <c r="BO515" s="25"/>
      <c r="BP515" s="25"/>
      <c r="BQ515" s="25"/>
      <c r="BR515" s="25"/>
      <c r="BS515" s="25"/>
      <c r="BT515" s="25"/>
      <c r="BU515" s="25"/>
      <c r="BV515" s="25"/>
      <c r="BW515" s="25"/>
      <c r="BX515" s="25"/>
      <c r="BY515" s="25"/>
      <c r="BZ515" s="25"/>
      <c r="CA515" s="25"/>
      <c r="CB515" s="25"/>
    </row>
    <row r="516" spans="1:80" ht="12.75" hidden="1" customHeight="1">
      <c r="A516" s="10">
        <f ca="1">IFERROR(__xludf.DUMMYFUNCTION("""COMPUTED_VALUE"""),2010)</f>
        <v>2010</v>
      </c>
      <c r="B516" s="50">
        <f ca="1">IFERROR(__xludf.DUMMYFUNCTION("""COMPUTED_VALUE"""),40773)</f>
        <v>40773</v>
      </c>
      <c r="C516" s="41"/>
      <c r="D516" s="42" t="str">
        <f ca="1">IFERROR(__xludf.DUMMYFUNCTION("""COMPUTED_VALUE"""),"Velvet Scoter")</f>
        <v>Velvet Scoter</v>
      </c>
      <c r="E516" s="53">
        <f ca="1">IFERROR(__xludf.DUMMYFUNCTION("""COMPUTED_VALUE"""),1)</f>
        <v>1</v>
      </c>
      <c r="F516" s="15"/>
      <c r="G516" s="44" t="str">
        <f ca="1">IFERROR(__xludf.DUMMYFUNCTION("""COMPUTED_VALUE"""),"Hilbre")</f>
        <v>Hilbre</v>
      </c>
      <c r="H516" s="12">
        <f ca="1">IFERROR(__xludf.DUMMYFUNCTION("""COMPUTED_VALUE"""),40211)</f>
        <v>40211</v>
      </c>
      <c r="I516" s="12">
        <f ca="1">IFERROR(__xludf.DUMMYFUNCTION("""COMPUTED_VALUE"""),40211)</f>
        <v>40211</v>
      </c>
      <c r="J516" s="14" t="str">
        <f ca="1">IFERROR(__xludf.DUMMYFUNCTION("""COMPUTED_VALUE"""),"Schofield, C")</f>
        <v>Schofield, C</v>
      </c>
      <c r="K516" s="15"/>
      <c r="L516" s="17" t="str">
        <f ca="1">IFERROR(__xludf.DUMMYFUNCTION("""COMPUTED_VALUE"""),"closed")</f>
        <v>closed</v>
      </c>
      <c r="M516" s="17" t="str">
        <f ca="1">IFERROR(__xludf.DUMMYFUNCTION("""COMPUTED_VALUE"""),"proxy")</f>
        <v>proxy</v>
      </c>
      <c r="N516" s="15" t="str">
        <f ca="1">IFERROR(__xludf.DUMMYFUNCTION("""COMPUTED_VALUE"""),"accepted")</f>
        <v>accepted</v>
      </c>
      <c r="O516" s="18"/>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row>
    <row r="517" spans="1:80" ht="12.75" hidden="1" customHeight="1">
      <c r="A517" s="20">
        <f ca="1">IFERROR(__xludf.DUMMYFUNCTION("""COMPUTED_VALUE"""),2010)</f>
        <v>2010</v>
      </c>
      <c r="B517" s="45">
        <f ca="1">IFERROR(__xludf.DUMMYFUNCTION("""COMPUTED_VALUE"""),40773)</f>
        <v>40773</v>
      </c>
      <c r="C517" s="46"/>
      <c r="D517" s="47" t="str">
        <f ca="1">IFERROR(__xludf.DUMMYFUNCTION("""COMPUTED_VALUE"""),"Velvet Scoter")</f>
        <v>Velvet Scoter</v>
      </c>
      <c r="E517" s="52">
        <f ca="1">IFERROR(__xludf.DUMMYFUNCTION("""COMPUTED_VALUE"""),1)</f>
        <v>1</v>
      </c>
      <c r="F517" s="25"/>
      <c r="G517" s="48" t="str">
        <f ca="1">IFERROR(__xludf.DUMMYFUNCTION("""COMPUTED_VALUE"""),"Hilbre")</f>
        <v>Hilbre</v>
      </c>
      <c r="H517" s="22">
        <f ca="1">IFERROR(__xludf.DUMMYFUNCTION("""COMPUTED_VALUE"""),40251)</f>
        <v>40251</v>
      </c>
      <c r="I517" s="22">
        <f ca="1">IFERROR(__xludf.DUMMYFUNCTION("""COMPUTED_VALUE"""),40251)</f>
        <v>40251</v>
      </c>
      <c r="J517" s="24" t="str">
        <f ca="1">IFERROR(__xludf.DUMMYFUNCTION("""COMPUTED_VALUE"""),"Schofield, C")</f>
        <v>Schofield, C</v>
      </c>
      <c r="K517" s="25"/>
      <c r="L517" s="27" t="str">
        <f ca="1">IFERROR(__xludf.DUMMYFUNCTION("""COMPUTED_VALUE"""),"closed")</f>
        <v>closed</v>
      </c>
      <c r="M517" s="27" t="str">
        <f ca="1">IFERROR(__xludf.DUMMYFUNCTION("""COMPUTED_VALUE"""),"proxy")</f>
        <v>proxy</v>
      </c>
      <c r="N517" s="25" t="str">
        <f ca="1">IFERROR(__xludf.DUMMYFUNCTION("""COMPUTED_VALUE"""),"accepted")</f>
        <v>accepted</v>
      </c>
      <c r="O517" s="28"/>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c r="BU517" s="25"/>
      <c r="BV517" s="25"/>
      <c r="BW517" s="25"/>
      <c r="BX517" s="25"/>
      <c r="BY517" s="25"/>
      <c r="BZ517" s="25"/>
      <c r="CA517" s="25"/>
      <c r="CB517" s="25"/>
    </row>
    <row r="518" spans="1:80" ht="12.75" hidden="1" customHeight="1">
      <c r="A518" s="10">
        <f ca="1">IFERROR(__xludf.DUMMYFUNCTION("""COMPUTED_VALUE"""),2010)</f>
        <v>2010</v>
      </c>
      <c r="B518" s="50">
        <f ca="1">IFERROR(__xludf.DUMMYFUNCTION("""COMPUTED_VALUE"""),40773)</f>
        <v>40773</v>
      </c>
      <c r="C518" s="41"/>
      <c r="D518" s="42" t="str">
        <f ca="1">IFERROR(__xludf.DUMMYFUNCTION("""COMPUTED_VALUE"""),"Velvet Scoter")</f>
        <v>Velvet Scoter</v>
      </c>
      <c r="E518" s="53">
        <f ca="1">IFERROR(__xludf.DUMMYFUNCTION("""COMPUTED_VALUE"""),1)</f>
        <v>1</v>
      </c>
      <c r="F518" s="15"/>
      <c r="G518" s="44" t="str">
        <f ca="1">IFERROR(__xludf.DUMMYFUNCTION("""COMPUTED_VALUE"""),"Hilbre")</f>
        <v>Hilbre</v>
      </c>
      <c r="H518" s="12">
        <f ca="1">IFERROR(__xludf.DUMMYFUNCTION("""COMPUTED_VALUE"""),40251)</f>
        <v>40251</v>
      </c>
      <c r="I518" s="12">
        <f ca="1">IFERROR(__xludf.DUMMYFUNCTION("""COMPUTED_VALUE"""),40251)</f>
        <v>40251</v>
      </c>
      <c r="J518" s="14" t="str">
        <f ca="1">IFERROR(__xludf.DUMMYFUNCTION("""COMPUTED_VALUE"""),"WeBS BTO WeBS")</f>
        <v>WeBS BTO WeBS</v>
      </c>
      <c r="K518" s="15"/>
      <c r="L518" s="17" t="str">
        <f ca="1">IFERROR(__xludf.DUMMYFUNCTION("""COMPUTED_VALUE"""),"closed")</f>
        <v>closed</v>
      </c>
      <c r="M518" s="17" t="str">
        <f ca="1">IFERROR(__xludf.DUMMYFUNCTION("""COMPUTED_VALUE"""),"proxy")</f>
        <v>proxy</v>
      </c>
      <c r="N518" s="15" t="str">
        <f ca="1">IFERROR(__xludf.DUMMYFUNCTION("""COMPUTED_VALUE"""),"accepted")</f>
        <v>accepted</v>
      </c>
      <c r="O518" s="18" t="str">
        <f ca="1">IFERROR(__xludf.DUMMYFUNCTION("""COMPUTED_VALUE"""),"Part of Dee Estuary (England and Wales) WeBS Site Code 45401")</f>
        <v>Part of Dee Estuary (England and Wales) WeBS Site Code 45401</v>
      </c>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row>
    <row r="519" spans="1:80" ht="12.75" hidden="1" customHeight="1">
      <c r="A519" s="20">
        <f ca="1">IFERROR(__xludf.DUMMYFUNCTION("""COMPUTED_VALUE"""),2010)</f>
        <v>2010</v>
      </c>
      <c r="B519" s="45">
        <f ca="1">IFERROR(__xludf.DUMMYFUNCTION("""COMPUTED_VALUE"""),40773)</f>
        <v>40773</v>
      </c>
      <c r="C519" s="46"/>
      <c r="D519" s="47" t="str">
        <f ca="1">IFERROR(__xludf.DUMMYFUNCTION("""COMPUTED_VALUE"""),"Velvet Scoter")</f>
        <v>Velvet Scoter</v>
      </c>
      <c r="E519" s="52">
        <f ca="1">IFERROR(__xludf.DUMMYFUNCTION("""COMPUTED_VALUE"""),2)</f>
        <v>2</v>
      </c>
      <c r="F519" s="25"/>
      <c r="G519" s="48" t="str">
        <f ca="1">IFERROR(__xludf.DUMMYFUNCTION("""COMPUTED_VALUE"""),"Hilbre")</f>
        <v>Hilbre</v>
      </c>
      <c r="H519" s="22">
        <f ca="1">IFERROR(__xludf.DUMMYFUNCTION("""COMPUTED_VALUE"""),40280)</f>
        <v>40280</v>
      </c>
      <c r="I519" s="22">
        <f ca="1">IFERROR(__xludf.DUMMYFUNCTION("""COMPUTED_VALUE"""),40280)</f>
        <v>40280</v>
      </c>
      <c r="J519" s="24" t="str">
        <f ca="1">IFERROR(__xludf.DUMMYFUNCTION("""COMPUTED_VALUE"""),"Schofield, C")</f>
        <v>Schofield, C</v>
      </c>
      <c r="K519" s="25"/>
      <c r="L519" s="27" t="str">
        <f ca="1">IFERROR(__xludf.DUMMYFUNCTION("""COMPUTED_VALUE"""),"closed")</f>
        <v>closed</v>
      </c>
      <c r="M519" s="27" t="str">
        <f ca="1">IFERROR(__xludf.DUMMYFUNCTION("""COMPUTED_VALUE"""),"proxy")</f>
        <v>proxy</v>
      </c>
      <c r="N519" s="25" t="str">
        <f ca="1">IFERROR(__xludf.DUMMYFUNCTION("""COMPUTED_VALUE"""),"accepted")</f>
        <v>accepted</v>
      </c>
      <c r="O519" s="28"/>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c r="BH519" s="25"/>
      <c r="BI519" s="25"/>
      <c r="BJ519" s="25"/>
      <c r="BK519" s="25"/>
      <c r="BL519" s="25"/>
      <c r="BM519" s="25"/>
      <c r="BN519" s="25"/>
      <c r="BO519" s="25"/>
      <c r="BP519" s="25"/>
      <c r="BQ519" s="25"/>
      <c r="BR519" s="25"/>
      <c r="BS519" s="25"/>
      <c r="BT519" s="25"/>
      <c r="BU519" s="25"/>
      <c r="BV519" s="25"/>
      <c r="BW519" s="25"/>
      <c r="BX519" s="25"/>
      <c r="BY519" s="25"/>
      <c r="BZ519" s="25"/>
      <c r="CA519" s="25"/>
      <c r="CB519" s="25"/>
    </row>
    <row r="520" spans="1:80" ht="12.75" hidden="1" customHeight="1">
      <c r="A520" s="10">
        <f ca="1">IFERROR(__xludf.DUMMYFUNCTION("""COMPUTED_VALUE"""),2010)</f>
        <v>2010</v>
      </c>
      <c r="B520" s="50">
        <f ca="1">IFERROR(__xludf.DUMMYFUNCTION("""COMPUTED_VALUE"""),40627)</f>
        <v>40627</v>
      </c>
      <c r="C520" s="41">
        <f ca="1">IFERROR(__xludf.DUMMYFUNCTION("""COMPUTED_VALUE"""),40595)</f>
        <v>40595</v>
      </c>
      <c r="D520" s="42" t="str">
        <f ca="1">IFERROR(__xludf.DUMMYFUNCTION("""COMPUTED_VALUE"""),"White Stork")</f>
        <v>White Stork</v>
      </c>
      <c r="E520" s="53">
        <f ca="1">IFERROR(__xludf.DUMMYFUNCTION("""COMPUTED_VALUE"""),2)</f>
        <v>2</v>
      </c>
      <c r="F520" s="15"/>
      <c r="G520" s="44" t="str">
        <f ca="1">IFERROR(__xludf.DUMMYFUNCTION("""COMPUTED_VALUE"""),"Leighton Hospital Crewe")</f>
        <v>Leighton Hospital Crewe</v>
      </c>
      <c r="H520" s="12">
        <f ca="1">IFERROR(__xludf.DUMMYFUNCTION("""COMPUTED_VALUE"""),40284)</f>
        <v>40284</v>
      </c>
      <c r="I520" s="13"/>
      <c r="J520" s="14" t="str">
        <f ca="1">IFERROR(__xludf.DUMMYFUNCTION("""COMPUTED_VALUE"""),"Lythgoe, C")</f>
        <v>Lythgoe, C</v>
      </c>
      <c r="K520" s="15" t="str">
        <f ca="1">IFERROR(__xludf.DUMMYFUNCTION("""COMPUTED_VALUE"""),"Mark Stubbs")</f>
        <v>Mark Stubbs</v>
      </c>
      <c r="L520" s="17" t="str">
        <f ca="1">IFERROR(__xludf.DUMMYFUNCTION("""COMPUTED_VALUE"""),"closed")</f>
        <v>closed</v>
      </c>
      <c r="M520" s="17" t="str">
        <f ca="1">IFERROR(__xludf.DUMMYFUNCTION("""COMPUTED_VALUE"""),"1st U")</f>
        <v>1st U</v>
      </c>
      <c r="N520" s="15" t="str">
        <f ca="1">IFERROR(__xludf.DUMMYFUNCTION("""COMPUTED_VALUE"""),"accepted")</f>
        <v>accepted</v>
      </c>
      <c r="O520" s="18" t="str">
        <f ca="1">IFERROR(__xludf.DUMMYFUNCTION("""COMPUTED_VALUE"""),"ID accepted - origin assum,ed to be captive. The bird in the photo appears to be ringed")</f>
        <v>ID accepted - origin assum,ed to be captive. The bird in the photo appears to be ringed</v>
      </c>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row>
    <row r="521" spans="1:80" ht="12.75" hidden="1" customHeight="1">
      <c r="A521" s="20">
        <f ca="1">IFERROR(__xludf.DUMMYFUNCTION("""COMPUTED_VALUE"""),2010)</f>
        <v>2010</v>
      </c>
      <c r="B521" s="45">
        <f ca="1">IFERROR(__xludf.DUMMYFUNCTION("""COMPUTED_VALUE"""),40777)</f>
        <v>40777</v>
      </c>
      <c r="C521" s="46"/>
      <c r="D521" s="47" t="str">
        <f ca="1">IFERROR(__xludf.DUMMYFUNCTION("""COMPUTED_VALUE"""),"Black Kite (now Kite spp)")</f>
        <v>Black Kite (now Kite spp)</v>
      </c>
      <c r="E521" s="52">
        <f ca="1">IFERROR(__xludf.DUMMYFUNCTION("""COMPUTED_VALUE"""),1)</f>
        <v>1</v>
      </c>
      <c r="F521" s="25"/>
      <c r="G521" s="48" t="str">
        <f ca="1">IFERROR(__xludf.DUMMYFUNCTION("""COMPUTED_VALUE"""),"Chester")</f>
        <v>Chester</v>
      </c>
      <c r="H521" s="22">
        <f ca="1">IFERROR(__xludf.DUMMYFUNCTION("""COMPUTED_VALUE"""),40332)</f>
        <v>40332</v>
      </c>
      <c r="I521" s="22">
        <f ca="1">IFERROR(__xludf.DUMMYFUNCTION("""COMPUTED_VALUE"""),40332)</f>
        <v>40332</v>
      </c>
      <c r="J521" s="24"/>
      <c r="K521" s="25"/>
      <c r="L521" s="27" t="str">
        <f ca="1">IFERROR(__xludf.DUMMYFUNCTION("""COMPUTED_VALUE"""),"closed")</f>
        <v>closed</v>
      </c>
      <c r="M521" s="27"/>
      <c r="N521" s="25" t="str">
        <f ca="1">IFERROR(__xludf.DUMMYFUNCTION("""COMPUTED_VALUE"""),"withdrawn by observer")</f>
        <v>withdrawn by observer</v>
      </c>
      <c r="O521" s="28" t="str">
        <f ca="1">IFERROR(__xludf.DUMMYFUNCTION("""COMPUTED_VALUE"""),"Observer has withdrawn record (reduced to an accepted Kite spp) Seen circling distantly over the Zoological gardens.  Red Kite also seen on same day")</f>
        <v>Observer has withdrawn record (reduced to an accepted Kite spp) Seen circling distantly over the Zoological gardens.  Red Kite also seen on same day</v>
      </c>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c r="BQ521" s="25"/>
      <c r="BR521" s="25"/>
      <c r="BS521" s="25"/>
      <c r="BT521" s="25"/>
      <c r="BU521" s="25"/>
      <c r="BV521" s="25"/>
      <c r="BW521" s="25"/>
      <c r="BX521" s="25"/>
      <c r="BY521" s="25"/>
      <c r="BZ521" s="25"/>
      <c r="CA521" s="25"/>
      <c r="CB521" s="25"/>
    </row>
    <row r="522" spans="1:80" ht="13.5" hidden="1">
      <c r="A522" s="10">
        <f ca="1">IFERROR(__xludf.DUMMYFUNCTION("""COMPUTED_VALUE"""),2010)</f>
        <v>2010</v>
      </c>
      <c r="B522" s="50">
        <f ca="1">IFERROR(__xludf.DUMMYFUNCTION("""COMPUTED_VALUE"""),40606)</f>
        <v>40606</v>
      </c>
      <c r="C522" s="41">
        <f ca="1">IFERROR(__xludf.DUMMYFUNCTION("""COMPUTED_VALUE"""),40586)</f>
        <v>40586</v>
      </c>
      <c r="D522" s="42" t="str">
        <f ca="1">IFERROR(__xludf.DUMMYFUNCTION("""COMPUTED_VALUE"""),"Goshawk")</f>
        <v>Goshawk</v>
      </c>
      <c r="E522" s="53">
        <f ca="1">IFERROR(__xludf.DUMMYFUNCTION("""COMPUTED_VALUE"""),1)</f>
        <v>1</v>
      </c>
      <c r="F522" s="15" t="str">
        <f ca="1">IFERROR(__xludf.DUMMYFUNCTION("""COMPUTED_VALUE"""),"juv")</f>
        <v>juv</v>
      </c>
      <c r="G522" s="44" t="str">
        <f ca="1">IFERROR(__xludf.DUMMYFUNCTION("""COMPUTED_VALUE"""),"Frodsham - (precise location witheld)")</f>
        <v>Frodsham - (precise location witheld)</v>
      </c>
      <c r="H522" s="12">
        <f ca="1">IFERROR(__xludf.DUMMYFUNCTION("""COMPUTED_VALUE"""),40442)</f>
        <v>40442</v>
      </c>
      <c r="I522" s="13"/>
      <c r="J522" s="14" t="str">
        <f ca="1">IFERROR(__xludf.DUMMYFUNCTION("""COMPUTED_VALUE"""),"Case, N")</f>
        <v>Case, N</v>
      </c>
      <c r="K522" s="15" t="str">
        <f ca="1">IFERROR(__xludf.DUMMYFUNCTION("""COMPUTED_VALUE"""),"Case, N")</f>
        <v>Case, N</v>
      </c>
      <c r="L522" s="17" t="str">
        <f ca="1">IFERROR(__xludf.DUMMYFUNCTION("""COMPUTED_VALUE"""),"closed")</f>
        <v>closed</v>
      </c>
      <c r="M522" s="17" t="str">
        <f ca="1">IFERROR(__xludf.DUMMYFUNCTION("""COMPUTED_VALUE"""),"1st U")</f>
        <v>1st U</v>
      </c>
      <c r="N522" s="15" t="str">
        <f ca="1">IFERROR(__xludf.DUMMYFUNCTION("""COMPUTED_VALUE"""),"accepted")</f>
        <v>accepted</v>
      </c>
      <c r="O522" s="18" t="str">
        <f ca="1">IFERROR(__xludf.DUMMYFUNCTION("""COMPUTED_VALUE"""),"Photographed")</f>
        <v>Photographed</v>
      </c>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row>
    <row r="523" spans="1:80" ht="12.75" hidden="1" customHeight="1">
      <c r="A523" s="20">
        <f ca="1">IFERROR(__xludf.DUMMYFUNCTION("""COMPUTED_VALUE"""),2010)</f>
        <v>2010</v>
      </c>
      <c r="B523" s="45">
        <f ca="1">IFERROR(__xludf.DUMMYFUNCTION("""COMPUTED_VALUE"""),40609)</f>
        <v>40609</v>
      </c>
      <c r="C523" s="46">
        <f ca="1">IFERROR(__xludf.DUMMYFUNCTION("""COMPUTED_VALUE"""),40599)</f>
        <v>40599</v>
      </c>
      <c r="D523" s="47" t="str">
        <f ca="1">IFERROR(__xludf.DUMMYFUNCTION("""COMPUTED_VALUE"""),"Goshawk")</f>
        <v>Goshawk</v>
      </c>
      <c r="E523" s="52">
        <f ca="1">IFERROR(__xludf.DUMMYFUNCTION("""COMPUTED_VALUE"""),1)</f>
        <v>1</v>
      </c>
      <c r="F523" s="25" t="str">
        <f ca="1">IFERROR(__xludf.DUMMYFUNCTION("""COMPUTED_VALUE"""),"fem")</f>
        <v>fem</v>
      </c>
      <c r="G523" s="48" t="str">
        <f ca="1">IFERROR(__xludf.DUMMYFUNCTION("""COMPUTED_VALUE"""),"Farndon")</f>
        <v>Farndon</v>
      </c>
      <c r="H523" s="22">
        <f ca="1">IFERROR(__xludf.DUMMYFUNCTION("""COMPUTED_VALUE"""),40462)</f>
        <v>40462</v>
      </c>
      <c r="I523" s="23"/>
      <c r="J523" s="24"/>
      <c r="K523" s="25"/>
      <c r="L523" s="27" t="str">
        <f ca="1">IFERROR(__xludf.DUMMYFUNCTION("""COMPUTED_VALUE"""),"closed")</f>
        <v>closed</v>
      </c>
      <c r="M523" s="27" t="str">
        <f ca="1">IFERROR(__xludf.DUMMYFUNCTION("""COMPUTED_VALUE"""),"3rd M")</f>
        <v>3rd M</v>
      </c>
      <c r="N523" s="25" t="str">
        <f ca="1">IFERROR(__xludf.DUMMYFUNCTION("""COMPUTED_VALUE"""),"unproven")</f>
        <v>unproven</v>
      </c>
      <c r="O523" s="28"/>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c r="AM523" s="25"/>
      <c r="AN523" s="25"/>
      <c r="AO523" s="25"/>
      <c r="AP523" s="25"/>
      <c r="AQ523" s="25"/>
      <c r="AR523" s="25"/>
      <c r="AS523" s="25"/>
      <c r="AT523" s="25"/>
      <c r="AU523" s="25"/>
      <c r="AV523" s="25"/>
      <c r="AW523" s="25"/>
      <c r="AX523" s="25"/>
      <c r="AY523" s="25"/>
      <c r="AZ523" s="25"/>
      <c r="BA523" s="25"/>
      <c r="BB523" s="25"/>
      <c r="BC523" s="25"/>
      <c r="BD523" s="25"/>
      <c r="BE523" s="25"/>
      <c r="BF523" s="25"/>
      <c r="BG523" s="25"/>
      <c r="BH523" s="25"/>
      <c r="BI523" s="25"/>
      <c r="BJ523" s="25"/>
      <c r="BK523" s="25"/>
      <c r="BL523" s="25"/>
      <c r="BM523" s="25"/>
      <c r="BN523" s="25"/>
      <c r="BO523" s="25"/>
      <c r="BP523" s="25"/>
      <c r="BQ523" s="25"/>
      <c r="BR523" s="25"/>
      <c r="BS523" s="25"/>
      <c r="BT523" s="25"/>
      <c r="BU523" s="25"/>
      <c r="BV523" s="25"/>
      <c r="BW523" s="25"/>
      <c r="BX523" s="25"/>
      <c r="BY523" s="25"/>
      <c r="BZ523" s="25"/>
      <c r="CA523" s="25"/>
      <c r="CB523" s="25"/>
    </row>
    <row r="524" spans="1:80" ht="12.75" hidden="1" customHeight="1">
      <c r="A524" s="10">
        <f ca="1">IFERROR(__xludf.DUMMYFUNCTION("""COMPUTED_VALUE"""),2010)</f>
        <v>2010</v>
      </c>
      <c r="B524" s="50">
        <f ca="1">IFERROR(__xludf.DUMMYFUNCTION("""COMPUTED_VALUE"""),40773)</f>
        <v>40773</v>
      </c>
      <c r="C524" s="41"/>
      <c r="D524" s="42" t="str">
        <f ca="1">IFERROR(__xludf.DUMMYFUNCTION("""COMPUTED_VALUE"""),"Goshawk")</f>
        <v>Goshawk</v>
      </c>
      <c r="E524" s="53">
        <f ca="1">IFERROR(__xludf.DUMMYFUNCTION("""COMPUTED_VALUE"""),1)</f>
        <v>1</v>
      </c>
      <c r="F524" s="15" t="str">
        <f ca="1">IFERROR(__xludf.DUMMYFUNCTION("""COMPUTED_VALUE"""),"1stw Fem")</f>
        <v>1stw Fem</v>
      </c>
      <c r="G524" s="44" t="str">
        <f ca="1">IFERROR(__xludf.DUMMYFUNCTION("""COMPUTED_VALUE"""),"Hale Shore")</f>
        <v>Hale Shore</v>
      </c>
      <c r="H524" s="12">
        <f ca="1">IFERROR(__xludf.DUMMYFUNCTION("""COMPUTED_VALUE"""),40487)</f>
        <v>40487</v>
      </c>
      <c r="I524" s="13"/>
      <c r="J524" s="14" t="str">
        <f ca="1">IFERROR(__xludf.DUMMYFUNCTION("""COMPUTED_VALUE"""),"Cockbain, RP&amp;CA")</f>
        <v>Cockbain, RP&amp;CA</v>
      </c>
      <c r="K524" s="15" t="str">
        <f ca="1">IFERROR(__xludf.DUMMYFUNCTION("""COMPUTED_VALUE"""),"Cockbain, RP&amp;CA")</f>
        <v>Cockbain, RP&amp;CA</v>
      </c>
      <c r="L524" s="17" t="str">
        <f ca="1">IFERROR(__xludf.DUMMYFUNCTION("""COMPUTED_VALUE"""),"closed")</f>
        <v>closed</v>
      </c>
      <c r="M524" s="17" t="str">
        <f ca="1">IFERROR(__xludf.DUMMYFUNCTION("""COMPUTED_VALUE"""),"1st U")</f>
        <v>1st U</v>
      </c>
      <c r="N524" s="15" t="str">
        <f ca="1">IFERROR(__xludf.DUMMYFUNCTION("""COMPUTED_VALUE"""),"accepted")</f>
        <v>accepted</v>
      </c>
      <c r="O524" s="18"/>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row>
    <row r="525" spans="1:80" ht="12.75" hidden="1" customHeight="1">
      <c r="A525" s="20">
        <f ca="1">IFERROR(__xludf.DUMMYFUNCTION("""COMPUTED_VALUE"""),2010)</f>
        <v>2010</v>
      </c>
      <c r="B525" s="45">
        <f ca="1">IFERROR(__xludf.DUMMYFUNCTION("""COMPUTED_VALUE"""),40775)</f>
        <v>40775</v>
      </c>
      <c r="C525" s="46">
        <f ca="1">IFERROR(__xludf.DUMMYFUNCTION("""COMPUTED_VALUE"""),40773)</f>
        <v>40773</v>
      </c>
      <c r="D525" s="47" t="str">
        <f ca="1">IFERROR(__xludf.DUMMYFUNCTION("""COMPUTED_VALUE"""),"Goshawk")</f>
        <v>Goshawk</v>
      </c>
      <c r="E525" s="52">
        <f ca="1">IFERROR(__xludf.DUMMYFUNCTION("""COMPUTED_VALUE"""),2)</f>
        <v>2</v>
      </c>
      <c r="F525" s="25"/>
      <c r="G525" s="48" t="str">
        <f ca="1">IFERROR(__xludf.DUMMYFUNCTION("""COMPUTED_VALUE"""),"Peckforton")</f>
        <v>Peckforton</v>
      </c>
      <c r="H525" s="22">
        <f ca="1">IFERROR(__xludf.DUMMYFUNCTION("""COMPUTED_VALUE"""),40246)</f>
        <v>40246</v>
      </c>
      <c r="I525" s="22">
        <f ca="1">IFERROR(__xludf.DUMMYFUNCTION("""COMPUTED_VALUE"""),40253)</f>
        <v>40253</v>
      </c>
      <c r="J525" s="24" t="str">
        <f ca="1">IFERROR(__xludf.DUMMYFUNCTION("""COMPUTED_VALUE"""),"Anderson, R")</f>
        <v>Anderson, R</v>
      </c>
      <c r="K525" s="25" t="str">
        <f ca="1">IFERROR(__xludf.DUMMYFUNCTION("""COMPUTED_VALUE"""),"Anderson, R")</f>
        <v>Anderson, R</v>
      </c>
      <c r="L525" s="27" t="str">
        <f ca="1">IFERROR(__xludf.DUMMYFUNCTION("""COMPUTED_VALUE"""),"closed")</f>
        <v>closed</v>
      </c>
      <c r="M525" s="27" t="str">
        <f ca="1">IFERROR(__xludf.DUMMYFUNCTION("""COMPUTED_VALUE"""),"1st U")</f>
        <v>1st U</v>
      </c>
      <c r="N525" s="25" t="str">
        <f ca="1">IFERROR(__xludf.DUMMYFUNCTION("""COMPUTED_VALUE"""),"accepted")</f>
        <v>accepted</v>
      </c>
      <c r="O525" s="28"/>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c r="BP525" s="25"/>
      <c r="BQ525" s="25"/>
      <c r="BR525" s="25"/>
      <c r="BS525" s="25"/>
      <c r="BT525" s="25"/>
      <c r="BU525" s="25"/>
      <c r="BV525" s="25"/>
      <c r="BW525" s="25"/>
      <c r="BX525" s="25"/>
      <c r="BY525" s="25"/>
      <c r="BZ525" s="25"/>
      <c r="CA525" s="25"/>
      <c r="CB525" s="25"/>
    </row>
    <row r="526" spans="1:80" ht="12.75" hidden="1" customHeight="1">
      <c r="A526" s="10">
        <f ca="1">IFERROR(__xludf.DUMMYFUNCTION("""COMPUTED_VALUE"""),2010)</f>
        <v>2010</v>
      </c>
      <c r="B526" s="50">
        <f ca="1">IFERROR(__xludf.DUMMYFUNCTION("""COMPUTED_VALUE"""),40606)</f>
        <v>40606</v>
      </c>
      <c r="C526" s="41">
        <f ca="1">IFERROR(__xludf.DUMMYFUNCTION("""COMPUTED_VALUE"""),40589)</f>
        <v>40589</v>
      </c>
      <c r="D526" s="42" t="str">
        <f ca="1">IFERROR(__xludf.DUMMYFUNCTION("""COMPUTED_VALUE"""),"Nightjar")</f>
        <v>Nightjar</v>
      </c>
      <c r="E526" s="53">
        <f ca="1">IFERROR(__xludf.DUMMYFUNCTION("""COMPUTED_VALUE"""),1)</f>
        <v>1</v>
      </c>
      <c r="F526" s="15" t="str">
        <f ca="1">IFERROR(__xludf.DUMMYFUNCTION("""COMPUTED_VALUE"""),"f")</f>
        <v>f</v>
      </c>
      <c r="G526" s="44" t="str">
        <f ca="1">IFERROR(__xludf.DUMMYFUNCTION("""COMPUTED_VALUE"""),"Wooslton Eyes")</f>
        <v>Wooslton Eyes</v>
      </c>
      <c r="H526" s="12">
        <f ca="1">IFERROR(__xludf.DUMMYFUNCTION("""COMPUTED_VALUE"""),40320)</f>
        <v>40320</v>
      </c>
      <c r="I526" s="13"/>
      <c r="J526" s="14" t="str">
        <f ca="1">IFERROR(__xludf.DUMMYFUNCTION("""COMPUTED_VALUE"""),"Bayley, S")</f>
        <v>Bayley, S</v>
      </c>
      <c r="K526" s="15" t="str">
        <f ca="1">IFERROR(__xludf.DUMMYFUNCTION("""COMPUTED_VALUE"""),"Bayley, S")</f>
        <v>Bayley, S</v>
      </c>
      <c r="L526" s="17" t="str">
        <f ca="1">IFERROR(__xludf.DUMMYFUNCTION("""COMPUTED_VALUE"""),"closed")</f>
        <v>closed</v>
      </c>
      <c r="M526" s="17" t="str">
        <f ca="1">IFERROR(__xludf.DUMMYFUNCTION("""COMPUTED_VALUE"""),"1st U")</f>
        <v>1st U</v>
      </c>
      <c r="N526" s="15" t="str">
        <f ca="1">IFERROR(__xludf.DUMMYFUNCTION("""COMPUTED_VALUE"""),"Accepted")</f>
        <v>Accepted</v>
      </c>
      <c r="O526" s="18"/>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row>
    <row r="527" spans="1:80" ht="12.75" hidden="1" customHeight="1">
      <c r="A527" s="20">
        <f ca="1">IFERROR(__xludf.DUMMYFUNCTION("""COMPUTED_VALUE"""),2010)</f>
        <v>2010</v>
      </c>
      <c r="B527" s="45">
        <f ca="1">IFERROR(__xludf.DUMMYFUNCTION("""COMPUTED_VALUE"""),40773)</f>
        <v>40773</v>
      </c>
      <c r="C527" s="46">
        <f ca="1">IFERROR(__xludf.DUMMYFUNCTION("""COMPUTED_VALUE"""),40603)</f>
        <v>40603</v>
      </c>
      <c r="D527" s="47" t="str">
        <f ca="1">IFERROR(__xludf.DUMMYFUNCTION("""COMPUTED_VALUE"""),"White-winged Black Tern")</f>
        <v>White-winged Black Tern</v>
      </c>
      <c r="E527" s="52">
        <f ca="1">IFERROR(__xludf.DUMMYFUNCTION("""COMPUTED_VALUE"""),1)</f>
        <v>1</v>
      </c>
      <c r="F527" s="25"/>
      <c r="G527" s="48" t="str">
        <f ca="1">IFERROR(__xludf.DUMMYFUNCTION("""COMPUTED_VALUE"""),"Inner Marsh Farm RSPB")</f>
        <v>Inner Marsh Farm RSPB</v>
      </c>
      <c r="H527" s="22">
        <f ca="1">IFERROR(__xludf.DUMMYFUNCTION("""COMPUTED_VALUE"""),40469)</f>
        <v>40469</v>
      </c>
      <c r="I527" s="23"/>
      <c r="J527" s="24" t="str">
        <f ca="1">IFERROR(__xludf.DUMMYFUNCTION("""COMPUTED_VALUE"""),"Turner, JE")</f>
        <v>Turner, JE</v>
      </c>
      <c r="K527" s="25" t="str">
        <f ca="1">IFERROR(__xludf.DUMMYFUNCTION("""COMPUTED_VALUE"""),"?")</f>
        <v>?</v>
      </c>
      <c r="L527" s="27" t="str">
        <f ca="1">IFERROR(__xludf.DUMMYFUNCTION("""COMPUTED_VALUE"""),"closed")</f>
        <v>closed</v>
      </c>
      <c r="M527" s="27"/>
      <c r="N527" s="25" t="str">
        <f ca="1">IFERROR(__xludf.DUMMYFUNCTION("""COMPUTED_VALUE"""),"accepted")</f>
        <v>accepted</v>
      </c>
      <c r="O527" s="28" t="str">
        <f ca="1">IFERROR(__xludf.DUMMYFUNCTION("""COMPUTED_VALUE"""),"photos")</f>
        <v>photos</v>
      </c>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c r="BH527" s="25"/>
      <c r="BI527" s="25"/>
      <c r="BJ527" s="25"/>
      <c r="BK527" s="25"/>
      <c r="BL527" s="25"/>
      <c r="BM527" s="25"/>
      <c r="BN527" s="25"/>
      <c r="BO527" s="25"/>
      <c r="BP527" s="25"/>
      <c r="BQ527" s="25"/>
      <c r="BR527" s="25"/>
      <c r="BS527" s="25"/>
      <c r="BT527" s="25"/>
      <c r="BU527" s="25"/>
      <c r="BV527" s="25"/>
      <c r="BW527" s="25"/>
      <c r="BX527" s="25"/>
      <c r="BY527" s="25"/>
      <c r="BZ527" s="25"/>
      <c r="CA527" s="25"/>
      <c r="CB527" s="25"/>
    </row>
    <row r="528" spans="1:80" ht="12.75" hidden="1" customHeight="1">
      <c r="A528" s="10">
        <f ca="1">IFERROR(__xludf.DUMMYFUNCTION("""COMPUTED_VALUE"""),2010)</f>
        <v>2010</v>
      </c>
      <c r="B528" s="50">
        <f ca="1">IFERROR(__xludf.DUMMYFUNCTION("""COMPUTED_VALUE"""),40773)</f>
        <v>40773</v>
      </c>
      <c r="C528" s="41">
        <f ca="1">IFERROR(__xludf.DUMMYFUNCTION("""COMPUTED_VALUE"""),40603)</f>
        <v>40603</v>
      </c>
      <c r="D528" s="42" t="str">
        <f ca="1">IFERROR(__xludf.DUMMYFUNCTION("""COMPUTED_VALUE"""),"White-winged Black Tern")</f>
        <v>White-winged Black Tern</v>
      </c>
      <c r="E528" s="53">
        <f ca="1">IFERROR(__xludf.DUMMYFUNCTION("""COMPUTED_VALUE"""),1)</f>
        <v>1</v>
      </c>
      <c r="F528" s="15"/>
      <c r="G528" s="44" t="str">
        <f ca="1">IFERROR(__xludf.DUMMYFUNCTION("""COMPUTED_VALUE"""),"Inner Marsh Farm RSPB")</f>
        <v>Inner Marsh Farm RSPB</v>
      </c>
      <c r="H528" s="12">
        <f ca="1">IFERROR(__xludf.DUMMYFUNCTION("""COMPUTED_VALUE"""),40466)</f>
        <v>40466</v>
      </c>
      <c r="I528" s="12"/>
      <c r="J528" s="14" t="str">
        <f ca="1">IFERROR(__xludf.DUMMYFUNCTION("""COMPUTED_VALUE"""),"Wright, N")</f>
        <v>Wright, N</v>
      </c>
      <c r="K528" s="15" t="str">
        <f ca="1">IFERROR(__xludf.DUMMYFUNCTION("""COMPUTED_VALUE"""),"?")</f>
        <v>?</v>
      </c>
      <c r="L528" s="17" t="str">
        <f ca="1">IFERROR(__xludf.DUMMYFUNCTION("""COMPUTED_VALUE"""),"closed")</f>
        <v>closed</v>
      </c>
      <c r="M528" s="17"/>
      <c r="N528" s="15" t="str">
        <f ca="1">IFERROR(__xludf.DUMMYFUNCTION("""COMPUTED_VALUE"""),"Accepted")</f>
        <v>Accepted</v>
      </c>
      <c r="O528" s="18"/>
      <c r="P528" s="15"/>
      <c r="Q528" s="58"/>
      <c r="R528" s="58"/>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row>
    <row r="529" spans="1:80" ht="12.75" hidden="1" customHeight="1">
      <c r="A529" s="20">
        <f ca="1">IFERROR(__xludf.DUMMYFUNCTION("""COMPUTED_VALUE"""),2010)</f>
        <v>2010</v>
      </c>
      <c r="B529" s="45">
        <f ca="1">IFERROR(__xludf.DUMMYFUNCTION("""COMPUTED_VALUE"""),40586)</f>
        <v>40586</v>
      </c>
      <c r="C529" s="46">
        <f ca="1">IFERROR(__xludf.DUMMYFUNCTION("""COMPUTED_VALUE"""),40581)</f>
        <v>40581</v>
      </c>
      <c r="D529" s="47" t="str">
        <f ca="1">IFERROR(__xludf.DUMMYFUNCTION("""COMPUTED_VALUE"""),"Roseate Tern")</f>
        <v>Roseate Tern</v>
      </c>
      <c r="E529" s="52">
        <f ca="1">IFERROR(__xludf.DUMMYFUNCTION("""COMPUTED_VALUE"""),1)</f>
        <v>1</v>
      </c>
      <c r="F529" s="25" t="str">
        <f ca="1">IFERROR(__xludf.DUMMYFUNCTION("""COMPUTED_VALUE"""),"ad")</f>
        <v>ad</v>
      </c>
      <c r="G529" s="48" t="str">
        <f ca="1">IFERROR(__xludf.DUMMYFUNCTION("""COMPUTED_VALUE"""),"New Brighton")</f>
        <v>New Brighton</v>
      </c>
      <c r="H529" s="22">
        <f ca="1">IFERROR(__xludf.DUMMYFUNCTION("""COMPUTED_VALUE"""),40376)</f>
        <v>40376</v>
      </c>
      <c r="I529" s="22">
        <f ca="1">IFERROR(__xludf.DUMMYFUNCTION("""COMPUTED_VALUE"""),40376)</f>
        <v>40376</v>
      </c>
      <c r="J529" s="24" t="str">
        <f ca="1">IFERROR(__xludf.DUMMYFUNCTION("""COMPUTED_VALUE"""),"Vaughan, T")</f>
        <v>Vaughan, T</v>
      </c>
      <c r="K529" s="25" t="str">
        <f ca="1">IFERROR(__xludf.DUMMYFUNCTION("""COMPUTED_VALUE"""),"Vaughan, T")</f>
        <v>Vaughan, T</v>
      </c>
      <c r="L529" s="27" t="str">
        <f ca="1">IFERROR(__xludf.DUMMYFUNCTION("""COMPUTED_VALUE"""),"closed")</f>
        <v>closed</v>
      </c>
      <c r="M529" s="27" t="str">
        <f ca="1">IFERROR(__xludf.DUMMYFUNCTION("""COMPUTED_VALUE"""),"1st U")</f>
        <v>1st U</v>
      </c>
      <c r="N529" s="25" t="str">
        <f ca="1">IFERROR(__xludf.DUMMYFUNCTION("""COMPUTED_VALUE"""),"Accepted")</f>
        <v>Accepted</v>
      </c>
      <c r="O529" s="28"/>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c r="BH529" s="25"/>
      <c r="BI529" s="25"/>
      <c r="BJ529" s="25"/>
      <c r="BK529" s="25"/>
      <c r="BL529" s="25"/>
      <c r="BM529" s="25"/>
      <c r="BN529" s="25"/>
      <c r="BO529" s="25"/>
      <c r="BP529" s="25"/>
      <c r="BQ529" s="25"/>
      <c r="BR529" s="25"/>
      <c r="BS529" s="25"/>
      <c r="BT529" s="25"/>
      <c r="BU529" s="25"/>
      <c r="BV529" s="25"/>
      <c r="BW529" s="25"/>
      <c r="BX529" s="25"/>
      <c r="BY529" s="25"/>
      <c r="BZ529" s="25"/>
      <c r="CA529" s="25"/>
      <c r="CB529" s="25"/>
    </row>
    <row r="530" spans="1:80" ht="12.75" hidden="1" customHeight="1">
      <c r="A530" s="10">
        <f ca="1">IFERROR(__xludf.DUMMYFUNCTION("""COMPUTED_VALUE"""),2010)</f>
        <v>2010</v>
      </c>
      <c r="B530" s="50">
        <f ca="1">IFERROR(__xludf.DUMMYFUNCTION("""COMPUTED_VALUE"""),40611)</f>
        <v>40611</v>
      </c>
      <c r="C530" s="41">
        <f ca="1">IFERROR(__xludf.DUMMYFUNCTION("""COMPUTED_VALUE"""),40596)</f>
        <v>40596</v>
      </c>
      <c r="D530" s="42" t="str">
        <f ca="1">IFERROR(__xludf.DUMMYFUNCTION("""COMPUTED_VALUE"""),"Wryneck")</f>
        <v>Wryneck</v>
      </c>
      <c r="E530" s="53">
        <f ca="1">IFERROR(__xludf.DUMMYFUNCTION("""COMPUTED_VALUE"""),1)</f>
        <v>1</v>
      </c>
      <c r="F530" s="15"/>
      <c r="G530" s="44" t="str">
        <f ca="1">IFERROR(__xludf.DUMMYFUNCTION("""COMPUTED_VALUE"""),"Meols")</f>
        <v>Meols</v>
      </c>
      <c r="H530" s="12">
        <f ca="1">IFERROR(__xludf.DUMMYFUNCTION("""COMPUTED_VALUE"""),40435)</f>
        <v>40435</v>
      </c>
      <c r="I530" s="13"/>
      <c r="J530" s="14" t="str">
        <f ca="1">IFERROR(__xludf.DUMMYFUNCTION("""COMPUTED_VALUE"""),"Dummigan, K")</f>
        <v>Dummigan, K</v>
      </c>
      <c r="K530" s="15" t="str">
        <f ca="1">IFERROR(__xludf.DUMMYFUNCTION("""COMPUTED_VALUE"""),"Dummigan, K")</f>
        <v>Dummigan, K</v>
      </c>
      <c r="L530" s="17" t="str">
        <f ca="1">IFERROR(__xludf.DUMMYFUNCTION("""COMPUTED_VALUE"""),"closed")</f>
        <v>closed</v>
      </c>
      <c r="M530" s="17" t="str">
        <f ca="1">IFERROR(__xludf.DUMMYFUNCTION("""COMPUTED_VALUE"""),"1st U")</f>
        <v>1st U</v>
      </c>
      <c r="N530" s="15" t="str">
        <f ca="1">IFERROR(__xludf.DUMMYFUNCTION("""COMPUTED_VALUE"""),"Accepted")</f>
        <v>Accepted</v>
      </c>
      <c r="O530" s="18"/>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row>
    <row r="531" spans="1:80" ht="12.75" hidden="1" customHeight="1">
      <c r="A531" s="20">
        <f ca="1">IFERROR(__xludf.DUMMYFUNCTION("""COMPUTED_VALUE"""),2010)</f>
        <v>2010</v>
      </c>
      <c r="B531" s="45">
        <f ca="1">IFERROR(__xludf.DUMMYFUNCTION("""COMPUTED_VALUE"""),40735)</f>
        <v>40735</v>
      </c>
      <c r="C531" s="46">
        <f ca="1">IFERROR(__xludf.DUMMYFUNCTION("""COMPUTED_VALUE"""),40603)</f>
        <v>40603</v>
      </c>
      <c r="D531" s="47" t="str">
        <f ca="1">IFERROR(__xludf.DUMMYFUNCTION("""COMPUTED_VALUE"""),"Wryneck")</f>
        <v>Wryneck</v>
      </c>
      <c r="E531" s="52">
        <f ca="1">IFERROR(__xludf.DUMMYFUNCTION("""COMPUTED_VALUE"""),1)</f>
        <v>1</v>
      </c>
      <c r="F531" s="25"/>
      <c r="G531" s="48" t="str">
        <f ca="1">IFERROR(__xludf.DUMMYFUNCTION("""COMPUTED_VALUE"""),"Chelford")</f>
        <v>Chelford</v>
      </c>
      <c r="H531" s="22">
        <f ca="1">IFERROR(__xludf.DUMMYFUNCTION("""COMPUTED_VALUE"""),40392)</f>
        <v>40392</v>
      </c>
      <c r="I531" s="23"/>
      <c r="J531" s="24"/>
      <c r="K531" s="25"/>
      <c r="L531" s="27" t="str">
        <f ca="1">IFERROR(__xludf.DUMMYFUNCTION("""COMPUTED_VALUE"""),"closed")</f>
        <v>closed</v>
      </c>
      <c r="M531" s="27" t="str">
        <f ca="1">IFERROR(__xludf.DUMMYFUNCTION("""COMPUTED_VALUE"""),"3rd U")</f>
        <v>3rd U</v>
      </c>
      <c r="N531" s="25" t="str">
        <f ca="1">IFERROR(__xludf.DUMMYFUNCTION("""COMPUTED_VALUE"""),"unproven")</f>
        <v>unproven</v>
      </c>
      <c r="O531" s="28"/>
      <c r="P531" s="25"/>
      <c r="Q531" s="40"/>
      <c r="R531" s="40"/>
      <c r="S531" s="25"/>
      <c r="T531" s="25"/>
      <c r="U531" s="25"/>
      <c r="V531" s="25"/>
      <c r="W531" s="25"/>
      <c r="X531" s="25"/>
      <c r="Y531" s="25"/>
      <c r="Z531" s="25"/>
      <c r="AA531" s="25"/>
      <c r="AB531" s="25"/>
      <c r="AC531" s="25"/>
      <c r="AD531" s="25"/>
      <c r="AE531" s="25"/>
      <c r="AF531" s="25"/>
      <c r="AG531" s="25"/>
      <c r="AH531" s="25"/>
      <c r="AI531" s="25"/>
      <c r="AJ531" s="25"/>
      <c r="AK531" s="25"/>
      <c r="AL531" s="25"/>
      <c r="AM531" s="25"/>
      <c r="AN531" s="25"/>
      <c r="AO531" s="25"/>
      <c r="AP531" s="25"/>
      <c r="AQ531" s="25"/>
      <c r="AR531" s="25"/>
      <c r="AS531" s="25"/>
      <c r="AT531" s="25"/>
      <c r="AU531" s="25"/>
      <c r="AV531" s="25"/>
      <c r="AW531" s="25"/>
      <c r="AX531" s="25"/>
      <c r="AY531" s="25"/>
      <c r="AZ531" s="25"/>
      <c r="BA531" s="25"/>
      <c r="BB531" s="25"/>
      <c r="BC531" s="25"/>
      <c r="BD531" s="25"/>
      <c r="BE531" s="25"/>
      <c r="BF531" s="25"/>
      <c r="BG531" s="25"/>
      <c r="BH531" s="25"/>
      <c r="BI531" s="25"/>
      <c r="BJ531" s="25"/>
      <c r="BK531" s="25"/>
      <c r="BL531" s="25"/>
      <c r="BM531" s="25"/>
      <c r="BN531" s="25"/>
      <c r="BO531" s="25"/>
      <c r="BP531" s="25"/>
      <c r="BQ531" s="25"/>
      <c r="BR531" s="25"/>
      <c r="BS531" s="25"/>
      <c r="BT531" s="25"/>
      <c r="BU531" s="25"/>
      <c r="BV531" s="25"/>
      <c r="BW531" s="25"/>
      <c r="BX531" s="25"/>
      <c r="BY531" s="25"/>
      <c r="BZ531" s="25"/>
      <c r="CA531" s="25"/>
      <c r="CB531" s="25"/>
    </row>
    <row r="532" spans="1:80" ht="12.75" hidden="1" customHeight="1">
      <c r="A532" s="10">
        <f ca="1">IFERROR(__xludf.DUMMYFUNCTION("""COMPUTED_VALUE"""),2010)</f>
        <v>2010</v>
      </c>
      <c r="B532" s="50">
        <f ca="1">IFERROR(__xludf.DUMMYFUNCTION("""COMPUTED_VALUE"""),40584)</f>
        <v>40584</v>
      </c>
      <c r="C532" s="41">
        <f ca="1">IFERROR(__xludf.DUMMYFUNCTION("""COMPUTED_VALUE"""),40585)</f>
        <v>40585</v>
      </c>
      <c r="D532" s="42" t="str">
        <f ca="1">IFERROR(__xludf.DUMMYFUNCTION("""COMPUTED_VALUE"""),"Woodlark")</f>
        <v>Woodlark</v>
      </c>
      <c r="E532" s="53">
        <f ca="1">IFERROR(__xludf.DUMMYFUNCTION("""COMPUTED_VALUE"""),2)</f>
        <v>2</v>
      </c>
      <c r="F532" s="15"/>
      <c r="G532" s="44" t="str">
        <f ca="1">IFERROR(__xludf.DUMMYFUNCTION("""COMPUTED_VALUE"""),"Brereton Heath")</f>
        <v>Brereton Heath</v>
      </c>
      <c r="H532" s="12">
        <f ca="1">IFERROR(__xludf.DUMMYFUNCTION("""COMPUTED_VALUE"""),40489)</f>
        <v>40489</v>
      </c>
      <c r="I532" s="12">
        <f ca="1">IFERROR(__xludf.DUMMYFUNCTION("""COMPUTED_VALUE"""),40502)</f>
        <v>40502</v>
      </c>
      <c r="J532" s="14" t="str">
        <f ca="1">IFERROR(__xludf.DUMMYFUNCTION("""COMPUTED_VALUE"""),"Spottiswood, J")</f>
        <v>Spottiswood, J</v>
      </c>
      <c r="K532" s="15" t="str">
        <f ca="1">IFERROR(__xludf.DUMMYFUNCTION("""COMPUTED_VALUE"""),"same, Gill Barber found the 2nd bird")</f>
        <v>same, Gill Barber found the 2nd bird</v>
      </c>
      <c r="L532" s="17" t="str">
        <f ca="1">IFERROR(__xludf.DUMMYFUNCTION("""COMPUTED_VALUE"""),"closed")</f>
        <v>closed</v>
      </c>
      <c r="M532" s="17" t="str">
        <f ca="1">IFERROR(__xludf.DUMMYFUNCTION("""COMPUTED_VALUE"""),"1st U")</f>
        <v>1st U</v>
      </c>
      <c r="N532" s="15" t="str">
        <f ca="1">IFERROR(__xludf.DUMMYFUNCTION("""COMPUTED_VALUE"""),"accepted")</f>
        <v>accepted</v>
      </c>
      <c r="O532" s="18" t="str">
        <f ca="1">IFERROR(__xludf.DUMMYFUNCTION("""COMPUTED_VALUE"""),"frequently reported to Birdguides until 16/11/10 and then one until 20/11/10")</f>
        <v>frequently reported to Birdguides until 16/11/10 and then one until 20/11/10</v>
      </c>
      <c r="P532" s="15"/>
      <c r="Q532" s="58"/>
      <c r="R532" s="58"/>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row>
    <row r="533" spans="1:80" ht="12.75" hidden="1" customHeight="1">
      <c r="A533" s="20">
        <f ca="1">IFERROR(__xludf.DUMMYFUNCTION("""COMPUTED_VALUE"""),2010)</f>
        <v>2010</v>
      </c>
      <c r="B533" s="45">
        <f ca="1">IFERROR(__xludf.DUMMYFUNCTION("""COMPUTED_VALUE"""),40586)</f>
        <v>40586</v>
      </c>
      <c r="C533" s="46">
        <f ca="1">IFERROR(__xludf.DUMMYFUNCTION("""COMPUTED_VALUE"""),40585)</f>
        <v>40585</v>
      </c>
      <c r="D533" s="47" t="str">
        <f ca="1">IFERROR(__xludf.DUMMYFUNCTION("""COMPUTED_VALUE"""),"Woodlark")</f>
        <v>Woodlark</v>
      </c>
      <c r="E533" s="52">
        <f ca="1">IFERROR(__xludf.DUMMYFUNCTION("""COMPUTED_VALUE"""),2)</f>
        <v>2</v>
      </c>
      <c r="F533" s="25"/>
      <c r="G533" s="48" t="str">
        <f ca="1">IFERROR(__xludf.DUMMYFUNCTION("""COMPUTED_VALUE"""),"Brereton Heath")</f>
        <v>Brereton Heath</v>
      </c>
      <c r="H533" s="22">
        <f ca="1">IFERROR(__xludf.DUMMYFUNCTION("""COMPUTED_VALUE"""),40492)</f>
        <v>40492</v>
      </c>
      <c r="I533" s="23"/>
      <c r="J533" s="24" t="str">
        <f ca="1">IFERROR(__xludf.DUMMYFUNCTION("""COMPUTED_VALUE"""),"Booth, A")</f>
        <v>Booth, A</v>
      </c>
      <c r="K533" s="25" t="str">
        <f ca="1">IFERROR(__xludf.DUMMYFUNCTION("""COMPUTED_VALUE"""),"John Spottiswood")</f>
        <v>John Spottiswood</v>
      </c>
      <c r="L533" s="27" t="str">
        <f ca="1">IFERROR(__xludf.DUMMYFUNCTION("""COMPUTED_VALUE"""),"closed")</f>
        <v>closed</v>
      </c>
      <c r="M533" s="27" t="str">
        <f ca="1">IFERROR(__xludf.DUMMYFUNCTION("""COMPUTED_VALUE"""),"1st U")</f>
        <v>1st U</v>
      </c>
      <c r="N533" s="25" t="str">
        <f ca="1">IFERROR(__xludf.DUMMYFUNCTION("""COMPUTED_VALUE"""),"accepted")</f>
        <v>accepted</v>
      </c>
      <c r="O533" s="28"/>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c r="AR533" s="25"/>
      <c r="AS533" s="25"/>
      <c r="AT533" s="25"/>
      <c r="AU533" s="25"/>
      <c r="AV533" s="25"/>
      <c r="AW533" s="25"/>
      <c r="AX533" s="25"/>
      <c r="AY533" s="25"/>
      <c r="AZ533" s="25"/>
      <c r="BA533" s="25"/>
      <c r="BB533" s="25"/>
      <c r="BC533" s="25"/>
      <c r="BD533" s="25"/>
      <c r="BE533" s="25"/>
      <c r="BF533" s="25"/>
      <c r="BG533" s="25"/>
      <c r="BH533" s="25"/>
      <c r="BI533" s="25"/>
      <c r="BJ533" s="25"/>
      <c r="BK533" s="25"/>
      <c r="BL533" s="25"/>
      <c r="BM533" s="25"/>
      <c r="BN533" s="25"/>
      <c r="BO533" s="25"/>
      <c r="BP533" s="25"/>
      <c r="BQ533" s="25"/>
      <c r="BR533" s="25"/>
      <c r="BS533" s="25"/>
      <c r="BT533" s="25"/>
      <c r="BU533" s="25"/>
      <c r="BV533" s="25"/>
      <c r="BW533" s="25"/>
      <c r="BX533" s="25"/>
      <c r="BY533" s="25"/>
      <c r="BZ533" s="25"/>
      <c r="CA533" s="25"/>
      <c r="CB533" s="25"/>
    </row>
    <row r="534" spans="1:80" ht="12.75" hidden="1" customHeight="1">
      <c r="A534" s="10">
        <f ca="1">IFERROR(__xludf.DUMMYFUNCTION("""COMPUTED_VALUE"""),2010)</f>
        <v>2010</v>
      </c>
      <c r="B534" s="50">
        <f ca="1">IFERROR(__xludf.DUMMYFUNCTION("""COMPUTED_VALUE"""),40336)</f>
        <v>40336</v>
      </c>
      <c r="C534" s="41">
        <f ca="1">IFERROR(__xludf.DUMMYFUNCTION("""COMPUTED_VALUE"""),40245)</f>
        <v>40245</v>
      </c>
      <c r="D534" s="42" t="str">
        <f ca="1">IFERROR(__xludf.DUMMYFUNCTION("""COMPUTED_VALUE"""),"Water Pipit")</f>
        <v>Water Pipit</v>
      </c>
      <c r="E534" s="53">
        <f ca="1">IFERROR(__xludf.DUMMYFUNCTION("""COMPUTED_VALUE"""),1)</f>
        <v>1</v>
      </c>
      <c r="F534" s="15"/>
      <c r="G534" s="44" t="str">
        <f ca="1">IFERROR(__xludf.DUMMYFUNCTION("""COMPUTED_VALUE"""),"Frodsham No 4 tank")</f>
        <v>Frodsham No 4 tank</v>
      </c>
      <c r="H534" s="12">
        <f ca="1">IFERROR(__xludf.DUMMYFUNCTION("""COMPUTED_VALUE"""),40200)</f>
        <v>40200</v>
      </c>
      <c r="I534" s="13"/>
      <c r="J534" s="14" t="str">
        <f ca="1">IFERROR(__xludf.DUMMYFUNCTION("""COMPUTED_VALUE"""),"Menzie, S")</f>
        <v>Menzie, S</v>
      </c>
      <c r="K534" s="15" t="str">
        <f ca="1">IFERROR(__xludf.DUMMYFUNCTION("""COMPUTED_VALUE"""),"unknown")</f>
        <v>unknown</v>
      </c>
      <c r="L534" s="17" t="str">
        <f ca="1">IFERROR(__xludf.DUMMYFUNCTION("""COMPUTED_VALUE"""),"closed")</f>
        <v>closed</v>
      </c>
      <c r="M534" s="17" t="str">
        <f ca="1">IFERROR(__xludf.DUMMYFUNCTION("""COMPUTED_VALUE"""),"1st M")</f>
        <v>1st M</v>
      </c>
      <c r="N534" s="15" t="str">
        <f ca="1">IFERROR(__xludf.DUMMYFUNCTION("""COMPUTED_VALUE"""),"accepted")</f>
        <v>accepted</v>
      </c>
      <c r="O534" s="18" t="str">
        <f ca="1">IFERROR(__xludf.DUMMYFUNCTION("""COMPUTED_VALUE"""),"The only sumbission of this bird.")</f>
        <v>The only sumbission of this bird.</v>
      </c>
      <c r="P534" s="15"/>
      <c r="Q534" s="58"/>
      <c r="R534" s="58"/>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row>
    <row r="535" spans="1:80" ht="12.75" hidden="1" customHeight="1">
      <c r="A535" s="20">
        <f ca="1">IFERROR(__xludf.DUMMYFUNCTION("""COMPUTED_VALUE"""),2010)</f>
        <v>2010</v>
      </c>
      <c r="B535" s="45">
        <f ca="1">IFERROR(__xludf.DUMMYFUNCTION("""COMPUTED_VALUE"""),40611)</f>
        <v>40611</v>
      </c>
      <c r="C535" s="46">
        <f ca="1">IFERROR(__xludf.DUMMYFUNCTION("""COMPUTED_VALUE"""),40596)</f>
        <v>40596</v>
      </c>
      <c r="D535" s="47" t="str">
        <f ca="1">IFERROR(__xludf.DUMMYFUNCTION("""COMPUTED_VALUE"""),"Water Pipit")</f>
        <v>Water Pipit</v>
      </c>
      <c r="E535" s="52">
        <f ca="1">IFERROR(__xludf.DUMMYFUNCTION("""COMPUTED_VALUE"""),1)</f>
        <v>1</v>
      </c>
      <c r="F535" s="25"/>
      <c r="G535" s="48" t="str">
        <f ca="1">IFERROR(__xludf.DUMMYFUNCTION("""COMPUTED_VALUE"""),"Fourways SQ")</f>
        <v>Fourways SQ</v>
      </c>
      <c r="H535" s="22">
        <f ca="1">IFERROR(__xludf.DUMMYFUNCTION("""COMPUTED_VALUE"""),40181)</f>
        <v>40181</v>
      </c>
      <c r="I535" s="23"/>
      <c r="J535" s="24" t="str">
        <f ca="1">IFERROR(__xludf.DUMMYFUNCTION("""COMPUTED_VALUE"""),"Duff, F")</f>
        <v>Duff, F</v>
      </c>
      <c r="K535" s="25" t="str">
        <f ca="1">IFERROR(__xludf.DUMMYFUNCTION("""COMPUTED_VALUE"""),"Frank Duff")</f>
        <v>Frank Duff</v>
      </c>
      <c r="L535" s="27" t="str">
        <f ca="1">IFERROR(__xludf.DUMMYFUNCTION("""COMPUTED_VALUE"""),"closed")</f>
        <v>closed</v>
      </c>
      <c r="M535" s="27"/>
      <c r="N535" s="25" t="str">
        <f ca="1">IFERROR(__xludf.DUMMYFUNCTION("""COMPUTED_VALUE"""),"accepted")</f>
        <v>accepted</v>
      </c>
      <c r="O535" s="28"/>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c r="AR535" s="25"/>
      <c r="AS535" s="25"/>
      <c r="AT535" s="25"/>
      <c r="AU535" s="25"/>
      <c r="AV535" s="25"/>
      <c r="AW535" s="25"/>
      <c r="AX535" s="25"/>
      <c r="AY535" s="25"/>
      <c r="AZ535" s="25"/>
      <c r="BA535" s="25"/>
      <c r="BB535" s="25"/>
      <c r="BC535" s="25"/>
      <c r="BD535" s="25"/>
      <c r="BE535" s="25"/>
      <c r="BF535" s="25"/>
      <c r="BG535" s="25"/>
      <c r="BH535" s="25"/>
      <c r="BI535" s="25"/>
      <c r="BJ535" s="25"/>
      <c r="BK535" s="25"/>
      <c r="BL535" s="25"/>
      <c r="BM535" s="25"/>
      <c r="BN535" s="25"/>
      <c r="BO535" s="25"/>
      <c r="BP535" s="25"/>
      <c r="BQ535" s="25"/>
      <c r="BR535" s="25"/>
      <c r="BS535" s="25"/>
      <c r="BT535" s="25"/>
      <c r="BU535" s="25"/>
      <c r="BV535" s="25"/>
      <c r="BW535" s="25"/>
      <c r="BX535" s="25"/>
      <c r="BY535" s="25"/>
      <c r="BZ535" s="25"/>
      <c r="CA535" s="25"/>
      <c r="CB535" s="25"/>
    </row>
    <row r="536" spans="1:80" ht="12.75" hidden="1" customHeight="1">
      <c r="A536" s="10">
        <f ca="1">IFERROR(__xludf.DUMMYFUNCTION("""COMPUTED_VALUE"""),2010)</f>
        <v>2010</v>
      </c>
      <c r="B536" s="50">
        <f ca="1">IFERROR(__xludf.DUMMYFUNCTION("""COMPUTED_VALUE"""),40611)</f>
        <v>40611</v>
      </c>
      <c r="C536" s="41">
        <f ca="1">IFERROR(__xludf.DUMMYFUNCTION("""COMPUTED_VALUE"""),40596)</f>
        <v>40596</v>
      </c>
      <c r="D536" s="42" t="str">
        <f ca="1">IFERROR(__xludf.DUMMYFUNCTION("""COMPUTED_VALUE"""),"Water Pipit")</f>
        <v>Water Pipit</v>
      </c>
      <c r="E536" s="53">
        <f ca="1">IFERROR(__xludf.DUMMYFUNCTION("""COMPUTED_VALUE"""),1)</f>
        <v>1</v>
      </c>
      <c r="F536" s="15"/>
      <c r="G536" s="44" t="str">
        <f ca="1">IFERROR(__xludf.DUMMYFUNCTION("""COMPUTED_VALUE"""),"Fourways SQ")</f>
        <v>Fourways SQ</v>
      </c>
      <c r="H536" s="12">
        <f ca="1">IFERROR(__xludf.DUMMYFUNCTION("""COMPUTED_VALUE"""),40181)</f>
        <v>40181</v>
      </c>
      <c r="I536" s="13"/>
      <c r="J536" s="14" t="str">
        <f ca="1">IFERROR(__xludf.DUMMYFUNCTION("""COMPUTED_VALUE"""),"Woollen, P")</f>
        <v>Woollen, P</v>
      </c>
      <c r="K536" s="15" t="str">
        <f ca="1">IFERROR(__xludf.DUMMYFUNCTION("""COMPUTED_VALUE"""),"Frank Duff")</f>
        <v>Frank Duff</v>
      </c>
      <c r="L536" s="17" t="str">
        <f ca="1">IFERROR(__xludf.DUMMYFUNCTION("""COMPUTED_VALUE"""),"closed")</f>
        <v>closed</v>
      </c>
      <c r="M536" s="17"/>
      <c r="N536" s="15" t="str">
        <f ca="1">IFERROR(__xludf.DUMMYFUNCTION("""COMPUTED_VALUE"""),"accepted")</f>
        <v>accepted</v>
      </c>
      <c r="O536" s="18"/>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row>
    <row r="537" spans="1:80" ht="12.75" hidden="1" customHeight="1">
      <c r="A537" s="20">
        <f ca="1">IFERROR(__xludf.DUMMYFUNCTION("""COMPUTED_VALUE"""),2010)</f>
        <v>2010</v>
      </c>
      <c r="B537" s="45">
        <f ca="1">IFERROR(__xludf.DUMMYFUNCTION("""COMPUTED_VALUE"""),40805)</f>
        <v>40805</v>
      </c>
      <c r="C537" s="46">
        <f ca="1">IFERROR(__xludf.DUMMYFUNCTION("""COMPUTED_VALUE"""),40605)</f>
        <v>40605</v>
      </c>
      <c r="D537" s="47" t="str">
        <f ca="1">IFERROR(__xludf.DUMMYFUNCTION("""COMPUTED_VALUE"""),"Water Pipit")</f>
        <v>Water Pipit</v>
      </c>
      <c r="E537" s="52">
        <f ca="1">IFERROR(__xludf.DUMMYFUNCTION("""COMPUTED_VALUE"""),1)</f>
        <v>1</v>
      </c>
      <c r="F537" s="25"/>
      <c r="G537" s="48" t="str">
        <f ca="1">IFERROR(__xludf.DUMMYFUNCTION("""COMPUTED_VALUE"""),"Moore")</f>
        <v>Moore</v>
      </c>
      <c r="H537" s="22">
        <f ca="1">IFERROR(__xludf.DUMMYFUNCTION("""COMPUTED_VALUE"""),40480)</f>
        <v>40480</v>
      </c>
      <c r="I537" s="23"/>
      <c r="J537" s="24" t="str">
        <f ca="1">IFERROR(__xludf.DUMMYFUNCTION("""COMPUTED_VALUE"""),"Wilson, D")</f>
        <v>Wilson, D</v>
      </c>
      <c r="K537" s="25" t="str">
        <f ca="1">IFERROR(__xludf.DUMMYFUNCTION("""COMPUTED_VALUE"""),"Mark Feltham")</f>
        <v>Mark Feltham</v>
      </c>
      <c r="L537" s="27" t="str">
        <f ca="1">IFERROR(__xludf.DUMMYFUNCTION("""COMPUTED_VALUE"""),"closed")</f>
        <v>closed</v>
      </c>
      <c r="M537" s="27" t="str">
        <f ca="1">IFERROR(__xludf.DUMMYFUNCTION("""COMPUTED_VALUE"""),"1st M")</f>
        <v>1st M</v>
      </c>
      <c r="N537" s="25" t="str">
        <f ca="1">IFERROR(__xludf.DUMMYFUNCTION("""COMPUTED_VALUE"""),"accepted")</f>
        <v>accepted</v>
      </c>
      <c r="O537" s="28"/>
      <c r="P537" s="25"/>
      <c r="Q537" s="40"/>
      <c r="R537" s="40"/>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5"/>
      <c r="BO537" s="25"/>
      <c r="BP537" s="25"/>
      <c r="BQ537" s="25"/>
      <c r="BR537" s="25"/>
      <c r="BS537" s="25"/>
      <c r="BT537" s="25"/>
      <c r="BU537" s="25"/>
      <c r="BV537" s="25"/>
      <c r="BW537" s="25"/>
      <c r="BX537" s="25"/>
      <c r="BY537" s="25"/>
      <c r="BZ537" s="25"/>
      <c r="CA537" s="25"/>
      <c r="CB537" s="25"/>
    </row>
    <row r="538" spans="1:80" ht="12.75" hidden="1" customHeight="1">
      <c r="A538" s="10">
        <f ca="1">IFERROR(__xludf.DUMMYFUNCTION("""COMPUTED_VALUE"""),2010)</f>
        <v>2010</v>
      </c>
      <c r="B538" s="50">
        <f ca="1">IFERROR(__xludf.DUMMYFUNCTION("""COMPUTED_VALUE"""),40805)</f>
        <v>40805</v>
      </c>
      <c r="C538" s="41">
        <f ca="1">IFERROR(__xludf.DUMMYFUNCTION("""COMPUTED_VALUE"""),40605)</f>
        <v>40605</v>
      </c>
      <c r="D538" s="42" t="str">
        <f ca="1">IFERROR(__xludf.DUMMYFUNCTION("""COMPUTED_VALUE"""),"Water Pipit")</f>
        <v>Water Pipit</v>
      </c>
      <c r="E538" s="53">
        <f ca="1">IFERROR(__xludf.DUMMYFUNCTION("""COMPUTED_VALUE"""),1)</f>
        <v>1</v>
      </c>
      <c r="F538" s="15"/>
      <c r="G538" s="44" t="str">
        <f ca="1">IFERROR(__xludf.DUMMYFUNCTION("""COMPUTED_VALUE"""),"Moore")</f>
        <v>Moore</v>
      </c>
      <c r="H538" s="12">
        <f ca="1">IFERROR(__xludf.DUMMYFUNCTION("""COMPUTED_VALUE"""),40480)</f>
        <v>40480</v>
      </c>
      <c r="I538" s="13"/>
      <c r="J538" s="14" t="str">
        <f ca="1">IFERROR(__xludf.DUMMYFUNCTION("""COMPUTED_VALUE"""),"Feltham, M")</f>
        <v>Feltham, M</v>
      </c>
      <c r="K538" s="15" t="str">
        <f ca="1">IFERROR(__xludf.DUMMYFUNCTION("""COMPUTED_VALUE"""),"Feltham, M")</f>
        <v>Feltham, M</v>
      </c>
      <c r="L538" s="17" t="str">
        <f ca="1">IFERROR(__xludf.DUMMYFUNCTION("""COMPUTED_VALUE"""),"closed")</f>
        <v>closed</v>
      </c>
      <c r="M538" s="17" t="str">
        <f ca="1">IFERROR(__xludf.DUMMYFUNCTION("""COMPUTED_VALUE"""),"1st U")</f>
        <v>1st U</v>
      </c>
      <c r="N538" s="15" t="str">
        <f ca="1">IFERROR(__xludf.DUMMYFUNCTION("""COMPUTED_VALUE"""),"accepted")</f>
        <v>accepted</v>
      </c>
      <c r="O538" s="18"/>
      <c r="P538" s="15"/>
      <c r="Q538" s="58"/>
      <c r="R538" s="58"/>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row>
    <row r="539" spans="1:80" ht="12.75" hidden="1" customHeight="1">
      <c r="A539" s="20">
        <f ca="1">IFERROR(__xludf.DUMMYFUNCTION("""COMPUTED_VALUE"""),2010)</f>
        <v>2010</v>
      </c>
      <c r="B539" s="45">
        <f ca="1">IFERROR(__xludf.DUMMYFUNCTION("""COMPUTED_VALUE"""),40805)</f>
        <v>40805</v>
      </c>
      <c r="C539" s="46">
        <f ca="1">IFERROR(__xludf.DUMMYFUNCTION("""COMPUTED_VALUE"""),40612)</f>
        <v>40612</v>
      </c>
      <c r="D539" s="47" t="str">
        <f ca="1">IFERROR(__xludf.DUMMYFUNCTION("""COMPUTED_VALUE"""),"Water Pipit")</f>
        <v>Water Pipit</v>
      </c>
      <c r="E539" s="52">
        <f ca="1">IFERROR(__xludf.DUMMYFUNCTION("""COMPUTED_VALUE"""),1)</f>
        <v>1</v>
      </c>
      <c r="F539" s="25"/>
      <c r="G539" s="48" t="str">
        <f ca="1">IFERROR(__xludf.DUMMYFUNCTION("""COMPUTED_VALUE"""),"Neston")</f>
        <v>Neston</v>
      </c>
      <c r="H539" s="22">
        <f ca="1">IFERROR(__xludf.DUMMYFUNCTION("""COMPUTED_VALUE"""),40229)</f>
        <v>40229</v>
      </c>
      <c r="I539" s="23"/>
      <c r="J539" s="24" t="str">
        <f ca="1">IFERROR(__xludf.DUMMYFUNCTION("""COMPUTED_VALUE"""),"Adderley, R")</f>
        <v>Adderley, R</v>
      </c>
      <c r="K539" s="25" t="str">
        <f ca="1">IFERROR(__xludf.DUMMYFUNCTION("""COMPUTED_VALUE"""),"Adderley, R")</f>
        <v>Adderley, R</v>
      </c>
      <c r="L539" s="27" t="str">
        <f ca="1">IFERROR(__xludf.DUMMYFUNCTION("""COMPUTED_VALUE"""),"closed")</f>
        <v>closed</v>
      </c>
      <c r="M539" s="27" t="str">
        <f ca="1">IFERROR(__xludf.DUMMYFUNCTION("""COMPUTED_VALUE"""),"1st U")</f>
        <v>1st U</v>
      </c>
      <c r="N539" s="25" t="str">
        <f ca="1">IFERROR(__xludf.DUMMYFUNCTION("""COMPUTED_VALUE"""),"accepted")</f>
        <v>accepted</v>
      </c>
      <c r="O539" s="28" t="str">
        <f ca="1">IFERROR(__xludf.DUMMYFUNCTION("""COMPUTED_VALUE"""),"One of the photos shows a littoralis Rock Pipit")</f>
        <v>One of the photos shows a littoralis Rock Pipit</v>
      </c>
      <c r="P539" s="25"/>
      <c r="Q539" s="40"/>
      <c r="R539" s="40"/>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c r="AR539" s="25"/>
      <c r="AS539" s="25"/>
      <c r="AT539" s="25"/>
      <c r="AU539" s="25"/>
      <c r="AV539" s="25"/>
      <c r="AW539" s="25"/>
      <c r="AX539" s="25"/>
      <c r="AY539" s="25"/>
      <c r="AZ539" s="25"/>
      <c r="BA539" s="25"/>
      <c r="BB539" s="25"/>
      <c r="BC539" s="25"/>
      <c r="BD539" s="25"/>
      <c r="BE539" s="25"/>
      <c r="BF539" s="25"/>
      <c r="BG539" s="25"/>
      <c r="BH539" s="25"/>
      <c r="BI539" s="25"/>
      <c r="BJ539" s="25"/>
      <c r="BK539" s="25"/>
      <c r="BL539" s="25"/>
      <c r="BM539" s="25"/>
      <c r="BN539" s="25"/>
      <c r="BO539" s="25"/>
      <c r="BP539" s="25"/>
      <c r="BQ539" s="25"/>
      <c r="BR539" s="25"/>
      <c r="BS539" s="25"/>
      <c r="BT539" s="25"/>
      <c r="BU539" s="25"/>
      <c r="BV539" s="25"/>
      <c r="BW539" s="25"/>
      <c r="BX539" s="25"/>
      <c r="BY539" s="25"/>
      <c r="BZ539" s="25"/>
      <c r="CA539" s="25"/>
      <c r="CB539" s="25"/>
    </row>
    <row r="540" spans="1:80" ht="12.75" hidden="1" customHeight="1">
      <c r="A540" s="10">
        <f ca="1">IFERROR(__xludf.DUMMYFUNCTION("""COMPUTED_VALUE"""),2010)</f>
        <v>2010</v>
      </c>
      <c r="B540" s="50">
        <f ca="1">IFERROR(__xludf.DUMMYFUNCTION("""COMPUTED_VALUE"""),40336)</f>
        <v>40336</v>
      </c>
      <c r="C540" s="41">
        <f ca="1">IFERROR(__xludf.DUMMYFUNCTION("""COMPUTED_VALUE"""),40245)</f>
        <v>40245</v>
      </c>
      <c r="D540" s="42" t="str">
        <f ca="1">IFERROR(__xludf.DUMMYFUNCTION("""COMPUTED_VALUE"""),"Water/Rock pipit (littoralis/spinoletta)")</f>
        <v>Water/Rock pipit (littoralis/spinoletta)</v>
      </c>
      <c r="E540" s="53">
        <f ca="1">IFERROR(__xludf.DUMMYFUNCTION("""COMPUTED_VALUE"""),1)</f>
        <v>1</v>
      </c>
      <c r="F540" s="15"/>
      <c r="G540" s="44" t="str">
        <f ca="1">IFERROR(__xludf.DUMMYFUNCTION("""COMPUTED_VALUE"""),"Frodsham No 4 tank")</f>
        <v>Frodsham No 4 tank</v>
      </c>
      <c r="H540" s="12">
        <f ca="1">IFERROR(__xludf.DUMMYFUNCTION("""COMPUTED_VALUE"""),40200)</f>
        <v>40200</v>
      </c>
      <c r="I540" s="13"/>
      <c r="J540" s="14" t="str">
        <f ca="1">IFERROR(__xludf.DUMMYFUNCTION("""COMPUTED_VALUE"""),"Menzie, S")</f>
        <v>Menzie, S</v>
      </c>
      <c r="K540" s="15" t="str">
        <f ca="1">IFERROR(__xludf.DUMMYFUNCTION("""COMPUTED_VALUE"""),"Menzie, S")</f>
        <v>Menzie, S</v>
      </c>
      <c r="L540" s="17" t="str">
        <f ca="1">IFERROR(__xludf.DUMMYFUNCTION("""COMPUTED_VALUE"""),"closed")</f>
        <v>closed</v>
      </c>
      <c r="M540" s="17" t="str">
        <f ca="1">IFERROR(__xludf.DUMMYFUNCTION("""COMPUTED_VALUE"""),"1st M")</f>
        <v>1st M</v>
      </c>
      <c r="N540" s="15" t="str">
        <f ca="1">IFERROR(__xludf.DUMMYFUNCTION("""COMPUTED_VALUE"""),"accepted")</f>
        <v>accepted</v>
      </c>
      <c r="O540" s="18" t="str">
        <f ca="1">IFERROR(__xludf.DUMMYFUNCTION("""COMPUTED_VALUE"""),"Two birds at Froadsham No4, one accapted as Water, other as litt/spin")</f>
        <v>Two birds at Froadsham No4, one accapted as Water, other as litt/spin</v>
      </c>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row>
    <row r="541" spans="1:80" ht="12.75" hidden="1" customHeight="1">
      <c r="A541" s="20">
        <f ca="1">IFERROR(__xludf.DUMMYFUNCTION("""COMPUTED_VALUE"""),2010)</f>
        <v>2010</v>
      </c>
      <c r="B541" s="45">
        <f ca="1">IFERROR(__xludf.DUMMYFUNCTION("""COMPUTED_VALUE"""),40591)</f>
        <v>40591</v>
      </c>
      <c r="C541" s="46">
        <f ca="1">IFERROR(__xludf.DUMMYFUNCTION("""COMPUTED_VALUE"""),40590)</f>
        <v>40590</v>
      </c>
      <c r="D541" s="47" t="str">
        <f ca="1">IFERROR(__xludf.DUMMYFUNCTION("""COMPUTED_VALUE"""),"Turtle Dove")</f>
        <v>Turtle Dove</v>
      </c>
      <c r="E541" s="52">
        <f ca="1">IFERROR(__xludf.DUMMYFUNCTION("""COMPUTED_VALUE"""),1)</f>
        <v>1</v>
      </c>
      <c r="F541" s="25" t="str">
        <f ca="1">IFERROR(__xludf.DUMMYFUNCTION("""COMPUTED_VALUE"""),"male")</f>
        <v>male</v>
      </c>
      <c r="G541" s="48" t="str">
        <f ca="1">IFERROR(__xludf.DUMMYFUNCTION("""COMPUTED_VALUE"""),"Red Rocks, Hoylake")</f>
        <v>Red Rocks, Hoylake</v>
      </c>
      <c r="H541" s="22">
        <f ca="1">IFERROR(__xludf.DUMMYFUNCTION("""COMPUTED_VALUE"""),40320)</f>
        <v>40320</v>
      </c>
      <c r="I541" s="23"/>
      <c r="J541" s="24" t="str">
        <f ca="1">IFERROR(__xludf.DUMMYFUNCTION("""COMPUTED_VALUE"""),"Turner, JE")</f>
        <v>Turner, JE</v>
      </c>
      <c r="K541" s="25" t="str">
        <f ca="1">IFERROR(__xludf.DUMMYFUNCTION("""COMPUTED_VALUE"""),"Turner, JE")</f>
        <v>Turner, JE</v>
      </c>
      <c r="L541" s="27" t="str">
        <f ca="1">IFERROR(__xludf.DUMMYFUNCTION("""COMPUTED_VALUE"""),"closed")</f>
        <v>closed</v>
      </c>
      <c r="M541" s="27" t="str">
        <f ca="1">IFERROR(__xludf.DUMMYFUNCTION("""COMPUTED_VALUE"""),"1st U")</f>
        <v>1st U</v>
      </c>
      <c r="N541" s="25" t="str">
        <f ca="1">IFERROR(__xludf.DUMMYFUNCTION("""COMPUTED_VALUE"""),"Accepted")</f>
        <v>Accepted</v>
      </c>
      <c r="O541" s="28"/>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c r="AR541" s="25"/>
      <c r="AS541" s="25"/>
      <c r="AT541" s="25"/>
      <c r="AU541" s="25"/>
      <c r="AV541" s="25"/>
      <c r="AW541" s="25"/>
      <c r="AX541" s="25"/>
      <c r="AY541" s="25"/>
      <c r="AZ541" s="25"/>
      <c r="BA541" s="25"/>
      <c r="BB541" s="25"/>
      <c r="BC541" s="25"/>
      <c r="BD541" s="25"/>
      <c r="BE541" s="25"/>
      <c r="BF541" s="25"/>
      <c r="BG541" s="25"/>
      <c r="BH541" s="25"/>
      <c r="BI541" s="25"/>
      <c r="BJ541" s="25"/>
      <c r="BK541" s="25"/>
      <c r="BL541" s="25"/>
      <c r="BM541" s="25"/>
      <c r="BN541" s="25"/>
      <c r="BO541" s="25"/>
      <c r="BP541" s="25"/>
      <c r="BQ541" s="25"/>
      <c r="BR541" s="25"/>
      <c r="BS541" s="25"/>
      <c r="BT541" s="25"/>
      <c r="BU541" s="25"/>
      <c r="BV541" s="25"/>
      <c r="BW541" s="25"/>
      <c r="BX541" s="25"/>
      <c r="BY541" s="25"/>
      <c r="BZ541" s="25"/>
      <c r="CA541" s="25"/>
      <c r="CB541" s="25"/>
    </row>
    <row r="542" spans="1:80" ht="12.75" hidden="1" customHeight="1">
      <c r="A542" s="10">
        <f ca="1">IFERROR(__xludf.DUMMYFUNCTION("""COMPUTED_VALUE"""),2010)</f>
        <v>2010</v>
      </c>
      <c r="B542" s="50">
        <f ca="1">IFERROR(__xludf.DUMMYFUNCTION("""COMPUTED_VALUE"""),40775)</f>
        <v>40775</v>
      </c>
      <c r="C542" s="41">
        <f ca="1">IFERROR(__xludf.DUMMYFUNCTION("""COMPUTED_VALUE"""),40773)</f>
        <v>40773</v>
      </c>
      <c r="D542" s="42" t="str">
        <f ca="1">IFERROR(__xludf.DUMMYFUNCTION("""COMPUTED_VALUE"""),"Turtle Dove")</f>
        <v>Turtle Dove</v>
      </c>
      <c r="E542" s="53">
        <f ca="1">IFERROR(__xludf.DUMMYFUNCTION("""COMPUTED_VALUE"""),1)</f>
        <v>1</v>
      </c>
      <c r="F542" s="15"/>
      <c r="G542" s="44" t="str">
        <f ca="1">IFERROR(__xludf.DUMMYFUNCTION("""COMPUTED_VALUE"""),"undisclosed site but confirmed as in Cheshire")</f>
        <v>undisclosed site but confirmed as in Cheshire</v>
      </c>
      <c r="H542" s="12">
        <f ca="1">IFERROR(__xludf.DUMMYFUNCTION("""COMPUTED_VALUE"""),40341)</f>
        <v>40341</v>
      </c>
      <c r="I542" s="13"/>
      <c r="J542" s="14" t="str">
        <f ca="1">IFERROR(__xludf.DUMMYFUNCTION("""COMPUTED_VALUE"""),"Turner, JE")</f>
        <v>Turner, JE</v>
      </c>
      <c r="K542" s="15" t="str">
        <f ca="1">IFERROR(__xludf.DUMMYFUNCTION("""COMPUTED_VALUE"""),"Neil Carden")</f>
        <v>Neil Carden</v>
      </c>
      <c r="L542" s="17" t="str">
        <f ca="1">IFERROR(__xludf.DUMMYFUNCTION("""COMPUTED_VALUE"""),"closed")</f>
        <v>closed</v>
      </c>
      <c r="M542" s="17"/>
      <c r="N542" s="15" t="str">
        <f ca="1">IFERROR(__xludf.DUMMYFUNCTION("""COMPUTED_VALUE"""),"accepted")</f>
        <v>accepted</v>
      </c>
      <c r="O542" s="18" t="str">
        <f ca="1">IFERROR(__xludf.DUMMYFUNCTION("""COMPUTED_VALUE"""),"observer approaced to provide official description - this taken from bird guides.  All we can say at the moment is that it was in Cheshire")</f>
        <v>observer approaced to provide official description - this taken from bird guides.  All we can say at the moment is that it was in Cheshire</v>
      </c>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row>
    <row r="543" spans="1:80" ht="12.75" hidden="1" customHeight="1">
      <c r="A543" s="20">
        <f ca="1">IFERROR(__xludf.DUMMYFUNCTION("""COMPUTED_VALUE"""),2010)</f>
        <v>2010</v>
      </c>
      <c r="B543" s="45">
        <f ca="1">IFERROR(__xludf.DUMMYFUNCTION("""COMPUTED_VALUE"""),40779)</f>
        <v>40779</v>
      </c>
      <c r="C543" s="46">
        <f ca="1">IFERROR(__xludf.DUMMYFUNCTION("""COMPUTED_VALUE"""),40779)</f>
        <v>40779</v>
      </c>
      <c r="D543" s="47" t="str">
        <f ca="1">IFERROR(__xludf.DUMMYFUNCTION("""COMPUTED_VALUE"""),"Crane")</f>
        <v>Crane</v>
      </c>
      <c r="E543" s="52">
        <f ca="1">IFERROR(__xludf.DUMMYFUNCTION("""COMPUTED_VALUE"""),1)</f>
        <v>1</v>
      </c>
      <c r="F543" s="25" t="str">
        <f ca="1">IFERROR(__xludf.DUMMYFUNCTION("""COMPUTED_VALUE"""),"ad")</f>
        <v>ad</v>
      </c>
      <c r="G543" s="48" t="str">
        <f ca="1">IFERROR(__xludf.DUMMYFUNCTION("""COMPUTED_VALUE"""),"Hayden's Pool Marbury Country Park")</f>
        <v>Hayden's Pool Marbury Country Park</v>
      </c>
      <c r="H543" s="22">
        <f ca="1">IFERROR(__xludf.DUMMYFUNCTION("""COMPUTED_VALUE"""),40283)</f>
        <v>40283</v>
      </c>
      <c r="I543" s="23"/>
      <c r="J543" s="24" t="str">
        <f ca="1">IFERROR(__xludf.DUMMYFUNCTION("""COMPUTED_VALUE"""),"Barber Ian")</f>
        <v>Barber Ian</v>
      </c>
      <c r="K543" s="25" t="str">
        <f ca="1">IFERROR(__xludf.DUMMYFUNCTION("""COMPUTED_VALUE"""),"Barber Ian")</f>
        <v>Barber Ian</v>
      </c>
      <c r="L543" s="27" t="str">
        <f ca="1">IFERROR(__xludf.DUMMYFUNCTION("""COMPUTED_VALUE"""),"closed")</f>
        <v>closed</v>
      </c>
      <c r="M543" s="27" t="str">
        <f ca="1">IFERROR(__xludf.DUMMYFUNCTION("""COMPUTED_VALUE"""),"1st U")</f>
        <v>1st U</v>
      </c>
      <c r="N543" s="25" t="str">
        <f ca="1">IFERROR(__xludf.DUMMYFUNCTION("""COMPUTED_VALUE"""),"accepted")</f>
        <v>accepted</v>
      </c>
      <c r="O543" s="28"/>
      <c r="P543" s="25"/>
      <c r="Q543" s="40"/>
      <c r="R543" s="40"/>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c r="AR543" s="25"/>
      <c r="AS543" s="25"/>
      <c r="AT543" s="25"/>
      <c r="AU543" s="25"/>
      <c r="AV543" s="25"/>
      <c r="AW543" s="25"/>
      <c r="AX543" s="25"/>
      <c r="AY543" s="25"/>
      <c r="AZ543" s="25"/>
      <c r="BA543" s="25"/>
      <c r="BB543" s="25"/>
      <c r="BC543" s="25"/>
      <c r="BD543" s="25"/>
      <c r="BE543" s="25"/>
      <c r="BF543" s="25"/>
      <c r="BG543" s="25"/>
      <c r="BH543" s="25"/>
      <c r="BI543" s="25"/>
      <c r="BJ543" s="25"/>
      <c r="BK543" s="25"/>
      <c r="BL543" s="25"/>
      <c r="BM543" s="25"/>
      <c r="BN543" s="25"/>
      <c r="BO543" s="25"/>
      <c r="BP543" s="25"/>
      <c r="BQ543" s="25"/>
      <c r="BR543" s="25"/>
      <c r="BS543" s="25"/>
      <c r="BT543" s="25"/>
      <c r="BU543" s="25"/>
      <c r="BV543" s="25"/>
      <c r="BW543" s="25"/>
      <c r="BX543" s="25"/>
      <c r="BY543" s="25"/>
      <c r="BZ543" s="25"/>
      <c r="CA543" s="25"/>
      <c r="CB543" s="25"/>
    </row>
    <row r="544" spans="1:80" ht="12.75" hidden="1" customHeight="1">
      <c r="A544" s="10">
        <f ca="1">IFERROR(__xludf.DUMMYFUNCTION("""COMPUTED_VALUE"""),2010)</f>
        <v>2010</v>
      </c>
      <c r="B544" s="50">
        <f ca="1">IFERROR(__xludf.DUMMYFUNCTION("""COMPUTED_VALUE"""),41022)</f>
        <v>41022</v>
      </c>
      <c r="C544" s="41">
        <f ca="1">IFERROR(__xludf.DUMMYFUNCTION("""COMPUTED_VALUE"""),41022)</f>
        <v>41022</v>
      </c>
      <c r="D544" s="42" t="str">
        <f ca="1">IFERROR(__xludf.DUMMYFUNCTION("""COMPUTED_VALUE"""),"Red-necked Grebe")</f>
        <v>Red-necked Grebe</v>
      </c>
      <c r="E544" s="53">
        <f ca="1">IFERROR(__xludf.DUMMYFUNCTION("""COMPUTED_VALUE"""),1)</f>
        <v>1</v>
      </c>
      <c r="F544" s="15"/>
      <c r="G544" s="44" t="str">
        <f ca="1">IFERROR(__xludf.DUMMYFUNCTION("""COMPUTED_VALUE"""),"Hilbre")</f>
        <v>Hilbre</v>
      </c>
      <c r="H544" s="12">
        <f ca="1">IFERROR(__xludf.DUMMYFUNCTION("""COMPUTED_VALUE"""),40186)</f>
        <v>40186</v>
      </c>
      <c r="I544" s="12">
        <f ca="1">IFERROR(__xludf.DUMMYFUNCTION("""COMPUTED_VALUE"""),40551)</f>
        <v>40551</v>
      </c>
      <c r="J544" s="14" t="str">
        <f ca="1">IFERROR(__xludf.DUMMYFUNCTION("""COMPUTED_VALUE"""),"Woollen, P")</f>
        <v>Woollen, P</v>
      </c>
      <c r="K544" s="15" t="str">
        <f ca="1">IFERROR(__xludf.DUMMYFUNCTION("""COMPUTED_VALUE"""),"Mark Payne")</f>
        <v>Mark Payne</v>
      </c>
      <c r="L544" s="17" t="str">
        <f ca="1">IFERROR(__xludf.DUMMYFUNCTION("""COMPUTED_VALUE"""),"closed")</f>
        <v>closed</v>
      </c>
      <c r="M544" s="17" t="str">
        <f ca="1">IFERROR(__xludf.DUMMYFUNCTION("""COMPUTED_VALUE"""),"1st U")</f>
        <v>1st U</v>
      </c>
      <c r="N544" s="15" t="str">
        <f ca="1">IFERROR(__xludf.DUMMYFUNCTION("""COMPUTED_VALUE"""),"accepted")</f>
        <v>accepted</v>
      </c>
      <c r="O544" s="18" t="str">
        <f ca="1">IFERROR(__xludf.DUMMYFUNCTION("""COMPUTED_VALUE"""),"identified by Phil Woollen, presumed same as IMF bird")</f>
        <v>identified by Phil Woollen, presumed same as IMF bird</v>
      </c>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row>
    <row r="545" spans="1:80" ht="12.75" hidden="1" customHeight="1">
      <c r="A545" s="20">
        <f ca="1">IFERROR(__xludf.DUMMYFUNCTION("""COMPUTED_VALUE"""),2010)</f>
        <v>2010</v>
      </c>
      <c r="B545" s="45">
        <f ca="1">IFERROR(__xludf.DUMMYFUNCTION("""COMPUTED_VALUE"""),41022)</f>
        <v>41022</v>
      </c>
      <c r="C545" s="46">
        <f ca="1">IFERROR(__xludf.DUMMYFUNCTION("""COMPUTED_VALUE"""),41022)</f>
        <v>41022</v>
      </c>
      <c r="D545" s="47" t="str">
        <f ca="1">IFERROR(__xludf.DUMMYFUNCTION("""COMPUTED_VALUE"""),"Red-necked Grebe")</f>
        <v>Red-necked Grebe</v>
      </c>
      <c r="E545" s="52">
        <f ca="1">IFERROR(__xludf.DUMMYFUNCTION("""COMPUTED_VALUE"""),1)</f>
        <v>1</v>
      </c>
      <c r="F545" s="25"/>
      <c r="G545" s="48" t="str">
        <f ca="1">IFERROR(__xludf.DUMMYFUNCTION("""COMPUTED_VALUE"""),"Hilbre")</f>
        <v>Hilbre</v>
      </c>
      <c r="H545" s="22">
        <f ca="1">IFERROR(__xludf.DUMMYFUNCTION("""COMPUTED_VALUE"""),40491)</f>
        <v>40491</v>
      </c>
      <c r="I545" s="22">
        <f ca="1">IFERROR(__xludf.DUMMYFUNCTION("""COMPUTED_VALUE"""),40546)</f>
        <v>40546</v>
      </c>
      <c r="J545" s="24" t="str">
        <f ca="1">IFERROR(__xludf.DUMMYFUNCTION("""COMPUTED_VALUE"""),"Moncrieff, H")</f>
        <v>Moncrieff, H</v>
      </c>
      <c r="K545" s="25" t="str">
        <f ca="1">IFERROR(__xludf.DUMMYFUNCTION("""COMPUTED_VALUE"""),"Moncrieff, H")</f>
        <v>Moncrieff, H</v>
      </c>
      <c r="L545" s="27" t="str">
        <f ca="1">IFERROR(__xludf.DUMMYFUNCTION("""COMPUTED_VALUE"""),"closed")</f>
        <v>closed</v>
      </c>
      <c r="M545" s="27" t="str">
        <f ca="1">IFERROR(__xludf.DUMMYFUNCTION("""COMPUTED_VALUE"""),"1st U")</f>
        <v>1st U</v>
      </c>
      <c r="N545" s="25" t="str">
        <f ca="1">IFERROR(__xludf.DUMMYFUNCTION("""COMPUTED_VALUE"""),"accepted")</f>
        <v>accepted</v>
      </c>
      <c r="O545" s="28"/>
      <c r="P545" s="25"/>
      <c r="Q545" s="40"/>
      <c r="R545" s="40"/>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c r="AR545" s="25"/>
      <c r="AS545" s="25"/>
      <c r="AT545" s="25"/>
      <c r="AU545" s="25"/>
      <c r="AV545" s="25"/>
      <c r="AW545" s="25"/>
      <c r="AX545" s="25"/>
      <c r="AY545" s="25"/>
      <c r="AZ545" s="25"/>
      <c r="BA545" s="25"/>
      <c r="BB545" s="25"/>
      <c r="BC545" s="25"/>
      <c r="BD545" s="25"/>
      <c r="BE545" s="25"/>
      <c r="BF545" s="25"/>
      <c r="BG545" s="25"/>
      <c r="BH545" s="25"/>
      <c r="BI545" s="25"/>
      <c r="BJ545" s="25"/>
      <c r="BK545" s="25"/>
      <c r="BL545" s="25"/>
      <c r="BM545" s="25"/>
      <c r="BN545" s="25"/>
      <c r="BO545" s="25"/>
      <c r="BP545" s="25"/>
      <c r="BQ545" s="25"/>
      <c r="BR545" s="25"/>
      <c r="BS545" s="25"/>
      <c r="BT545" s="25"/>
      <c r="BU545" s="25"/>
      <c r="BV545" s="25"/>
      <c r="BW545" s="25"/>
      <c r="BX545" s="25"/>
      <c r="BY545" s="25"/>
      <c r="BZ545" s="25"/>
      <c r="CA545" s="25"/>
      <c r="CB545" s="25"/>
    </row>
    <row r="546" spans="1:80" ht="12.75" hidden="1" customHeight="1">
      <c r="A546" s="10">
        <f ca="1">IFERROR(__xludf.DUMMYFUNCTION("""COMPUTED_VALUE"""),2010)</f>
        <v>2010</v>
      </c>
      <c r="B546" s="50">
        <f ca="1">IFERROR(__xludf.DUMMYFUNCTION("""COMPUTED_VALUE"""),40819)</f>
        <v>40819</v>
      </c>
      <c r="C546" s="41">
        <f ca="1">IFERROR(__xludf.DUMMYFUNCTION("""COMPUTED_VALUE"""),40777)</f>
        <v>40777</v>
      </c>
      <c r="D546" s="42" t="str">
        <f ca="1">IFERROR(__xludf.DUMMYFUNCTION("""COMPUTED_VALUE"""),"Red-necked Grebe")</f>
        <v>Red-necked Grebe</v>
      </c>
      <c r="E546" s="53">
        <f ca="1">IFERROR(__xludf.DUMMYFUNCTION("""COMPUTED_VALUE"""),1)</f>
        <v>1</v>
      </c>
      <c r="F546" s="15"/>
      <c r="G546" s="44" t="str">
        <f ca="1">IFERROR(__xludf.DUMMYFUNCTION("""COMPUTED_VALUE"""),"Hilbre")</f>
        <v>Hilbre</v>
      </c>
      <c r="H546" s="12">
        <f ca="1">IFERROR(__xludf.DUMMYFUNCTION("""COMPUTED_VALUE"""),40490)</f>
        <v>40490</v>
      </c>
      <c r="I546" s="12">
        <f ca="1">IFERROR(__xludf.DUMMYFUNCTION("""COMPUTED_VALUE"""),40490)</f>
        <v>40490</v>
      </c>
      <c r="J546" s="14" t="str">
        <f ca="1">IFERROR(__xludf.DUMMYFUNCTION("""COMPUTED_VALUE"""),"Schofield, C")</f>
        <v>Schofield, C</v>
      </c>
      <c r="K546" s="15" t="str">
        <f ca="1">IFERROR(__xludf.DUMMYFUNCTION("""COMPUTED_VALUE"""),"Derek Bates")</f>
        <v>Derek Bates</v>
      </c>
      <c r="L546" s="17" t="str">
        <f ca="1">IFERROR(__xludf.DUMMYFUNCTION("""COMPUTED_VALUE"""),"closed")</f>
        <v>closed</v>
      </c>
      <c r="M546" s="17" t="str">
        <f ca="1">IFERROR(__xludf.DUMMYFUNCTION("""COMPUTED_VALUE"""),"1st U")</f>
        <v>1st U</v>
      </c>
      <c r="N546" s="15" t="str">
        <f ca="1">IFERROR(__xludf.DUMMYFUNCTION("""COMPUTED_VALUE"""),"accepted")</f>
        <v>accepted</v>
      </c>
      <c r="O546" s="18"/>
      <c r="P546" s="15"/>
      <c r="Q546" s="58"/>
      <c r="R546" s="58"/>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row>
    <row r="547" spans="1:80" ht="12.75" hidden="1" customHeight="1">
      <c r="A547" s="20">
        <f ca="1">IFERROR(__xludf.DUMMYFUNCTION("""COMPUTED_VALUE"""),2010)</f>
        <v>2010</v>
      </c>
      <c r="B547" s="45">
        <f ca="1">IFERROR(__xludf.DUMMYFUNCTION("""COMPUTED_VALUE"""),40587)</f>
        <v>40587</v>
      </c>
      <c r="C547" s="46">
        <f ca="1">IFERROR(__xludf.DUMMYFUNCTION("""COMPUTED_VALUE"""),40601)</f>
        <v>40601</v>
      </c>
      <c r="D547" s="47" t="str">
        <f ca="1">IFERROR(__xludf.DUMMYFUNCTION("""COMPUTED_VALUE"""),"Slavonian Grebe")</f>
        <v>Slavonian Grebe</v>
      </c>
      <c r="E547" s="52">
        <f ca="1">IFERROR(__xludf.DUMMYFUNCTION("""COMPUTED_VALUE"""),1)</f>
        <v>1</v>
      </c>
      <c r="F547" s="25"/>
      <c r="G547" s="48" t="str">
        <f ca="1">IFERROR(__xludf.DUMMYFUNCTION("""COMPUTED_VALUE"""),"Tatton park")</f>
        <v>Tatton park</v>
      </c>
      <c r="H547" s="22">
        <f ca="1">IFERROR(__xludf.DUMMYFUNCTION("""COMPUTED_VALUE"""),40251)</f>
        <v>40251</v>
      </c>
      <c r="I547" s="23"/>
      <c r="J547" s="24"/>
      <c r="K547" s="25"/>
      <c r="L547" s="27" t="str">
        <f ca="1">IFERROR(__xludf.DUMMYFUNCTION("""COMPUTED_VALUE"""),"closed")</f>
        <v>closed</v>
      </c>
      <c r="M547" s="27" t="str">
        <f ca="1">IFERROR(__xludf.DUMMYFUNCTION("""COMPUTED_VALUE"""),"3rd M")</f>
        <v>3rd M</v>
      </c>
      <c r="N547" s="25" t="str">
        <f ca="1">IFERROR(__xludf.DUMMYFUNCTION("""COMPUTED_VALUE"""),"unproven")</f>
        <v>unproven</v>
      </c>
      <c r="O547" s="28"/>
      <c r="P547" s="25"/>
      <c r="Q547" s="40"/>
      <c r="R547" s="40"/>
      <c r="S547" s="25"/>
      <c r="T547" s="25"/>
      <c r="U547" s="25"/>
      <c r="V547" s="25"/>
      <c r="W547" s="25"/>
      <c r="X547" s="25"/>
      <c r="Y547" s="25"/>
      <c r="Z547" s="25"/>
      <c r="AA547" s="25"/>
      <c r="AB547" s="25"/>
      <c r="AC547" s="25"/>
      <c r="AD547" s="25"/>
      <c r="AE547" s="25"/>
      <c r="AF547" s="25"/>
      <c r="AG547" s="25"/>
      <c r="AH547" s="25"/>
      <c r="AI547" s="25"/>
      <c r="AJ547" s="25"/>
      <c r="AK547" s="25"/>
      <c r="AL547" s="25"/>
      <c r="AM547" s="25"/>
      <c r="AN547" s="25"/>
      <c r="AO547" s="25"/>
      <c r="AP547" s="25"/>
      <c r="AQ547" s="25"/>
      <c r="AR547" s="25"/>
      <c r="AS547" s="25"/>
      <c r="AT547" s="25"/>
      <c r="AU547" s="25"/>
      <c r="AV547" s="25"/>
      <c r="AW547" s="25"/>
      <c r="AX547" s="25"/>
      <c r="AY547" s="25"/>
      <c r="AZ547" s="25"/>
      <c r="BA547" s="25"/>
      <c r="BB547" s="25"/>
      <c r="BC547" s="25"/>
      <c r="BD547" s="25"/>
      <c r="BE547" s="25"/>
      <c r="BF547" s="25"/>
      <c r="BG547" s="25"/>
      <c r="BH547" s="25"/>
      <c r="BI547" s="25"/>
      <c r="BJ547" s="25"/>
      <c r="BK547" s="25"/>
      <c r="BL547" s="25"/>
      <c r="BM547" s="25"/>
      <c r="BN547" s="25"/>
      <c r="BO547" s="25"/>
      <c r="BP547" s="25"/>
      <c r="BQ547" s="25"/>
      <c r="BR547" s="25"/>
      <c r="BS547" s="25"/>
      <c r="BT547" s="25"/>
      <c r="BU547" s="25"/>
      <c r="BV547" s="25"/>
      <c r="BW547" s="25"/>
      <c r="BX547" s="25"/>
      <c r="BY547" s="25"/>
      <c r="BZ547" s="25"/>
      <c r="CA547" s="25"/>
      <c r="CB547" s="25"/>
    </row>
    <row r="548" spans="1:80" ht="12.75" hidden="1" customHeight="1">
      <c r="A548" s="10">
        <f ca="1">IFERROR(__xludf.DUMMYFUNCTION("""COMPUTED_VALUE"""),2010)</f>
        <v>2010</v>
      </c>
      <c r="B548" s="50">
        <f ca="1">IFERROR(__xludf.DUMMYFUNCTION("""COMPUTED_VALUE"""),40772)</f>
        <v>40772</v>
      </c>
      <c r="C548" s="41">
        <f ca="1">IFERROR(__xludf.DUMMYFUNCTION("""COMPUTED_VALUE"""),40751)</f>
        <v>40751</v>
      </c>
      <c r="D548" s="42" t="str">
        <f ca="1">IFERROR(__xludf.DUMMYFUNCTION("""COMPUTED_VALUE"""),"Slavonian Grebe")</f>
        <v>Slavonian Grebe</v>
      </c>
      <c r="E548" s="53">
        <f ca="1">IFERROR(__xludf.DUMMYFUNCTION("""COMPUTED_VALUE"""),1)</f>
        <v>1</v>
      </c>
      <c r="F548" s="15"/>
      <c r="G548" s="44" t="str">
        <f ca="1">IFERROR(__xludf.DUMMYFUNCTION("""COMPUTED_VALUE"""),"Chelford SQs, Lapwing HallPool")</f>
        <v>Chelford SQs, Lapwing HallPool</v>
      </c>
      <c r="H548" s="12">
        <f ca="1">IFERROR(__xludf.DUMMYFUNCTION("""COMPUTED_VALUE"""),40473)</f>
        <v>40473</v>
      </c>
      <c r="I548" s="12">
        <f ca="1">IFERROR(__xludf.DUMMYFUNCTION("""COMPUTED_VALUE"""),40475)</f>
        <v>40475</v>
      </c>
      <c r="J548" s="14" t="str">
        <f ca="1">IFERROR(__xludf.DUMMYFUNCTION("""COMPUTED_VALUE"""),"Barber S&amp;G")</f>
        <v>Barber S&amp;G</v>
      </c>
      <c r="K548" s="15" t="str">
        <f ca="1">IFERROR(__xludf.DUMMYFUNCTION("""COMPUTED_VALUE"""),"Barber S&amp;G")</f>
        <v>Barber S&amp;G</v>
      </c>
      <c r="L548" s="17" t="str">
        <f ca="1">IFERROR(__xludf.DUMMYFUNCTION("""COMPUTED_VALUE"""),"closed")</f>
        <v>closed</v>
      </c>
      <c r="M548" s="17" t="str">
        <f ca="1">IFERROR(__xludf.DUMMYFUNCTION("""COMPUTED_VALUE"""),"1st U")</f>
        <v>1st U</v>
      </c>
      <c r="N548" s="15" t="str">
        <f ca="1">IFERROR(__xludf.DUMMYFUNCTION("""COMPUTED_VALUE"""),"accepted")</f>
        <v>accepted</v>
      </c>
      <c r="O548" s="18"/>
      <c r="P548" s="15"/>
      <c r="Q548" s="58"/>
      <c r="R548" s="58"/>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row>
    <row r="549" spans="1:80" ht="12.75" hidden="1" customHeight="1">
      <c r="A549" s="20">
        <f ca="1">IFERROR(__xludf.DUMMYFUNCTION("""COMPUTED_VALUE"""),2010)</f>
        <v>2010</v>
      </c>
      <c r="B549" s="45">
        <f ca="1">IFERROR(__xludf.DUMMYFUNCTION("""COMPUTED_VALUE"""),40773)</f>
        <v>40773</v>
      </c>
      <c r="C549" s="46">
        <f ca="1">IFERROR(__xludf.DUMMYFUNCTION("""COMPUTED_VALUE"""),40773)</f>
        <v>40773</v>
      </c>
      <c r="D549" s="47" t="str">
        <f ca="1">IFERROR(__xludf.DUMMYFUNCTION("""COMPUTED_VALUE"""),"Dotterel")</f>
        <v>Dotterel</v>
      </c>
      <c r="E549" s="52">
        <f ca="1">IFERROR(__xludf.DUMMYFUNCTION("""COMPUTED_VALUE"""),1)</f>
        <v>1</v>
      </c>
      <c r="F549" s="25"/>
      <c r="G549" s="48" t="str">
        <f ca="1">IFERROR(__xludf.DUMMYFUNCTION("""COMPUTED_VALUE"""),"Farndon")</f>
        <v>Farndon</v>
      </c>
      <c r="H549" s="22">
        <f ca="1">IFERROR(__xludf.DUMMYFUNCTION("""COMPUTED_VALUE"""),40291)</f>
        <v>40291</v>
      </c>
      <c r="I549" s="23"/>
      <c r="J549" s="24" t="str">
        <f ca="1">IFERROR(__xludf.DUMMYFUNCTION("""COMPUTED_VALUE"""),"Turner, JE")</f>
        <v>Turner, JE</v>
      </c>
      <c r="K549" s="25" t="str">
        <f ca="1">IFERROR(__xludf.DUMMYFUNCTION("""COMPUTED_VALUE"""),"Turner, JE")</f>
        <v>Turner, JE</v>
      </c>
      <c r="L549" s="27" t="str">
        <f ca="1">IFERROR(__xludf.DUMMYFUNCTION("""COMPUTED_VALUE"""),"closed")</f>
        <v>closed</v>
      </c>
      <c r="M549" s="27"/>
      <c r="N549" s="25" t="str">
        <f ca="1">IFERROR(__xludf.DUMMYFUNCTION("""COMPUTED_VALUE"""),"accepted")</f>
        <v>accepted</v>
      </c>
      <c r="O549" s="28" t="str">
        <f ca="1">IFERROR(__xludf.DUMMYFUNCTION("""COMPUTED_VALUE"""),"Photo by Peter Russell found on Bird guides, use PR as the submitter if the originalfinder is not known at the time of publication")</f>
        <v>Photo by Peter Russell found on Bird guides, use PR as the submitter if the originalfinder is not known at the time of publication</v>
      </c>
      <c r="P549" s="25"/>
      <c r="Q549" s="40"/>
      <c r="R549" s="40"/>
      <c r="S549" s="25"/>
      <c r="T549" s="25"/>
      <c r="U549" s="25"/>
      <c r="V549" s="25"/>
      <c r="W549" s="25"/>
      <c r="X549" s="25"/>
      <c r="Y549" s="25"/>
      <c r="Z549" s="25"/>
      <c r="AA549" s="25"/>
      <c r="AB549" s="25"/>
      <c r="AC549" s="25"/>
      <c r="AD549" s="25"/>
      <c r="AE549" s="25"/>
      <c r="AF549" s="25"/>
      <c r="AG549" s="25"/>
      <c r="AH549" s="25"/>
      <c r="AI549" s="25"/>
      <c r="AJ549" s="25"/>
      <c r="AK549" s="25"/>
      <c r="AL549" s="25"/>
      <c r="AM549" s="25"/>
      <c r="AN549" s="25"/>
      <c r="AO549" s="25"/>
      <c r="AP549" s="25"/>
      <c r="AQ549" s="25"/>
      <c r="AR549" s="25"/>
      <c r="AS549" s="25"/>
      <c r="AT549" s="25"/>
      <c r="AU549" s="25"/>
      <c r="AV549" s="25"/>
      <c r="AW549" s="25"/>
      <c r="AX549" s="25"/>
      <c r="AY549" s="25"/>
      <c r="AZ549" s="25"/>
      <c r="BA549" s="25"/>
      <c r="BB549" s="25"/>
      <c r="BC549" s="25"/>
      <c r="BD549" s="25"/>
      <c r="BE549" s="25"/>
      <c r="BF549" s="25"/>
      <c r="BG549" s="25"/>
      <c r="BH549" s="25"/>
      <c r="BI549" s="25"/>
      <c r="BJ549" s="25"/>
      <c r="BK549" s="25"/>
      <c r="BL549" s="25"/>
      <c r="BM549" s="25"/>
      <c r="BN549" s="25"/>
      <c r="BO549" s="25"/>
      <c r="BP549" s="25"/>
      <c r="BQ549" s="25"/>
      <c r="BR549" s="25"/>
      <c r="BS549" s="25"/>
      <c r="BT549" s="25"/>
      <c r="BU549" s="25"/>
      <c r="BV549" s="25"/>
      <c r="BW549" s="25"/>
      <c r="BX549" s="25"/>
      <c r="BY549" s="25"/>
      <c r="BZ549" s="25"/>
      <c r="CA549" s="25"/>
      <c r="CB549" s="25"/>
    </row>
    <row r="550" spans="1:80" ht="12.75" hidden="1" customHeight="1">
      <c r="A550" s="10">
        <f ca="1">IFERROR(__xludf.DUMMYFUNCTION("""COMPUTED_VALUE"""),2010)</f>
        <v>2010</v>
      </c>
      <c r="B550" s="50">
        <f ca="1">IFERROR(__xludf.DUMMYFUNCTION("""COMPUTED_VALUE"""),40606)</f>
        <v>40606</v>
      </c>
      <c r="C550" s="41">
        <f ca="1">IFERROR(__xludf.DUMMYFUNCTION("""COMPUTED_VALUE"""),40589)</f>
        <v>40589</v>
      </c>
      <c r="D550" s="42" t="str">
        <f ca="1">IFERROR(__xludf.DUMMYFUNCTION("""COMPUTED_VALUE"""),"Buff-breasted Sandpiper")</f>
        <v>Buff-breasted Sandpiper</v>
      </c>
      <c r="E550" s="53">
        <f ca="1">IFERROR(__xludf.DUMMYFUNCTION("""COMPUTED_VALUE"""),1)</f>
        <v>1</v>
      </c>
      <c r="F550" s="15" t="str">
        <f ca="1">IFERROR(__xludf.DUMMYFUNCTION("""COMPUTED_VALUE"""),"juv")</f>
        <v>juv</v>
      </c>
      <c r="G550" s="44" t="str">
        <f ca="1">IFERROR(__xludf.DUMMYFUNCTION("""COMPUTED_VALUE"""),"West Kirby Saltmarsh")</f>
        <v>West Kirby Saltmarsh</v>
      </c>
      <c r="H550" s="12">
        <f ca="1">IFERROR(__xludf.DUMMYFUNCTION("""COMPUTED_VALUE"""),40440)</f>
        <v>40440</v>
      </c>
      <c r="I550" s="13"/>
      <c r="J550" s="14"/>
      <c r="K550" s="15"/>
      <c r="L550" s="17" t="str">
        <f ca="1">IFERROR(__xludf.DUMMYFUNCTION("""COMPUTED_VALUE"""),"closed")</f>
        <v>closed</v>
      </c>
      <c r="M550" s="17" t="str">
        <f ca="1">IFERROR(__xludf.DUMMYFUNCTION("""COMPUTED_VALUE"""),"2nd U")</f>
        <v>2nd U</v>
      </c>
      <c r="N550" s="15" t="str">
        <f ca="1">IFERROR(__xludf.DUMMYFUNCTION("""COMPUTED_VALUE"""),"unproven")</f>
        <v>unproven</v>
      </c>
      <c r="O550" s="18"/>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row>
    <row r="551" spans="1:80" ht="12.75" hidden="1" customHeight="1">
      <c r="A551" s="20">
        <f ca="1">IFERROR(__xludf.DUMMYFUNCTION("""COMPUTED_VALUE"""),2010)</f>
        <v>2010</v>
      </c>
      <c r="B551" s="45">
        <f ca="1">IFERROR(__xludf.DUMMYFUNCTION("""COMPUTED_VALUE"""),44568)</f>
        <v>44568</v>
      </c>
      <c r="C551" s="46"/>
      <c r="D551" s="47" t="str">
        <f ca="1">IFERROR(__xludf.DUMMYFUNCTION("""COMPUTED_VALUE"""),"Long-billed Dowitcher")</f>
        <v>Long-billed Dowitcher</v>
      </c>
      <c r="E551" s="52"/>
      <c r="F551" s="25"/>
      <c r="G551" s="48" t="str">
        <f ca="1">IFERROR(__xludf.DUMMYFUNCTION("""COMPUTED_VALUE"""),"Neumann's Flash")</f>
        <v>Neumann's Flash</v>
      </c>
      <c r="H551" s="22">
        <f ca="1">IFERROR(__xludf.DUMMYFUNCTION("""COMPUTED_VALUE"""),40415)</f>
        <v>40415</v>
      </c>
      <c r="I551" s="23"/>
      <c r="J551" s="24"/>
      <c r="K551" s="25"/>
      <c r="L551" s="27" t="str">
        <f ca="1">IFERROR(__xludf.DUMMYFUNCTION("""COMPUTED_VALUE"""),"closed")</f>
        <v>closed</v>
      </c>
      <c r="M551" s="27"/>
      <c r="N551" s="25" t="str">
        <f ca="1">IFERROR(__xludf.DUMMYFUNCTION("""COMPUTED_VALUE"""),"BBRC-OK")</f>
        <v>BBRC-OK</v>
      </c>
      <c r="O551" s="28" t="str">
        <f ca="1">IFERROR(__xludf.DUMMYFUNCTION("""COMPUTED_VALUE"""),"Neumann's Flash, adult, 25th August, photo; same, Inner Marsh Farm RSPB, 26th August; presumed same as Inner Marsh Farm 2009; also in Flintshire.")</f>
        <v>Neumann's Flash, adult, 25th August, photo; same, Inner Marsh Farm RSPB, 26th August; presumed same as Inner Marsh Farm 2009; also in Flintshire.</v>
      </c>
      <c r="P551" s="25"/>
      <c r="Q551" s="40"/>
      <c r="R551" s="40"/>
      <c r="S551" s="25"/>
      <c r="T551" s="25"/>
      <c r="U551" s="25"/>
      <c r="V551" s="25"/>
      <c r="W551" s="25"/>
      <c r="X551" s="25"/>
      <c r="Y551" s="25"/>
      <c r="Z551" s="25"/>
      <c r="AA551" s="25"/>
      <c r="AB551" s="25"/>
      <c r="AC551" s="25"/>
      <c r="AD551" s="25"/>
      <c r="AE551" s="25"/>
      <c r="AF551" s="25"/>
      <c r="AG551" s="25"/>
      <c r="AH551" s="25"/>
      <c r="AI551" s="25"/>
      <c r="AJ551" s="25"/>
      <c r="AK551" s="25"/>
      <c r="AL551" s="25"/>
      <c r="AM551" s="25"/>
      <c r="AN551" s="25"/>
      <c r="AO551" s="25"/>
      <c r="AP551" s="25"/>
      <c r="AQ551" s="25"/>
      <c r="AR551" s="25"/>
      <c r="AS551" s="25"/>
      <c r="AT551" s="25"/>
      <c r="AU551" s="25"/>
      <c r="AV551" s="25"/>
      <c r="AW551" s="25"/>
      <c r="AX551" s="25"/>
      <c r="AY551" s="25"/>
      <c r="AZ551" s="25"/>
      <c r="BA551" s="25"/>
      <c r="BB551" s="25"/>
      <c r="BC551" s="25"/>
      <c r="BD551" s="25"/>
      <c r="BE551" s="25"/>
      <c r="BF551" s="25"/>
      <c r="BG551" s="25"/>
      <c r="BH551" s="25"/>
      <c r="BI551" s="25"/>
      <c r="BJ551" s="25"/>
      <c r="BK551" s="25"/>
      <c r="BL551" s="25"/>
      <c r="BM551" s="25"/>
      <c r="BN551" s="25"/>
      <c r="BO551" s="25"/>
      <c r="BP551" s="25"/>
      <c r="BQ551" s="25"/>
      <c r="BR551" s="25"/>
      <c r="BS551" s="25"/>
      <c r="BT551" s="25"/>
      <c r="BU551" s="25"/>
      <c r="BV551" s="25"/>
      <c r="BW551" s="25"/>
      <c r="BX551" s="25"/>
      <c r="BY551" s="25"/>
      <c r="BZ551" s="25"/>
      <c r="CA551" s="25"/>
      <c r="CB551" s="25"/>
    </row>
    <row r="552" spans="1:80" ht="12.75" hidden="1" customHeight="1">
      <c r="A552" s="10">
        <f ca="1">IFERROR(__xludf.DUMMYFUNCTION("""COMPUTED_VALUE"""),2010)</f>
        <v>2010</v>
      </c>
      <c r="B552" s="50">
        <f ca="1">IFERROR(__xludf.DUMMYFUNCTION("""COMPUTED_VALUE"""),40613)</f>
        <v>40613</v>
      </c>
      <c r="C552" s="41">
        <f ca="1">IFERROR(__xludf.DUMMYFUNCTION("""COMPUTED_VALUE"""),40606)</f>
        <v>40606</v>
      </c>
      <c r="D552" s="42" t="str">
        <f ca="1">IFERROR(__xludf.DUMMYFUNCTION("""COMPUTED_VALUE"""),"Grey Phalarope")</f>
        <v>Grey Phalarope</v>
      </c>
      <c r="E552" s="53">
        <f ca="1">IFERROR(__xludf.DUMMYFUNCTION("""COMPUTED_VALUE"""),1)</f>
        <v>1</v>
      </c>
      <c r="F552" s="15" t="str">
        <f ca="1">IFERROR(__xludf.DUMMYFUNCTION("""COMPUTED_VALUE"""),"1stw ")</f>
        <v xml:space="preserve">1stw </v>
      </c>
      <c r="G552" s="44" t="str">
        <f ca="1">IFERROR(__xludf.DUMMYFUNCTION("""COMPUTED_VALUE"""),"Hilbre")</f>
        <v>Hilbre</v>
      </c>
      <c r="H552" s="12">
        <f ca="1">IFERROR(__xludf.DUMMYFUNCTION("""COMPUTED_VALUE"""),40494)</f>
        <v>40494</v>
      </c>
      <c r="I552" s="13"/>
      <c r="J552" s="14" t="str">
        <f ca="1">IFERROR(__xludf.DUMMYFUNCTION("""COMPUTED_VALUE"""),"Hinde, S")</f>
        <v>Hinde, S</v>
      </c>
      <c r="K552" s="15" t="str">
        <f ca="1">IFERROR(__xludf.DUMMYFUNCTION("""COMPUTED_VALUE"""),"Hinde, S")</f>
        <v>Hinde, S</v>
      </c>
      <c r="L552" s="17" t="str">
        <f ca="1">IFERROR(__xludf.DUMMYFUNCTION("""COMPUTED_VALUE"""),"closed")</f>
        <v>closed</v>
      </c>
      <c r="M552" s="17"/>
      <c r="N552" s="15" t="str">
        <f ca="1">IFERROR(__xludf.DUMMYFUNCTION("""COMPUTED_VALUE"""),"accepted")</f>
        <v>accepted</v>
      </c>
      <c r="O552" s="18" t="str">
        <f ca="1">IFERROR(__xludf.DUMMYFUNCTION("""COMPUTED_VALUE"""),"photo")</f>
        <v>photo</v>
      </c>
      <c r="P552" s="15"/>
      <c r="Q552" s="58"/>
      <c r="R552" s="58"/>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row>
    <row r="553" spans="1:80" ht="12.75" hidden="1" customHeight="1">
      <c r="A553" s="20">
        <f ca="1">IFERROR(__xludf.DUMMYFUNCTION("""COMPUTED_VALUE"""),2010)</f>
        <v>2010</v>
      </c>
      <c r="B553" s="45">
        <f ca="1">IFERROR(__xludf.DUMMYFUNCTION("""COMPUTED_VALUE"""),41224)</f>
        <v>41224</v>
      </c>
      <c r="C553" s="46">
        <f ca="1">IFERROR(__xludf.DUMMYFUNCTION("""COMPUTED_VALUE"""),41225)</f>
        <v>41225</v>
      </c>
      <c r="D553" s="47" t="str">
        <f ca="1">IFERROR(__xludf.DUMMYFUNCTION("""COMPUTED_VALUE"""),"Grey Phalarope")</f>
        <v>Grey Phalarope</v>
      </c>
      <c r="E553" s="52">
        <f ca="1">IFERROR(__xludf.DUMMYFUNCTION("""COMPUTED_VALUE"""),1)</f>
        <v>1</v>
      </c>
      <c r="F553" s="25"/>
      <c r="G553" s="48" t="str">
        <f ca="1">IFERROR(__xludf.DUMMYFUNCTION("""COMPUTED_VALUE"""),"New Brighton")</f>
        <v>New Brighton</v>
      </c>
      <c r="H553" s="22">
        <f ca="1">IFERROR(__xludf.DUMMYFUNCTION("""COMPUTED_VALUE"""),40494)</f>
        <v>40494</v>
      </c>
      <c r="I553" s="22">
        <f ca="1">IFERROR(__xludf.DUMMYFUNCTION("""COMPUTED_VALUE"""),40494)</f>
        <v>40494</v>
      </c>
      <c r="J553" s="24" t="str">
        <f ca="1">IFERROR(__xludf.DUMMYFUNCTION("""COMPUTED_VALUE"""),"Turner, MG")</f>
        <v>Turner, MG</v>
      </c>
      <c r="K553" s="25" t="str">
        <f ca="1">IFERROR(__xludf.DUMMYFUNCTION("""COMPUTED_VALUE"""),"Turner, MG")</f>
        <v>Turner, MG</v>
      </c>
      <c r="L553" s="27" t="str">
        <f ca="1">IFERROR(__xludf.DUMMYFUNCTION("""COMPUTED_VALUE"""),"closed")</f>
        <v>closed</v>
      </c>
      <c r="M553" s="27" t="str">
        <f ca="1">IFERROR(__xludf.DUMMYFUNCTION("""COMPUTED_VALUE"""),"1st U")</f>
        <v>1st U</v>
      </c>
      <c r="N553" s="25" t="str">
        <f ca="1">IFERROR(__xludf.DUMMYFUNCTION("""COMPUTED_VALUE"""),"accepted")</f>
        <v>accepted</v>
      </c>
      <c r="O553" s="28" t="str">
        <f ca="1">IFERROR(__xludf.DUMMYFUNCTION("""COMPUTED_VALUE"""),"Seen to fly towards N brighton Mersey shore, in front of Slipway to Fort PerchRock.  ID in jinking flight on strong  inner wing bar and facial pattern (mask) landed on the beach, to my amazement, showing some apricot washon the neck. Immediately flew off "&amp;"in direction of Fort PerchRock.  Picked up independantly by Colin jones")</f>
        <v>Seen to fly towards N brighton Mersey shore, in front of Slipway to Fort PerchRock.  ID in jinking flight on strong  inner wing bar and facial pattern (mask) landed on the beach, to my amazement, showing some apricot washon the neck. Immediately flew off in direction of Fort PerchRock.  Picked up independantly by Colin jones</v>
      </c>
      <c r="P553" s="25"/>
      <c r="Q553" s="40"/>
      <c r="R553" s="40"/>
      <c r="S553" s="25"/>
      <c r="T553" s="25"/>
      <c r="U553" s="25"/>
      <c r="V553" s="25"/>
      <c r="W553" s="25"/>
      <c r="X553" s="25"/>
      <c r="Y553" s="25"/>
      <c r="Z553" s="25"/>
      <c r="AA553" s="25"/>
      <c r="AB553" s="25"/>
      <c r="AC553" s="25"/>
      <c r="AD553" s="25"/>
      <c r="AE553" s="25"/>
      <c r="AF553" s="25"/>
      <c r="AG553" s="25"/>
      <c r="AH553" s="25"/>
      <c r="AI553" s="25"/>
      <c r="AJ553" s="25"/>
      <c r="AK553" s="25"/>
      <c r="AL553" s="25"/>
      <c r="AM553" s="25"/>
      <c r="AN553" s="25"/>
      <c r="AO553" s="25"/>
      <c r="AP553" s="25"/>
      <c r="AQ553" s="25"/>
      <c r="AR553" s="25"/>
      <c r="AS553" s="25"/>
      <c r="AT553" s="25"/>
      <c r="AU553" s="25"/>
      <c r="AV553" s="25"/>
      <c r="AW553" s="25"/>
      <c r="AX553" s="25"/>
      <c r="AY553" s="25"/>
      <c r="AZ553" s="25"/>
      <c r="BA553" s="25"/>
      <c r="BB553" s="25"/>
      <c r="BC553" s="25"/>
      <c r="BD553" s="25"/>
      <c r="BE553" s="25"/>
      <c r="BF553" s="25"/>
      <c r="BG553" s="25"/>
      <c r="BH553" s="25"/>
      <c r="BI553" s="25"/>
      <c r="BJ553" s="25"/>
      <c r="BK553" s="25"/>
      <c r="BL553" s="25"/>
      <c r="BM553" s="25"/>
      <c r="BN553" s="25"/>
      <c r="BO553" s="25"/>
      <c r="BP553" s="25"/>
      <c r="BQ553" s="25"/>
      <c r="BR553" s="25"/>
      <c r="BS553" s="25"/>
      <c r="BT553" s="25"/>
      <c r="BU553" s="25"/>
      <c r="BV553" s="25"/>
      <c r="BW553" s="25"/>
      <c r="BX553" s="25"/>
      <c r="BY553" s="25"/>
      <c r="BZ553" s="25"/>
      <c r="CA553" s="25"/>
      <c r="CB553" s="25"/>
    </row>
    <row r="554" spans="1:80" ht="12.75" hidden="1" customHeight="1">
      <c r="A554" s="10">
        <f ca="1">IFERROR(__xludf.DUMMYFUNCTION("""COMPUTED_VALUE"""),2010)</f>
        <v>2010</v>
      </c>
      <c r="B554" s="50">
        <f ca="1">IFERROR(__xludf.DUMMYFUNCTION("""COMPUTED_VALUE"""),44568)</f>
        <v>44568</v>
      </c>
      <c r="C554" s="41"/>
      <c r="D554" s="42" t="str">
        <f ca="1">IFERROR(__xludf.DUMMYFUNCTION("""COMPUTED_VALUE"""),"Lesser Yellowlegs")</f>
        <v>Lesser Yellowlegs</v>
      </c>
      <c r="E554" s="53">
        <f ca="1">IFERROR(__xludf.DUMMYFUNCTION("""COMPUTED_VALUE"""),1)</f>
        <v>1</v>
      </c>
      <c r="F554" s="15"/>
      <c r="G554" s="44" t="str">
        <f ca="1">IFERROR(__xludf.DUMMYFUNCTION("""COMPUTED_VALUE"""),"Inner Marsh Farm RSPB")</f>
        <v>Inner Marsh Farm RSPB</v>
      </c>
      <c r="H554" s="12">
        <f ca="1">IFERROR(__xludf.DUMMYFUNCTION("""COMPUTED_VALUE"""),40390)</f>
        <v>40390</v>
      </c>
      <c r="I554" s="12">
        <f ca="1">IFERROR(__xludf.DUMMYFUNCTION("""COMPUTED_VALUE"""),40406)</f>
        <v>40406</v>
      </c>
      <c r="J554" s="14"/>
      <c r="K554" s="15"/>
      <c r="L554" s="17" t="str">
        <f ca="1">IFERROR(__xludf.DUMMYFUNCTION("""COMPUTED_VALUE"""),"closed")</f>
        <v>closed</v>
      </c>
      <c r="M554" s="17"/>
      <c r="N554" s="15" t="str">
        <f ca="1">IFERROR(__xludf.DUMMYFUNCTION("""COMPUTED_VALUE"""),"BBRC-OK")</f>
        <v>BBRC-OK</v>
      </c>
      <c r="O554" s="18" t="str">
        <f ca="1">IFERROR(__xludf.DUMMYFUNCTION("""COMPUTED_VALUE"""),"Inner Marsh Farm RSPB, adult, 31st July to 16th August.")</f>
        <v>Inner Marsh Farm RSPB, adult, 31st July to 16th August.</v>
      </c>
      <c r="P554" s="15"/>
      <c r="Q554" s="58"/>
      <c r="R554" s="58"/>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row>
    <row r="555" spans="1:80" ht="12.75" hidden="1" customHeight="1">
      <c r="A555" s="20">
        <f ca="1">IFERROR(__xludf.DUMMYFUNCTION("""COMPUTED_VALUE"""),2010)</f>
        <v>2010</v>
      </c>
      <c r="B555" s="45">
        <f ca="1">IFERROR(__xludf.DUMMYFUNCTION("""COMPUTED_VALUE"""),40611)</f>
        <v>40611</v>
      </c>
      <c r="C555" s="46">
        <f ca="1">IFERROR(__xludf.DUMMYFUNCTION("""COMPUTED_VALUE"""),40597)</f>
        <v>40597</v>
      </c>
      <c r="D555" s="47" t="str">
        <f ca="1">IFERROR(__xludf.DUMMYFUNCTION("""COMPUTED_VALUE"""),"Sabine's Gull")</f>
        <v>Sabine's Gull</v>
      </c>
      <c r="E555" s="52">
        <f ca="1">IFERROR(__xludf.DUMMYFUNCTION("""COMPUTED_VALUE"""),1)</f>
        <v>1</v>
      </c>
      <c r="F555" s="25" t="str">
        <f ca="1">IFERROR(__xludf.DUMMYFUNCTION("""COMPUTED_VALUE"""),"juv")</f>
        <v>juv</v>
      </c>
      <c r="G555" s="48" t="str">
        <f ca="1">IFERROR(__xludf.DUMMYFUNCTION("""COMPUTED_VALUE"""),"New Brighton")</f>
        <v>New Brighton</v>
      </c>
      <c r="H555" s="22">
        <f ca="1">IFERROR(__xludf.DUMMYFUNCTION("""COMPUTED_VALUE"""),40436)</f>
        <v>40436</v>
      </c>
      <c r="I555" s="22"/>
      <c r="J555" s="24" t="str">
        <f ca="1">IFERROR(__xludf.DUMMYFUNCTION("""COMPUTED_VALUE"""),"Mahon, J")</f>
        <v>Mahon, J</v>
      </c>
      <c r="K555" s="25" t="str">
        <f ca="1">IFERROR(__xludf.DUMMYFUNCTION("""COMPUTED_VALUE"""),"Kenny Dummigan")</f>
        <v>Kenny Dummigan</v>
      </c>
      <c r="L555" s="27" t="str">
        <f ca="1">IFERROR(__xludf.DUMMYFUNCTION("""COMPUTED_VALUE"""),"closed")</f>
        <v>closed</v>
      </c>
      <c r="M555" s="27" t="str">
        <f ca="1">IFERROR(__xludf.DUMMYFUNCTION("""COMPUTED_VALUE"""),"1st U")</f>
        <v>1st U</v>
      </c>
      <c r="N555" s="25" t="str">
        <f ca="1">IFERROR(__xludf.DUMMYFUNCTION("""COMPUTED_VALUE"""),"accepted")</f>
        <v>accepted</v>
      </c>
      <c r="O555" s="28"/>
      <c r="P555" s="25"/>
      <c r="Q555" s="40"/>
      <c r="R555" s="40"/>
      <c r="S555" s="25"/>
      <c r="T555" s="25"/>
      <c r="U555" s="25"/>
      <c r="V555" s="25"/>
      <c r="W555" s="25"/>
      <c r="X555" s="25"/>
      <c r="Y555" s="25"/>
      <c r="Z555" s="25"/>
      <c r="AA555" s="25"/>
      <c r="AB555" s="25"/>
      <c r="AC555" s="25"/>
      <c r="AD555" s="25"/>
      <c r="AE555" s="25"/>
      <c r="AF555" s="25"/>
      <c r="AG555" s="25"/>
      <c r="AH555" s="25"/>
      <c r="AI555" s="25"/>
      <c r="AJ555" s="25"/>
      <c r="AK555" s="25"/>
      <c r="AL555" s="25"/>
      <c r="AM555" s="25"/>
      <c r="AN555" s="25"/>
      <c r="AO555" s="25"/>
      <c r="AP555" s="25"/>
      <c r="AQ555" s="25"/>
      <c r="AR555" s="25"/>
      <c r="AS555" s="25"/>
      <c r="AT555" s="25"/>
      <c r="AU555" s="25"/>
      <c r="AV555" s="25"/>
      <c r="AW555" s="25"/>
      <c r="AX555" s="25"/>
      <c r="AY555" s="25"/>
      <c r="AZ555" s="25"/>
      <c r="BA555" s="25"/>
      <c r="BB555" s="25"/>
      <c r="BC555" s="25"/>
      <c r="BD555" s="25"/>
      <c r="BE555" s="25"/>
      <c r="BF555" s="25"/>
      <c r="BG555" s="25"/>
      <c r="BH555" s="25"/>
      <c r="BI555" s="25"/>
      <c r="BJ555" s="25"/>
      <c r="BK555" s="25"/>
      <c r="BL555" s="25"/>
      <c r="BM555" s="25"/>
      <c r="BN555" s="25"/>
      <c r="BO555" s="25"/>
      <c r="BP555" s="25"/>
      <c r="BQ555" s="25"/>
      <c r="BR555" s="25"/>
      <c r="BS555" s="25"/>
      <c r="BT555" s="25"/>
      <c r="BU555" s="25"/>
      <c r="BV555" s="25"/>
      <c r="BW555" s="25"/>
      <c r="BX555" s="25"/>
      <c r="BY555" s="25"/>
      <c r="BZ555" s="25"/>
      <c r="CA555" s="25"/>
      <c r="CB555" s="25"/>
    </row>
    <row r="556" spans="1:80" ht="12.75" hidden="1" customHeight="1">
      <c r="A556" s="10">
        <f ca="1">IFERROR(__xludf.DUMMYFUNCTION("""COMPUTED_VALUE"""),2010)</f>
        <v>2010</v>
      </c>
      <c r="B556" s="50">
        <f ca="1">IFERROR(__xludf.DUMMYFUNCTION("""COMPUTED_VALUE"""),40611)</f>
        <v>40611</v>
      </c>
      <c r="C556" s="41">
        <f ca="1">IFERROR(__xludf.DUMMYFUNCTION("""COMPUTED_VALUE"""),40597)</f>
        <v>40597</v>
      </c>
      <c r="D556" s="42" t="str">
        <f ca="1">IFERROR(__xludf.DUMMYFUNCTION("""COMPUTED_VALUE"""),"Sabine's Gull")</f>
        <v>Sabine's Gull</v>
      </c>
      <c r="E556" s="53">
        <f ca="1">IFERROR(__xludf.DUMMYFUNCTION("""COMPUTED_VALUE"""),1)</f>
        <v>1</v>
      </c>
      <c r="F556" s="15" t="str">
        <f ca="1">IFERROR(__xludf.DUMMYFUNCTION("""COMPUTED_VALUE"""),"juv")</f>
        <v>juv</v>
      </c>
      <c r="G556" s="44" t="str">
        <f ca="1">IFERROR(__xludf.DUMMYFUNCTION("""COMPUTED_VALUE"""),"New Brighton")</f>
        <v>New Brighton</v>
      </c>
      <c r="H556" s="12">
        <f ca="1">IFERROR(__xludf.DUMMYFUNCTION("""COMPUTED_VALUE"""),40436)</f>
        <v>40436</v>
      </c>
      <c r="I556" s="13"/>
      <c r="J556" s="14" t="str">
        <f ca="1">IFERROR(__xludf.DUMMYFUNCTION("""COMPUTED_VALUE"""),"Young, S")</f>
        <v>Young, S</v>
      </c>
      <c r="K556" s="15" t="str">
        <f ca="1">IFERROR(__xludf.DUMMYFUNCTION("""COMPUTED_VALUE"""),"Kenny Dummigan")</f>
        <v>Kenny Dummigan</v>
      </c>
      <c r="L556" s="17" t="str">
        <f ca="1">IFERROR(__xludf.DUMMYFUNCTION("""COMPUTED_VALUE"""),"closed")</f>
        <v>closed</v>
      </c>
      <c r="M556" s="17" t="str">
        <f ca="1">IFERROR(__xludf.DUMMYFUNCTION("""COMPUTED_VALUE"""),"1st U")</f>
        <v>1st U</v>
      </c>
      <c r="N556" s="15" t="str">
        <f ca="1">IFERROR(__xludf.DUMMYFUNCTION("""COMPUTED_VALUE"""),"accepted")</f>
        <v>accepted</v>
      </c>
      <c r="O556" s="18"/>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row>
    <row r="557" spans="1:80" ht="12.75" hidden="1" customHeight="1">
      <c r="A557" s="20">
        <f ca="1">IFERROR(__xludf.DUMMYFUNCTION("""COMPUTED_VALUE"""),2010)</f>
        <v>2010</v>
      </c>
      <c r="B557" s="45">
        <f ca="1">IFERROR(__xludf.DUMMYFUNCTION("""COMPUTED_VALUE"""),40611)</f>
        <v>40611</v>
      </c>
      <c r="C557" s="46">
        <f ca="1">IFERROR(__xludf.DUMMYFUNCTION("""COMPUTED_VALUE"""),40597)</f>
        <v>40597</v>
      </c>
      <c r="D557" s="47" t="str">
        <f ca="1">IFERROR(__xludf.DUMMYFUNCTION("""COMPUTED_VALUE"""),"Sabine's Gull")</f>
        <v>Sabine's Gull</v>
      </c>
      <c r="E557" s="52">
        <f ca="1">IFERROR(__xludf.DUMMYFUNCTION("""COMPUTED_VALUE"""),1)</f>
        <v>1</v>
      </c>
      <c r="F557" s="25" t="str">
        <f ca="1">IFERROR(__xludf.DUMMYFUNCTION("""COMPUTED_VALUE"""),"juv")</f>
        <v>juv</v>
      </c>
      <c r="G557" s="48" t="str">
        <f ca="1">IFERROR(__xludf.DUMMYFUNCTION("""COMPUTED_VALUE"""),"New Brighton")</f>
        <v>New Brighton</v>
      </c>
      <c r="H557" s="22">
        <f ca="1">IFERROR(__xludf.DUMMYFUNCTION("""COMPUTED_VALUE"""),40436)</f>
        <v>40436</v>
      </c>
      <c r="I557" s="22"/>
      <c r="J557" s="24" t="str">
        <f ca="1">IFERROR(__xludf.DUMMYFUNCTION("""COMPUTED_VALUE"""),"Smith, R")</f>
        <v>Smith, R</v>
      </c>
      <c r="K557" s="25" t="str">
        <f ca="1">IFERROR(__xludf.DUMMYFUNCTION("""COMPUTED_VALUE"""),"Kenny Dummigan")</f>
        <v>Kenny Dummigan</v>
      </c>
      <c r="L557" s="27" t="str">
        <f ca="1">IFERROR(__xludf.DUMMYFUNCTION("""COMPUTED_VALUE"""),"closed")</f>
        <v>closed</v>
      </c>
      <c r="M557" s="27" t="str">
        <f ca="1">IFERROR(__xludf.DUMMYFUNCTION("""COMPUTED_VALUE"""),"1st U")</f>
        <v>1st U</v>
      </c>
      <c r="N557" s="25" t="str">
        <f ca="1">IFERROR(__xludf.DUMMYFUNCTION("""COMPUTED_VALUE"""),"accepted")</f>
        <v>accepted</v>
      </c>
      <c r="O557" s="28"/>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c r="BH557" s="25"/>
      <c r="BI557" s="25"/>
      <c r="BJ557" s="25"/>
      <c r="BK557" s="25"/>
      <c r="BL557" s="25"/>
      <c r="BM557" s="25"/>
      <c r="BN557" s="25"/>
      <c r="BO557" s="25"/>
      <c r="BP557" s="25"/>
      <c r="BQ557" s="25"/>
      <c r="BR557" s="25"/>
      <c r="BS557" s="25"/>
      <c r="BT557" s="25"/>
      <c r="BU557" s="25"/>
      <c r="BV557" s="25"/>
      <c r="BW557" s="25"/>
      <c r="BX557" s="25"/>
      <c r="BY557" s="25"/>
      <c r="BZ557" s="25"/>
      <c r="CA557" s="25"/>
      <c r="CB557" s="25"/>
    </row>
    <row r="558" spans="1:80" ht="12.75" hidden="1" customHeight="1">
      <c r="A558" s="10">
        <f ca="1">IFERROR(__xludf.DUMMYFUNCTION("""COMPUTED_VALUE"""),2010)</f>
        <v>2010</v>
      </c>
      <c r="B558" s="50">
        <f ca="1">IFERROR(__xludf.DUMMYFUNCTION("""COMPUTED_VALUE"""),40611)</f>
        <v>40611</v>
      </c>
      <c r="C558" s="41">
        <f ca="1">IFERROR(__xludf.DUMMYFUNCTION("""COMPUTED_VALUE"""),40597)</f>
        <v>40597</v>
      </c>
      <c r="D558" s="42" t="str">
        <f ca="1">IFERROR(__xludf.DUMMYFUNCTION("""COMPUTED_VALUE"""),"Sabine's Gull")</f>
        <v>Sabine's Gull</v>
      </c>
      <c r="E558" s="53">
        <f ca="1">IFERROR(__xludf.DUMMYFUNCTION("""COMPUTED_VALUE"""),1)</f>
        <v>1</v>
      </c>
      <c r="F558" s="15" t="str">
        <f ca="1">IFERROR(__xludf.DUMMYFUNCTION("""COMPUTED_VALUE"""),"juv")</f>
        <v>juv</v>
      </c>
      <c r="G558" s="44" t="str">
        <f ca="1">IFERROR(__xludf.DUMMYFUNCTION("""COMPUTED_VALUE"""),"New Brighton")</f>
        <v>New Brighton</v>
      </c>
      <c r="H558" s="12">
        <f ca="1">IFERROR(__xludf.DUMMYFUNCTION("""COMPUTED_VALUE"""),40436)</f>
        <v>40436</v>
      </c>
      <c r="I558" s="13"/>
      <c r="J558" s="14" t="str">
        <f ca="1">IFERROR(__xludf.DUMMYFUNCTION("""COMPUTED_VALUE"""),"Adderley, R")</f>
        <v>Adderley, R</v>
      </c>
      <c r="K558" s="15" t="str">
        <f ca="1">IFERROR(__xludf.DUMMYFUNCTION("""COMPUTED_VALUE"""),"Kenny Dummigan")</f>
        <v>Kenny Dummigan</v>
      </c>
      <c r="L558" s="17" t="str">
        <f ca="1">IFERROR(__xludf.DUMMYFUNCTION("""COMPUTED_VALUE"""),"closed")</f>
        <v>closed</v>
      </c>
      <c r="M558" s="17" t="str">
        <f ca="1">IFERROR(__xludf.DUMMYFUNCTION("""COMPUTED_VALUE"""),"1st U")</f>
        <v>1st U</v>
      </c>
      <c r="N558" s="15" t="str">
        <f ca="1">IFERROR(__xludf.DUMMYFUNCTION("""COMPUTED_VALUE"""),"Accepted")</f>
        <v>Accepted</v>
      </c>
      <c r="O558" s="18"/>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row>
    <row r="559" spans="1:80" ht="12.75" hidden="1" customHeight="1">
      <c r="A559" s="20">
        <f ca="1">IFERROR(__xludf.DUMMYFUNCTION("""COMPUTED_VALUE"""),2010)</f>
        <v>2010</v>
      </c>
      <c r="B559" s="45">
        <f ca="1">IFERROR(__xludf.DUMMYFUNCTION("""COMPUTED_VALUE"""),40555)</f>
        <v>40555</v>
      </c>
      <c r="C559" s="46">
        <f ca="1">IFERROR(__xludf.DUMMYFUNCTION("""COMPUTED_VALUE"""),40604)</f>
        <v>40604</v>
      </c>
      <c r="D559" s="47" t="str">
        <f ca="1">IFERROR(__xludf.DUMMYFUNCTION("""COMPUTED_VALUE"""),"Sabine's Gull")</f>
        <v>Sabine's Gull</v>
      </c>
      <c r="E559" s="52">
        <f ca="1">IFERROR(__xludf.DUMMYFUNCTION("""COMPUTED_VALUE"""),1)</f>
        <v>1</v>
      </c>
      <c r="F559" s="25" t="str">
        <f ca="1">IFERROR(__xludf.DUMMYFUNCTION("""COMPUTED_VALUE"""),"Ad W")</f>
        <v>Ad W</v>
      </c>
      <c r="G559" s="48" t="str">
        <f ca="1">IFERROR(__xludf.DUMMYFUNCTION("""COMPUTED_VALUE"""),"Hilbre")</f>
        <v>Hilbre</v>
      </c>
      <c r="H559" s="22">
        <f ca="1">IFERROR(__xludf.DUMMYFUNCTION("""COMPUTED_VALUE"""),40437)</f>
        <v>40437</v>
      </c>
      <c r="I559" s="23"/>
      <c r="J559" s="24" t="str">
        <f ca="1">IFERROR(__xludf.DUMMYFUNCTION("""COMPUTED_VALUE"""),"Hinde, S")</f>
        <v>Hinde, S</v>
      </c>
      <c r="K559" s="25" t="str">
        <f ca="1">IFERROR(__xludf.DUMMYFUNCTION("""COMPUTED_VALUE"""),"Hinde, S")</f>
        <v>Hinde, S</v>
      </c>
      <c r="L559" s="27" t="str">
        <f ca="1">IFERROR(__xludf.DUMMYFUNCTION("""COMPUTED_VALUE"""),"closed")</f>
        <v>closed</v>
      </c>
      <c r="M559" s="27" t="str">
        <f ca="1">IFERROR(__xludf.DUMMYFUNCTION("""COMPUTED_VALUE"""),"1st U")</f>
        <v>1st U</v>
      </c>
      <c r="N559" s="25" t="str">
        <f ca="1">IFERROR(__xludf.DUMMYFUNCTION("""COMPUTED_VALUE"""),"Accepted")</f>
        <v>Accepted</v>
      </c>
      <c r="O559" s="28"/>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5"/>
      <c r="BE559" s="25"/>
      <c r="BF559" s="25"/>
      <c r="BG559" s="25"/>
      <c r="BH559" s="25"/>
      <c r="BI559" s="25"/>
      <c r="BJ559" s="25"/>
      <c r="BK559" s="25"/>
      <c r="BL559" s="25"/>
      <c r="BM559" s="25"/>
      <c r="BN559" s="25"/>
      <c r="BO559" s="25"/>
      <c r="BP559" s="25"/>
      <c r="BQ559" s="25"/>
      <c r="BR559" s="25"/>
      <c r="BS559" s="25"/>
      <c r="BT559" s="25"/>
      <c r="BU559" s="25"/>
      <c r="BV559" s="25"/>
      <c r="BW559" s="25"/>
      <c r="BX559" s="25"/>
      <c r="BY559" s="25"/>
      <c r="BZ559" s="25"/>
      <c r="CA559" s="25"/>
      <c r="CB559" s="25"/>
    </row>
    <row r="560" spans="1:80" ht="12.75" hidden="1" customHeight="1">
      <c r="A560" s="10">
        <f ca="1">IFERROR(__xludf.DUMMYFUNCTION("""COMPUTED_VALUE"""),2010)</f>
        <v>2010</v>
      </c>
      <c r="B560" s="50">
        <f ca="1">IFERROR(__xludf.DUMMYFUNCTION("""COMPUTED_VALUE"""),40555)</f>
        <v>40555</v>
      </c>
      <c r="C560" s="41">
        <f ca="1">IFERROR(__xludf.DUMMYFUNCTION("""COMPUTED_VALUE"""),40611)</f>
        <v>40611</v>
      </c>
      <c r="D560" s="42" t="str">
        <f ca="1">IFERROR(__xludf.DUMMYFUNCTION("""COMPUTED_VALUE"""),"Sabine's Gull")</f>
        <v>Sabine's Gull</v>
      </c>
      <c r="E560" s="53">
        <f ca="1">IFERROR(__xludf.DUMMYFUNCTION("""COMPUTED_VALUE"""),1)</f>
        <v>1</v>
      </c>
      <c r="F560" s="15" t="str">
        <f ca="1">IFERROR(__xludf.DUMMYFUNCTION("""COMPUTED_VALUE"""),"Ad Summer")</f>
        <v>Ad Summer</v>
      </c>
      <c r="G560" s="44" t="str">
        <f ca="1">IFERROR(__xludf.DUMMYFUNCTION("""COMPUTED_VALUE"""),"New Brighton")</f>
        <v>New Brighton</v>
      </c>
      <c r="H560" s="12">
        <f ca="1">IFERROR(__xludf.DUMMYFUNCTION("""COMPUTED_VALUE"""),40436)</f>
        <v>40436</v>
      </c>
      <c r="I560" s="13"/>
      <c r="J560" s="14" t="str">
        <f ca="1">IFERROR(__xludf.DUMMYFUNCTION("""COMPUTED_VALUE"""),"Adderley, R")</f>
        <v>Adderley, R</v>
      </c>
      <c r="K560" s="15" t="str">
        <f ca="1">IFERROR(__xludf.DUMMYFUNCTION("""COMPUTED_VALUE"""),"Adderley, R")</f>
        <v>Adderley, R</v>
      </c>
      <c r="L560" s="17" t="str">
        <f ca="1">IFERROR(__xludf.DUMMYFUNCTION("""COMPUTED_VALUE"""),"closed")</f>
        <v>closed</v>
      </c>
      <c r="M560" s="17" t="str">
        <f ca="1">IFERROR(__xludf.DUMMYFUNCTION("""COMPUTED_VALUE"""),"1st U")</f>
        <v>1st U</v>
      </c>
      <c r="N560" s="15" t="str">
        <f ca="1">IFERROR(__xludf.DUMMYFUNCTION("""COMPUTED_VALUE"""),"Accepted")</f>
        <v>Accepted</v>
      </c>
      <c r="O560" s="18"/>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row>
    <row r="561" spans="1:80" ht="12.75" hidden="1" customHeight="1">
      <c r="A561" s="20">
        <f ca="1">IFERROR(__xludf.DUMMYFUNCTION("""COMPUTED_VALUE"""),2010)</f>
        <v>2010</v>
      </c>
      <c r="B561" s="45">
        <f ca="1">IFERROR(__xludf.DUMMYFUNCTION("""COMPUTED_VALUE"""),40555)</f>
        <v>40555</v>
      </c>
      <c r="C561" s="46">
        <f ca="1">IFERROR(__xludf.DUMMYFUNCTION("""COMPUTED_VALUE"""),40611)</f>
        <v>40611</v>
      </c>
      <c r="D561" s="47" t="str">
        <f ca="1">IFERROR(__xludf.DUMMYFUNCTION("""COMPUTED_VALUE"""),"Sabine's Gull")</f>
        <v>Sabine's Gull</v>
      </c>
      <c r="E561" s="52">
        <f ca="1">IFERROR(__xludf.DUMMYFUNCTION("""COMPUTED_VALUE"""),2)</f>
        <v>2</v>
      </c>
      <c r="F561" s="25"/>
      <c r="G561" s="48" t="str">
        <f ca="1">IFERROR(__xludf.DUMMYFUNCTION("""COMPUTED_VALUE"""),"Hoylake")</f>
        <v>Hoylake</v>
      </c>
      <c r="H561" s="22">
        <f ca="1">IFERROR(__xludf.DUMMYFUNCTION("""COMPUTED_VALUE"""),40436)</f>
        <v>40436</v>
      </c>
      <c r="I561" s="22">
        <f ca="1">IFERROR(__xludf.DUMMYFUNCTION("""COMPUTED_VALUE"""),40436)</f>
        <v>40436</v>
      </c>
      <c r="J561" s="24" t="str">
        <f ca="1">IFERROR(__xludf.DUMMYFUNCTION("""COMPUTED_VALUE"""),"Turner, JE")</f>
        <v>Turner, JE</v>
      </c>
      <c r="K561" s="25" t="str">
        <f ca="1">IFERROR(__xludf.DUMMYFUNCTION("""COMPUTED_VALUE"""),"Turner, JE")</f>
        <v>Turner, JE</v>
      </c>
      <c r="L561" s="27" t="str">
        <f ca="1">IFERROR(__xludf.DUMMYFUNCTION("""COMPUTED_VALUE"""),"closed")</f>
        <v>closed</v>
      </c>
      <c r="M561" s="27" t="str">
        <f ca="1">IFERROR(__xludf.DUMMYFUNCTION("""COMPUTED_VALUE"""),"1st U")</f>
        <v>1st U</v>
      </c>
      <c r="N561" s="25" t="str">
        <f ca="1">IFERROR(__xludf.DUMMYFUNCTION("""COMPUTED_VALUE"""),"Accepted")</f>
        <v>Accepted</v>
      </c>
      <c r="O561" s="28" t="str">
        <f ca="1">IFERROR(__xludf.DUMMYFUNCTION("""COMPUTED_VALUE"""),"three sightings of singles ad, juv juv")</f>
        <v>three sightings of singles ad, juv juv</v>
      </c>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5"/>
      <c r="BE561" s="25"/>
      <c r="BF561" s="25"/>
      <c r="BG561" s="25"/>
      <c r="BH561" s="25"/>
      <c r="BI561" s="25"/>
      <c r="BJ561" s="25"/>
      <c r="BK561" s="25"/>
      <c r="BL561" s="25"/>
      <c r="BM561" s="25"/>
      <c r="BN561" s="25"/>
      <c r="BO561" s="25"/>
      <c r="BP561" s="25"/>
      <c r="BQ561" s="25"/>
      <c r="BR561" s="25"/>
      <c r="BS561" s="25"/>
      <c r="BT561" s="25"/>
      <c r="BU561" s="25"/>
      <c r="BV561" s="25"/>
      <c r="BW561" s="25"/>
      <c r="BX561" s="25"/>
      <c r="BY561" s="25"/>
      <c r="BZ561" s="25"/>
      <c r="CA561" s="25"/>
      <c r="CB561" s="25"/>
    </row>
    <row r="562" spans="1:80" ht="13.5" hidden="1" customHeight="1">
      <c r="A562" s="10">
        <f ca="1">IFERROR(__xludf.DUMMYFUNCTION("""COMPUTED_VALUE"""),2010)</f>
        <v>2010</v>
      </c>
      <c r="B562" s="50">
        <f ca="1">IFERROR(__xludf.DUMMYFUNCTION("""COMPUTED_VALUE"""),40555)</f>
        <v>40555</v>
      </c>
      <c r="C562" s="41">
        <f ca="1">IFERROR(__xludf.DUMMYFUNCTION("""COMPUTED_VALUE"""),40611)</f>
        <v>40611</v>
      </c>
      <c r="D562" s="42" t="str">
        <f ca="1">IFERROR(__xludf.DUMMYFUNCTION("""COMPUTED_VALUE"""),"Sabine's Gull")</f>
        <v>Sabine's Gull</v>
      </c>
      <c r="E562" s="53">
        <f ca="1">IFERROR(__xludf.DUMMYFUNCTION("""COMPUTED_VALUE"""),1)</f>
        <v>1</v>
      </c>
      <c r="F562" s="15"/>
      <c r="G562" s="44" t="str">
        <f ca="1">IFERROR(__xludf.DUMMYFUNCTION("""COMPUTED_VALUE"""),"Hoylake")</f>
        <v>Hoylake</v>
      </c>
      <c r="H562" s="12">
        <f ca="1">IFERROR(__xludf.DUMMYFUNCTION("""COMPUTED_VALUE"""),40437)</f>
        <v>40437</v>
      </c>
      <c r="I562" s="12">
        <f ca="1">IFERROR(__xludf.DUMMYFUNCTION("""COMPUTED_VALUE"""),40437)</f>
        <v>40437</v>
      </c>
      <c r="J562" s="14" t="str">
        <f ca="1">IFERROR(__xludf.DUMMYFUNCTION("""COMPUTED_VALUE"""),"Turner, JE")</f>
        <v>Turner, JE</v>
      </c>
      <c r="K562" s="15" t="str">
        <f ca="1">IFERROR(__xludf.DUMMYFUNCTION("""COMPUTED_VALUE"""),"Turner, JE")</f>
        <v>Turner, JE</v>
      </c>
      <c r="L562" s="17" t="str">
        <f ca="1">IFERROR(__xludf.DUMMYFUNCTION("""COMPUTED_VALUE"""),"closed")</f>
        <v>closed</v>
      </c>
      <c r="M562" s="17" t="str">
        <f ca="1">IFERROR(__xludf.DUMMYFUNCTION("""COMPUTED_VALUE"""),"1st U")</f>
        <v>1st U</v>
      </c>
      <c r="N562" s="15" t="str">
        <f ca="1">IFERROR(__xludf.DUMMYFUNCTION("""COMPUTED_VALUE"""),"accepted")</f>
        <v>accepted</v>
      </c>
      <c r="O562" s="18" t="str">
        <f ca="1">IFERROR(__xludf.DUMMYFUNCTION("""COMPUTED_VALUE"""),"juv")</f>
        <v>juv</v>
      </c>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row>
    <row r="563" spans="1:80" ht="13.5" hidden="1" customHeight="1">
      <c r="A563" s="20">
        <f ca="1">IFERROR(__xludf.DUMMYFUNCTION("""COMPUTED_VALUE"""),2010)</f>
        <v>2010</v>
      </c>
      <c r="B563" s="45">
        <f ca="1">IFERROR(__xludf.DUMMYFUNCTION("""COMPUTED_VALUE"""),40239)</f>
        <v>40239</v>
      </c>
      <c r="C563" s="46">
        <f ca="1">IFERROR(__xludf.DUMMYFUNCTION("""COMPUTED_VALUE"""),40205)</f>
        <v>40205</v>
      </c>
      <c r="D563" s="47" t="str">
        <f ca="1">IFERROR(__xludf.DUMMYFUNCTION("""COMPUTED_VALUE"""),"Caspian Gull")</f>
        <v>Caspian Gull</v>
      </c>
      <c r="E563" s="52">
        <f ca="1">IFERROR(__xludf.DUMMYFUNCTION("""COMPUTED_VALUE"""),1)</f>
        <v>1</v>
      </c>
      <c r="F563" s="25" t="str">
        <f ca="1">IFERROR(__xludf.DUMMYFUNCTION("""COMPUTED_VALUE"""),"Ad w")</f>
        <v>Ad w</v>
      </c>
      <c r="G563" s="48" t="str">
        <f ca="1">IFERROR(__xludf.DUMMYFUNCTION("""COMPUTED_VALUE"""),"Birchwood Pool, Moore NR")</f>
        <v>Birchwood Pool, Moore NR</v>
      </c>
      <c r="H563" s="22">
        <f ca="1">IFERROR(__xludf.DUMMYFUNCTION("""COMPUTED_VALUE"""),40182)</f>
        <v>40182</v>
      </c>
      <c r="I563" s="23"/>
      <c r="J563" s="24" t="str">
        <f ca="1">IFERROR(__xludf.DUMMYFUNCTION("""COMPUTED_VALUE"""),"Vaughan, T")</f>
        <v>Vaughan, T</v>
      </c>
      <c r="K563" s="25" t="str">
        <f ca="1">IFERROR(__xludf.DUMMYFUNCTION("""COMPUTED_VALUE"""),"Vaughan, T")</f>
        <v>Vaughan, T</v>
      </c>
      <c r="L563" s="27" t="str">
        <f ca="1">IFERROR(__xludf.DUMMYFUNCTION("""COMPUTED_VALUE"""),"closed")</f>
        <v>closed</v>
      </c>
      <c r="M563" s="27" t="str">
        <f ca="1">IFERROR(__xludf.DUMMYFUNCTION("""COMPUTED_VALUE"""),"1st U")</f>
        <v>1st U</v>
      </c>
      <c r="N563" s="25" t="str">
        <f ca="1">IFERROR(__xludf.DUMMYFUNCTION("""COMPUTED_VALUE"""),"accepted")</f>
        <v>accepted</v>
      </c>
      <c r="O563" s="28"/>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c r="AM563" s="25"/>
      <c r="AN563" s="25"/>
      <c r="AO563" s="25"/>
      <c r="AP563" s="25"/>
      <c r="AQ563" s="25"/>
      <c r="AR563" s="25"/>
      <c r="AS563" s="25"/>
      <c r="AT563" s="25"/>
      <c r="AU563" s="25"/>
      <c r="AV563" s="25"/>
      <c r="AW563" s="25"/>
      <c r="AX563" s="25"/>
      <c r="AY563" s="25"/>
      <c r="AZ563" s="25"/>
      <c r="BA563" s="25"/>
      <c r="BB563" s="25"/>
      <c r="BC563" s="25"/>
      <c r="BD563" s="25"/>
      <c r="BE563" s="25"/>
      <c r="BF563" s="25"/>
      <c r="BG563" s="25"/>
      <c r="BH563" s="25"/>
      <c r="BI563" s="25"/>
      <c r="BJ563" s="25"/>
      <c r="BK563" s="25"/>
      <c r="BL563" s="25"/>
      <c r="BM563" s="25"/>
      <c r="BN563" s="25"/>
      <c r="BO563" s="25"/>
      <c r="BP563" s="25"/>
      <c r="BQ563" s="25"/>
      <c r="BR563" s="25"/>
      <c r="BS563" s="25"/>
      <c r="BT563" s="25"/>
      <c r="BU563" s="25"/>
      <c r="BV563" s="25"/>
      <c r="BW563" s="25"/>
      <c r="BX563" s="25"/>
      <c r="BY563" s="25"/>
      <c r="BZ563" s="25"/>
      <c r="CA563" s="25"/>
      <c r="CB563" s="25"/>
    </row>
    <row r="564" spans="1:80" ht="13.5" hidden="1" customHeight="1">
      <c r="A564" s="10">
        <f ca="1">IFERROR(__xludf.DUMMYFUNCTION("""COMPUTED_VALUE"""),2010)</f>
        <v>2010</v>
      </c>
      <c r="B564" s="50">
        <f ca="1">IFERROR(__xludf.DUMMYFUNCTION("""COMPUTED_VALUE"""),40252)</f>
        <v>40252</v>
      </c>
      <c r="C564" s="41">
        <f ca="1">IFERROR(__xludf.DUMMYFUNCTION("""COMPUTED_VALUE"""),40240)</f>
        <v>40240</v>
      </c>
      <c r="D564" s="42" t="str">
        <f ca="1">IFERROR(__xludf.DUMMYFUNCTION("""COMPUTED_VALUE"""),"Caspian Gull")</f>
        <v>Caspian Gull</v>
      </c>
      <c r="E564" s="53">
        <f ca="1">IFERROR(__xludf.DUMMYFUNCTION("""COMPUTED_VALUE"""),1)</f>
        <v>1</v>
      </c>
      <c r="F564" s="15" t="str">
        <f ca="1">IFERROR(__xludf.DUMMYFUNCTION("""COMPUTED_VALUE"""),"ad")</f>
        <v>ad</v>
      </c>
      <c r="G564" s="44" t="str">
        <f ca="1">IFERROR(__xludf.DUMMYFUNCTION("""COMPUTED_VALUE"""),"Birchwood Pool, Moore NR")</f>
        <v>Birchwood Pool, Moore NR</v>
      </c>
      <c r="H564" s="12">
        <f ca="1">IFERROR(__xludf.DUMMYFUNCTION("""COMPUTED_VALUE"""),40187)</f>
        <v>40187</v>
      </c>
      <c r="I564" s="13"/>
      <c r="J564" s="14" t="str">
        <f ca="1">IFERROR(__xludf.DUMMYFUNCTION("""COMPUTED_VALUE"""),"Miles, MR")</f>
        <v>Miles, MR</v>
      </c>
      <c r="K564" s="15" t="str">
        <f ca="1">IFERROR(__xludf.DUMMYFUNCTION("""COMPUTED_VALUE"""),"Tim Vaughan")</f>
        <v>Tim Vaughan</v>
      </c>
      <c r="L564" s="17" t="str">
        <f ca="1">IFERROR(__xludf.DUMMYFUNCTION("""COMPUTED_VALUE"""),"closed")</f>
        <v>closed</v>
      </c>
      <c r="M564" s="17" t="str">
        <f ca="1">IFERROR(__xludf.DUMMYFUNCTION("""COMPUTED_VALUE"""),"2nd U")</f>
        <v>2nd U</v>
      </c>
      <c r="N564" s="15" t="str">
        <f ca="1">IFERROR(__xludf.DUMMYFUNCTION("""COMPUTED_VALUE"""),"accepted")</f>
        <v>accepted</v>
      </c>
      <c r="O564" s="18"/>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row>
    <row r="565" spans="1:80" ht="13.5" hidden="1" customHeight="1">
      <c r="A565" s="20">
        <f ca="1">IFERROR(__xludf.DUMMYFUNCTION("""COMPUTED_VALUE"""),2010)</f>
        <v>2010</v>
      </c>
      <c r="B565" s="45">
        <f ca="1">IFERROR(__xludf.DUMMYFUNCTION("""COMPUTED_VALUE"""),40585)</f>
        <v>40585</v>
      </c>
      <c r="C565" s="46">
        <f ca="1">IFERROR(__xludf.DUMMYFUNCTION("""COMPUTED_VALUE"""),40252)</f>
        <v>40252</v>
      </c>
      <c r="D565" s="47" t="str">
        <f ca="1">IFERROR(__xludf.DUMMYFUNCTION("""COMPUTED_VALUE"""),"Caspian Gull")</f>
        <v>Caspian Gull</v>
      </c>
      <c r="E565" s="52">
        <f ca="1">IFERROR(__xludf.DUMMYFUNCTION("""COMPUTED_VALUE"""),1)</f>
        <v>1</v>
      </c>
      <c r="F565" s="25" t="str">
        <f ca="1">IFERROR(__xludf.DUMMYFUNCTION("""COMPUTED_VALUE"""),"3rd W")</f>
        <v>3rd W</v>
      </c>
      <c r="G565" s="48" t="str">
        <f ca="1">IFERROR(__xludf.DUMMYFUNCTION("""COMPUTED_VALUE"""),"Birchwood Pool, Moore NR")</f>
        <v>Birchwood Pool, Moore NR</v>
      </c>
      <c r="H565" s="22">
        <f ca="1">IFERROR(__xludf.DUMMYFUNCTION("""COMPUTED_VALUE"""),40208)</f>
        <v>40208</v>
      </c>
      <c r="I565" s="23"/>
      <c r="J565" s="24"/>
      <c r="K565" s="25"/>
      <c r="L565" s="27" t="str">
        <f ca="1">IFERROR(__xludf.DUMMYFUNCTION("""COMPUTED_VALUE"""),"closed")</f>
        <v>closed</v>
      </c>
      <c r="M565" s="27" t="str">
        <f ca="1">IFERROR(__xludf.DUMMYFUNCTION("""COMPUTED_VALUE"""),"3rd U")</f>
        <v>3rd U</v>
      </c>
      <c r="N565" s="25" t="str">
        <f ca="1">IFERROR(__xludf.DUMMYFUNCTION("""COMPUTED_VALUE"""),"unproven")</f>
        <v>unproven</v>
      </c>
      <c r="O565" s="28"/>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5"/>
      <c r="AR565" s="25"/>
      <c r="AS565" s="25"/>
      <c r="AT565" s="25"/>
      <c r="AU565" s="25"/>
      <c r="AV565" s="25"/>
      <c r="AW565" s="25"/>
      <c r="AX565" s="25"/>
      <c r="AY565" s="25"/>
      <c r="AZ565" s="25"/>
      <c r="BA565" s="25"/>
      <c r="BB565" s="25"/>
      <c r="BC565" s="25"/>
      <c r="BD565" s="25"/>
      <c r="BE565" s="25"/>
      <c r="BF565" s="25"/>
      <c r="BG565" s="25"/>
      <c r="BH565" s="25"/>
      <c r="BI565" s="25"/>
      <c r="BJ565" s="25"/>
      <c r="BK565" s="25"/>
      <c r="BL565" s="25"/>
      <c r="BM565" s="25"/>
      <c r="BN565" s="25"/>
      <c r="BO565" s="25"/>
      <c r="BP565" s="25"/>
      <c r="BQ565" s="25"/>
      <c r="BR565" s="25"/>
      <c r="BS565" s="25"/>
      <c r="BT565" s="25"/>
      <c r="BU565" s="25"/>
      <c r="BV565" s="25"/>
      <c r="BW565" s="25"/>
      <c r="BX565" s="25"/>
      <c r="BY565" s="25"/>
      <c r="BZ565" s="25"/>
      <c r="CA565" s="25"/>
      <c r="CB565" s="25"/>
    </row>
    <row r="566" spans="1:80" ht="13.5" hidden="1" customHeight="1">
      <c r="A566" s="10">
        <f ca="1">IFERROR(__xludf.DUMMYFUNCTION("""COMPUTED_VALUE"""),2010)</f>
        <v>2010</v>
      </c>
      <c r="B566" s="50">
        <f ca="1">IFERROR(__xludf.DUMMYFUNCTION("""COMPUTED_VALUE"""),40736)</f>
        <v>40736</v>
      </c>
      <c r="C566" s="41">
        <f ca="1">IFERROR(__xludf.DUMMYFUNCTION("""COMPUTED_VALUE"""),40336)</f>
        <v>40336</v>
      </c>
      <c r="D566" s="42" t="str">
        <f ca="1">IFERROR(__xludf.DUMMYFUNCTION("""COMPUTED_VALUE"""),"Caspian Gull")</f>
        <v>Caspian Gull</v>
      </c>
      <c r="E566" s="53">
        <f ca="1">IFERROR(__xludf.DUMMYFUNCTION("""COMPUTED_VALUE"""),1)</f>
        <v>1</v>
      </c>
      <c r="F566" s="15"/>
      <c r="G566" s="44" t="str">
        <f ca="1">IFERROR(__xludf.DUMMYFUNCTION("""COMPUTED_VALUE"""),"Richmond Bank")</f>
        <v>Richmond Bank</v>
      </c>
      <c r="H566" s="12">
        <f ca="1">IFERROR(__xludf.DUMMYFUNCTION("""COMPUTED_VALUE"""),40250)</f>
        <v>40250</v>
      </c>
      <c r="I566" s="12">
        <f ca="1">IFERROR(__xludf.DUMMYFUNCTION("""COMPUTED_VALUE"""),40250)</f>
        <v>40250</v>
      </c>
      <c r="J566" s="14" t="str">
        <f ca="1">IFERROR(__xludf.DUMMYFUNCTION("""COMPUTED_VALUE"""),"Vaughan, T")</f>
        <v>Vaughan, T</v>
      </c>
      <c r="K566" s="15"/>
      <c r="L566" s="17" t="str">
        <f ca="1">IFERROR(__xludf.DUMMYFUNCTION("""COMPUTED_VALUE"""),"closed")</f>
        <v>closed</v>
      </c>
      <c r="M566" s="17" t="str">
        <f ca="1">IFERROR(__xludf.DUMMYFUNCTION("""COMPUTED_VALUE"""),"1st U")</f>
        <v>1st U</v>
      </c>
      <c r="N566" s="15" t="str">
        <f ca="1">IFERROR(__xludf.DUMMYFUNCTION("""COMPUTED_VALUE"""),"accepted")</f>
        <v>accepted</v>
      </c>
      <c r="O566" s="18" t="str">
        <f ca="1">IFERROR(__xludf.DUMMYFUNCTION("""COMPUTED_VALUE"""),"1st winter, colour ringed from colony at Malopolski, Poland (Gavin Thomas, Pete Kinsella, Tim Vaughan)")</f>
        <v>1st winter, colour ringed from colony at Malopolski, Poland (Gavin Thomas, Pete Kinsella, Tim Vaughan)</v>
      </c>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row>
    <row r="567" spans="1:80" ht="13.5" hidden="1" customHeight="1">
      <c r="A567" s="20">
        <f ca="1">IFERROR(__xludf.DUMMYFUNCTION("""COMPUTED_VALUE"""),2010)</f>
        <v>2010</v>
      </c>
      <c r="B567" s="45">
        <f ca="1">IFERROR(__xludf.DUMMYFUNCTION("""COMPUTED_VALUE"""),40606)</f>
        <v>40606</v>
      </c>
      <c r="C567" s="46">
        <f ca="1">IFERROR(__xludf.DUMMYFUNCTION("""COMPUTED_VALUE"""),40336)</f>
        <v>40336</v>
      </c>
      <c r="D567" s="47" t="str">
        <f ca="1">IFERROR(__xludf.DUMMYFUNCTION("""COMPUTED_VALUE"""),"Caspian Gull")</f>
        <v>Caspian Gull</v>
      </c>
      <c r="E567" s="52">
        <f ca="1">IFERROR(__xludf.DUMMYFUNCTION("""COMPUTED_VALUE"""),1)</f>
        <v>1</v>
      </c>
      <c r="F567" s="25" t="str">
        <f ca="1">IFERROR(__xludf.DUMMYFUNCTION("""COMPUTED_VALUE"""),"1stw")</f>
        <v>1stw</v>
      </c>
      <c r="G567" s="48" t="str">
        <f ca="1">IFERROR(__xludf.DUMMYFUNCTION("""COMPUTED_VALUE"""),"Richmond Bank")</f>
        <v>Richmond Bank</v>
      </c>
      <c r="H567" s="22">
        <f ca="1">IFERROR(__xludf.DUMMYFUNCTION("""COMPUTED_VALUE"""),40191)</f>
        <v>40191</v>
      </c>
      <c r="I567" s="23"/>
      <c r="J567" s="24" t="str">
        <f ca="1">IFERROR(__xludf.DUMMYFUNCTION("""COMPUTED_VALUE"""),"Vaughan, T")</f>
        <v>Vaughan, T</v>
      </c>
      <c r="K567" s="25" t="str">
        <f ca="1">IFERROR(__xludf.DUMMYFUNCTION("""COMPUTED_VALUE"""),"Gavin Thomas")</f>
        <v>Gavin Thomas</v>
      </c>
      <c r="L567" s="27" t="str">
        <f ca="1">IFERROR(__xludf.DUMMYFUNCTION("""COMPUTED_VALUE"""),"closed")</f>
        <v>closed</v>
      </c>
      <c r="M567" s="27" t="str">
        <f ca="1">IFERROR(__xludf.DUMMYFUNCTION("""COMPUTED_VALUE"""),"1st U")</f>
        <v>1st U</v>
      </c>
      <c r="N567" s="25" t="str">
        <f ca="1">IFERROR(__xludf.DUMMYFUNCTION("""COMPUTED_VALUE"""),"accepted")</f>
        <v>accepted</v>
      </c>
      <c r="O567" s="28" t="str">
        <f ca="1">IFERROR(__xludf.DUMMYFUNCTION("""COMPUTED_VALUE"""),"Ringed ŻWIROWNIA ZAKOLE A,JANKOWICE,BABICE, MAŁOPOLSKIE, POLAND, 13.05.2009 50°02'N, 19°28'E Distance:  1213 km,     Direction: 294°,     Elapsed time:   304 days")</f>
        <v>Ringed ŻWIROWNIA ZAKOLE A,JANKOWICE,BABICE, MAŁOPOLSKIE, POLAND, 13.05.2009 50°02'N, 19°28'E Distance:  1213 km,     Direction: 294°,     Elapsed time:   304 days</v>
      </c>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5"/>
      <c r="BE567" s="25"/>
      <c r="BF567" s="25"/>
      <c r="BG567" s="25"/>
      <c r="BH567" s="25"/>
      <c r="BI567" s="25"/>
      <c r="BJ567" s="25"/>
      <c r="BK567" s="25"/>
      <c r="BL567" s="25"/>
      <c r="BM567" s="25"/>
      <c r="BN567" s="25"/>
      <c r="BO567" s="25"/>
      <c r="BP567" s="25"/>
      <c r="BQ567" s="25"/>
      <c r="BR567" s="25"/>
      <c r="BS567" s="25"/>
      <c r="BT567" s="25"/>
      <c r="BU567" s="25"/>
      <c r="BV567" s="25"/>
      <c r="BW567" s="25"/>
      <c r="BX567" s="25"/>
      <c r="BY567" s="25"/>
      <c r="BZ567" s="25"/>
      <c r="CA567" s="25"/>
      <c r="CB567" s="25"/>
    </row>
    <row r="568" spans="1:80" ht="13.5" hidden="1" customHeight="1">
      <c r="A568" s="10">
        <f ca="1">IFERROR(__xludf.DUMMYFUNCTION("""COMPUTED_VALUE"""),2010)</f>
        <v>2010</v>
      </c>
      <c r="B568" s="50">
        <f ca="1">IFERROR(__xludf.DUMMYFUNCTION("""COMPUTED_VALUE"""),40606)</f>
        <v>40606</v>
      </c>
      <c r="C568" s="41">
        <f ca="1">IFERROR(__xludf.DUMMYFUNCTION("""COMPUTED_VALUE"""),40336)</f>
        <v>40336</v>
      </c>
      <c r="D568" s="42" t="str">
        <f ca="1">IFERROR(__xludf.DUMMYFUNCTION("""COMPUTED_VALUE"""),"Caspian Gull")</f>
        <v>Caspian Gull</v>
      </c>
      <c r="E568" s="53">
        <f ca="1">IFERROR(__xludf.DUMMYFUNCTION("""COMPUTED_VALUE"""),1)</f>
        <v>1</v>
      </c>
      <c r="F568" s="15" t="str">
        <f ca="1">IFERROR(__xludf.DUMMYFUNCTION("""COMPUTED_VALUE"""),"1stw")</f>
        <v>1stw</v>
      </c>
      <c r="G568" s="44" t="str">
        <f ca="1">IFERROR(__xludf.DUMMYFUNCTION("""COMPUTED_VALUE"""),"Richmond Bank")</f>
        <v>Richmond Bank</v>
      </c>
      <c r="H568" s="12">
        <f ca="1">IFERROR(__xludf.DUMMYFUNCTION("""COMPUTED_VALUE"""),40191)</f>
        <v>40191</v>
      </c>
      <c r="I568" s="13"/>
      <c r="J568" s="14" t="str">
        <f ca="1">IFERROR(__xludf.DUMMYFUNCTION("""COMPUTED_VALUE"""),"Kinsella, P")</f>
        <v>Kinsella, P</v>
      </c>
      <c r="K568" s="15" t="str">
        <f ca="1">IFERROR(__xludf.DUMMYFUNCTION("""COMPUTED_VALUE"""),"Gavin Thomas")</f>
        <v>Gavin Thomas</v>
      </c>
      <c r="L568" s="17" t="str">
        <f ca="1">IFERROR(__xludf.DUMMYFUNCTION("""COMPUTED_VALUE"""),"closed")</f>
        <v>closed</v>
      </c>
      <c r="M568" s="17" t="str">
        <f ca="1">IFERROR(__xludf.DUMMYFUNCTION("""COMPUTED_VALUE"""),"1st U")</f>
        <v>1st U</v>
      </c>
      <c r="N568" s="15" t="str">
        <f ca="1">IFERROR(__xludf.DUMMYFUNCTION("""COMPUTED_VALUE"""),"Accepted")</f>
        <v>Accepted</v>
      </c>
      <c r="O568" s="18"/>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row>
    <row r="569" spans="1:80" ht="13.5" hidden="1" customHeight="1">
      <c r="A569" s="20">
        <f ca="1">IFERROR(__xludf.DUMMYFUNCTION("""COMPUTED_VALUE"""),2010)</f>
        <v>2010</v>
      </c>
      <c r="B569" s="45">
        <f ca="1">IFERROR(__xludf.DUMMYFUNCTION("""COMPUTED_VALUE"""),40819)</f>
        <v>40819</v>
      </c>
      <c r="C569" s="46">
        <f ca="1">IFERROR(__xludf.DUMMYFUNCTION("""COMPUTED_VALUE"""),40860)</f>
        <v>40860</v>
      </c>
      <c r="D569" s="47" t="str">
        <f ca="1">IFERROR(__xludf.DUMMYFUNCTION("""COMPUTED_VALUE"""),"Caspian Gull")</f>
        <v>Caspian Gull</v>
      </c>
      <c r="E569" s="52">
        <f ca="1">IFERROR(__xludf.DUMMYFUNCTION("""COMPUTED_VALUE"""),1)</f>
        <v>1</v>
      </c>
      <c r="F569" s="25" t="str">
        <f ca="1">IFERROR(__xludf.DUMMYFUNCTION("""COMPUTED_VALUE"""),"2nd W")</f>
        <v>2nd W</v>
      </c>
      <c r="G569" s="48" t="str">
        <f ca="1">IFERROR(__xludf.DUMMYFUNCTION("""COMPUTED_VALUE"""),"Richmond Bank")</f>
        <v>Richmond Bank</v>
      </c>
      <c r="H569" s="22">
        <f ca="1">IFERROR(__xludf.DUMMYFUNCTION("""COMPUTED_VALUE"""),40516)</f>
        <v>40516</v>
      </c>
      <c r="I569" s="23"/>
      <c r="J569" s="24" t="str">
        <f ca="1">IFERROR(__xludf.DUMMYFUNCTION("""COMPUTED_VALUE"""),"Kinsella, P")</f>
        <v>Kinsella, P</v>
      </c>
      <c r="K569" s="25" t="str">
        <f ca="1">IFERROR(__xludf.DUMMYFUNCTION("""COMPUTED_VALUE"""),"Kinsella, P")</f>
        <v>Kinsella, P</v>
      </c>
      <c r="L569" s="27" t="str">
        <f ca="1">IFERROR(__xludf.DUMMYFUNCTION("""COMPUTED_VALUE"""),"closed")</f>
        <v>closed</v>
      </c>
      <c r="M569" s="27" t="str">
        <f ca="1">IFERROR(__xludf.DUMMYFUNCTION("""COMPUTED_VALUE"""),"1st U")</f>
        <v>1st U</v>
      </c>
      <c r="N569" s="25" t="str">
        <f ca="1">IFERROR(__xludf.DUMMYFUNCTION("""COMPUTED_VALUE"""),"accepted")</f>
        <v>accepted</v>
      </c>
      <c r="O569" s="28"/>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5"/>
      <c r="BE569" s="25"/>
      <c r="BF569" s="25"/>
      <c r="BG569" s="25"/>
      <c r="BH569" s="25"/>
      <c r="BI569" s="25"/>
      <c r="BJ569" s="25"/>
      <c r="BK569" s="25"/>
      <c r="BL569" s="25"/>
      <c r="BM569" s="25"/>
      <c r="BN569" s="25"/>
      <c r="BO569" s="25"/>
      <c r="BP569" s="25"/>
      <c r="BQ569" s="25"/>
      <c r="BR569" s="25"/>
      <c r="BS569" s="25"/>
      <c r="BT569" s="25"/>
      <c r="BU569" s="25"/>
      <c r="BV569" s="25"/>
      <c r="BW569" s="25"/>
      <c r="BX569" s="25"/>
      <c r="BY569" s="25"/>
      <c r="BZ569" s="25"/>
      <c r="CA569" s="25"/>
      <c r="CB569" s="25"/>
    </row>
    <row r="570" spans="1:80" ht="13.5" hidden="1" customHeight="1">
      <c r="A570" s="10">
        <f ca="1">IFERROR(__xludf.DUMMYFUNCTION("""COMPUTED_VALUE"""),2010)</f>
        <v>2010</v>
      </c>
      <c r="B570" s="50">
        <f ca="1">IFERROR(__xludf.DUMMYFUNCTION("""COMPUTED_VALUE"""),40587)</f>
        <v>40587</v>
      </c>
      <c r="C570" s="41"/>
      <c r="D570" s="42" t="str">
        <f ca="1">IFERROR(__xludf.DUMMYFUNCTION("""COMPUTED_VALUE"""),"Caspian Gull")</f>
        <v>Caspian Gull</v>
      </c>
      <c r="E570" s="53">
        <f ca="1">IFERROR(__xludf.DUMMYFUNCTION("""COMPUTED_VALUE"""),1)</f>
        <v>1</v>
      </c>
      <c r="F570" s="15" t="str">
        <f ca="1">IFERROR(__xludf.DUMMYFUNCTION("""COMPUTED_VALUE"""),"2nd W")</f>
        <v>2nd W</v>
      </c>
      <c r="G570" s="44" t="str">
        <f ca="1">IFERROR(__xludf.DUMMYFUNCTION("""COMPUTED_VALUE"""),"Richmond Bank")</f>
        <v>Richmond Bank</v>
      </c>
      <c r="H570" s="12">
        <f ca="1">IFERROR(__xludf.DUMMYFUNCTION("""COMPUTED_VALUE"""),40516)</f>
        <v>40516</v>
      </c>
      <c r="I570" s="13"/>
      <c r="J570" s="14" t="str">
        <f ca="1">IFERROR(__xludf.DUMMYFUNCTION("""COMPUTED_VALUE"""),"Kinsella, P")</f>
        <v>Kinsella, P</v>
      </c>
      <c r="K570" s="15"/>
      <c r="L570" s="17" t="str">
        <f ca="1">IFERROR(__xludf.DUMMYFUNCTION("""COMPUTED_VALUE"""),"closed")</f>
        <v>closed</v>
      </c>
      <c r="M570" s="17" t="str">
        <f ca="1">IFERROR(__xludf.DUMMYFUNCTION("""COMPUTED_VALUE"""),"panel")</f>
        <v>panel</v>
      </c>
      <c r="N570" s="15" t="str">
        <f ca="1">IFERROR(__xludf.DUMMYFUNCTION("""COMPUTED_VALUE"""),"accepted")</f>
        <v>accepted</v>
      </c>
      <c r="O570" s="18"/>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row>
    <row r="571" spans="1:80" ht="13.5" hidden="1" customHeight="1">
      <c r="A571" s="20">
        <f ca="1">IFERROR(__xludf.DUMMYFUNCTION("""COMPUTED_VALUE"""),2010)</f>
        <v>2010</v>
      </c>
      <c r="B571" s="45">
        <f ca="1">IFERROR(__xludf.DUMMYFUNCTION("""COMPUTED_VALUE"""),40775)</f>
        <v>40775</v>
      </c>
      <c r="C571" s="46">
        <f ca="1">IFERROR(__xludf.DUMMYFUNCTION("""COMPUTED_VALUE"""),40607)</f>
        <v>40607</v>
      </c>
      <c r="D571" s="47" t="str">
        <f ca="1">IFERROR(__xludf.DUMMYFUNCTION("""COMPUTED_VALUE"""),"Caspian Gull")</f>
        <v>Caspian Gull</v>
      </c>
      <c r="E571" s="52">
        <f ca="1">IFERROR(__xludf.DUMMYFUNCTION("""COMPUTED_VALUE"""),1)</f>
        <v>1</v>
      </c>
      <c r="F571" s="25" t="str">
        <f ca="1">IFERROR(__xludf.DUMMYFUNCTION("""COMPUTED_VALUE"""),"Ad")</f>
        <v>Ad</v>
      </c>
      <c r="G571" s="48" t="str">
        <f ca="1">IFERROR(__xludf.DUMMYFUNCTION("""COMPUTED_VALUE"""),"Richmond Bank")</f>
        <v>Richmond Bank</v>
      </c>
      <c r="H571" s="22">
        <f ca="1">IFERROR(__xludf.DUMMYFUNCTION("""COMPUTED_VALUE"""),40516)</f>
        <v>40516</v>
      </c>
      <c r="I571" s="22">
        <f ca="1">IFERROR(__xludf.DUMMYFUNCTION("""COMPUTED_VALUE"""),40540)</f>
        <v>40540</v>
      </c>
      <c r="J571" s="24" t="str">
        <f ca="1">IFERROR(__xludf.DUMMYFUNCTION("""COMPUTED_VALUE"""),"Kinsella, P")</f>
        <v>Kinsella, P</v>
      </c>
      <c r="K571" s="25" t="str">
        <f ca="1">IFERROR(__xludf.DUMMYFUNCTION("""COMPUTED_VALUE"""),"Pete Kinsella")</f>
        <v>Pete Kinsella</v>
      </c>
      <c r="L571" s="27" t="str">
        <f ca="1">IFERROR(__xludf.DUMMYFUNCTION("""COMPUTED_VALUE"""),"closed")</f>
        <v>closed</v>
      </c>
      <c r="M571" s="27" t="str">
        <f ca="1">IFERROR(__xludf.DUMMYFUNCTION("""COMPUTED_VALUE"""),"1st U")</f>
        <v>1st U</v>
      </c>
      <c r="N571" s="25" t="str">
        <f ca="1">IFERROR(__xludf.DUMMYFUNCTION("""COMPUTED_VALUE"""),"accepted")</f>
        <v>accepted</v>
      </c>
      <c r="O571" s="28" t="str">
        <f ca="1">IFERROR(__xludf.DUMMYFUNCTION("""COMPUTED_VALUE"""),"photo")</f>
        <v>photo</v>
      </c>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c r="AQ571" s="25"/>
      <c r="AR571" s="25"/>
      <c r="AS571" s="25"/>
      <c r="AT571" s="25"/>
      <c r="AU571" s="25"/>
      <c r="AV571" s="25"/>
      <c r="AW571" s="25"/>
      <c r="AX571" s="25"/>
      <c r="AY571" s="25"/>
      <c r="AZ571" s="25"/>
      <c r="BA571" s="25"/>
      <c r="BB571" s="25"/>
      <c r="BC571" s="25"/>
      <c r="BD571" s="25"/>
      <c r="BE571" s="25"/>
      <c r="BF571" s="25"/>
      <c r="BG571" s="25"/>
      <c r="BH571" s="25"/>
      <c r="BI571" s="25"/>
      <c r="BJ571" s="25"/>
      <c r="BK571" s="25"/>
      <c r="BL571" s="25"/>
      <c r="BM571" s="25"/>
      <c r="BN571" s="25"/>
      <c r="BO571" s="25"/>
      <c r="BP571" s="25"/>
      <c r="BQ571" s="25"/>
      <c r="BR571" s="25"/>
      <c r="BS571" s="25"/>
      <c r="BT571" s="25"/>
      <c r="BU571" s="25"/>
      <c r="BV571" s="25"/>
      <c r="BW571" s="25"/>
      <c r="BX571" s="25"/>
      <c r="BY571" s="25"/>
      <c r="BZ571" s="25"/>
      <c r="CA571" s="25"/>
      <c r="CB571" s="25"/>
    </row>
    <row r="572" spans="1:80" ht="13.5" hidden="1" customHeight="1">
      <c r="A572" s="10">
        <f ca="1">IFERROR(__xludf.DUMMYFUNCTION("""COMPUTED_VALUE"""),2010)</f>
        <v>2010</v>
      </c>
      <c r="B572" s="50">
        <f ca="1">IFERROR(__xludf.DUMMYFUNCTION("""COMPUTED_VALUE"""),40775)</f>
        <v>40775</v>
      </c>
      <c r="C572" s="41">
        <f ca="1">IFERROR(__xludf.DUMMYFUNCTION("""COMPUTED_VALUE"""),40773)</f>
        <v>40773</v>
      </c>
      <c r="D572" s="42" t="str">
        <f ca="1">IFERROR(__xludf.DUMMYFUNCTION("""COMPUTED_VALUE"""),"Caspian Gull")</f>
        <v>Caspian Gull</v>
      </c>
      <c r="E572" s="53">
        <f ca="1">IFERROR(__xludf.DUMMYFUNCTION("""COMPUTED_VALUE"""),1)</f>
        <v>1</v>
      </c>
      <c r="F572" s="15" t="str">
        <f ca="1">IFERROR(__xludf.DUMMYFUNCTION("""COMPUTED_VALUE"""),"Ad")</f>
        <v>Ad</v>
      </c>
      <c r="G572" s="44" t="str">
        <f ca="1">IFERROR(__xludf.DUMMYFUNCTION("""COMPUTED_VALUE"""),"Richmond Bank")</f>
        <v>Richmond Bank</v>
      </c>
      <c r="H572" s="12">
        <f ca="1">IFERROR(__xludf.DUMMYFUNCTION("""COMPUTED_VALUE"""),40514)</f>
        <v>40514</v>
      </c>
      <c r="I572" s="13"/>
      <c r="J572" s="14" t="str">
        <f ca="1">IFERROR(__xludf.DUMMYFUNCTION("""COMPUTED_VALUE"""),"McKerchar, I")</f>
        <v>McKerchar, I</v>
      </c>
      <c r="K572" s="15"/>
      <c r="L572" s="17" t="str">
        <f ca="1">IFERROR(__xludf.DUMMYFUNCTION("""COMPUTED_VALUE"""),"closed")</f>
        <v>closed</v>
      </c>
      <c r="M572" s="17" t="str">
        <f ca="1">IFERROR(__xludf.DUMMYFUNCTION("""COMPUTED_VALUE"""),"1st U")</f>
        <v>1st U</v>
      </c>
      <c r="N572" s="15" t="str">
        <f ca="1">IFERROR(__xludf.DUMMYFUNCTION("""COMPUTED_VALUE"""),"accepted")</f>
        <v>accepted</v>
      </c>
      <c r="O572" s="18"/>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row>
    <row r="573" spans="1:80" ht="13.5" hidden="1" customHeight="1">
      <c r="A573" s="20">
        <f ca="1">IFERROR(__xludf.DUMMYFUNCTION("""COMPUTED_VALUE"""),2010)</f>
        <v>2010</v>
      </c>
      <c r="B573" s="45">
        <f ca="1">IFERROR(__xludf.DUMMYFUNCTION("""COMPUTED_VALUE"""),40775)</f>
        <v>40775</v>
      </c>
      <c r="C573" s="46"/>
      <c r="D573" s="47" t="str">
        <f ca="1">IFERROR(__xludf.DUMMYFUNCTION("""COMPUTED_VALUE"""),"Caspian Gull")</f>
        <v>Caspian Gull</v>
      </c>
      <c r="E573" s="52">
        <f ca="1">IFERROR(__xludf.DUMMYFUNCTION("""COMPUTED_VALUE"""),1)</f>
        <v>1</v>
      </c>
      <c r="F573" s="25"/>
      <c r="G573" s="48" t="str">
        <f ca="1">IFERROR(__xludf.DUMMYFUNCTION("""COMPUTED_VALUE"""),"Sandbach Flashes")</f>
        <v>Sandbach Flashes</v>
      </c>
      <c r="H573" s="22">
        <f ca="1">IFERROR(__xludf.DUMMYFUNCTION("""COMPUTED_VALUE"""),40252)</f>
        <v>40252</v>
      </c>
      <c r="I573" s="22">
        <f ca="1">IFERROR(__xludf.DUMMYFUNCTION("""COMPUTED_VALUE"""),40252)</f>
        <v>40252</v>
      </c>
      <c r="J573" s="24"/>
      <c r="K573" s="25"/>
      <c r="L573" s="27" t="str">
        <f ca="1">IFERROR(__xludf.DUMMYFUNCTION("""COMPUTED_VALUE"""),"review")</f>
        <v>review</v>
      </c>
      <c r="M573" s="27"/>
      <c r="N573" s="25" t="str">
        <f ca="1">IFERROR(__xludf.DUMMYFUNCTION("""COMPUTED_VALUE"""),"review")</f>
        <v>review</v>
      </c>
      <c r="O573" s="28"/>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c r="AQ573" s="25"/>
      <c r="AR573" s="25"/>
      <c r="AS573" s="25"/>
      <c r="AT573" s="25"/>
      <c r="AU573" s="25"/>
      <c r="AV573" s="25"/>
      <c r="AW573" s="25"/>
      <c r="AX573" s="25"/>
      <c r="AY573" s="25"/>
      <c r="AZ573" s="25"/>
      <c r="BA573" s="25"/>
      <c r="BB573" s="25"/>
      <c r="BC573" s="25"/>
      <c r="BD573" s="25"/>
      <c r="BE573" s="25"/>
      <c r="BF573" s="25"/>
      <c r="BG573" s="25"/>
      <c r="BH573" s="25"/>
      <c r="BI573" s="25"/>
      <c r="BJ573" s="25"/>
      <c r="BK573" s="25"/>
      <c r="BL573" s="25"/>
      <c r="BM573" s="25"/>
      <c r="BN573" s="25"/>
      <c r="BO573" s="25"/>
      <c r="BP573" s="25"/>
      <c r="BQ573" s="25"/>
      <c r="BR573" s="25"/>
      <c r="BS573" s="25"/>
      <c r="BT573" s="25"/>
      <c r="BU573" s="25"/>
      <c r="BV573" s="25"/>
      <c r="BW573" s="25"/>
      <c r="BX573" s="25"/>
      <c r="BY573" s="25"/>
      <c r="BZ573" s="25"/>
      <c r="CA573" s="25"/>
      <c r="CB573" s="25"/>
    </row>
    <row r="574" spans="1:80" ht="13.5" hidden="1" customHeight="1">
      <c r="A574" s="10">
        <f ca="1">IFERROR(__xludf.DUMMYFUNCTION("""COMPUTED_VALUE"""),2010)</f>
        <v>2010</v>
      </c>
      <c r="B574" s="50">
        <f ca="1">IFERROR(__xludf.DUMMYFUNCTION("""COMPUTED_VALUE"""),40613)</f>
        <v>40613</v>
      </c>
      <c r="C574" s="41">
        <f ca="1">IFERROR(__xludf.DUMMYFUNCTION("""COMPUTED_VALUE"""),40598)</f>
        <v>40598</v>
      </c>
      <c r="D574" s="42" t="str">
        <f ca="1">IFERROR(__xludf.DUMMYFUNCTION("""COMPUTED_VALUE"""),"Long-tailed Skua")</f>
        <v>Long-tailed Skua</v>
      </c>
      <c r="E574" s="53">
        <f ca="1">IFERROR(__xludf.DUMMYFUNCTION("""COMPUTED_VALUE"""),1)</f>
        <v>1</v>
      </c>
      <c r="F574" s="15"/>
      <c r="G574" s="44" t="str">
        <f ca="1">IFERROR(__xludf.DUMMYFUNCTION("""COMPUTED_VALUE"""),"Hilbre")</f>
        <v>Hilbre</v>
      </c>
      <c r="H574" s="12">
        <f ca="1">IFERROR(__xludf.DUMMYFUNCTION("""COMPUTED_VALUE"""),40467)</f>
        <v>40467</v>
      </c>
      <c r="I574" s="13"/>
      <c r="J574" s="14" t="str">
        <f ca="1">IFERROR(__xludf.DUMMYFUNCTION("""COMPUTED_VALUE"""),"Hinde, S")</f>
        <v>Hinde, S</v>
      </c>
      <c r="K574" s="15" t="str">
        <f ca="1">IFERROR(__xludf.DUMMYFUNCTION("""COMPUTED_VALUE"""),"Hinde, S")</f>
        <v>Hinde, S</v>
      </c>
      <c r="L574" s="17" t="str">
        <f ca="1">IFERROR(__xludf.DUMMYFUNCTION("""COMPUTED_VALUE"""),"closed")</f>
        <v>closed</v>
      </c>
      <c r="M574" s="17"/>
      <c r="N574" s="15" t="str">
        <f ca="1">IFERROR(__xludf.DUMMYFUNCTION("""COMPUTED_VALUE"""),"accepted")</f>
        <v>accepted</v>
      </c>
      <c r="O574" s="18"/>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row>
    <row r="575" spans="1:80" ht="13.5" hidden="1" customHeight="1">
      <c r="A575" s="20">
        <f ca="1">IFERROR(__xludf.DUMMYFUNCTION("""COMPUTED_VALUE"""),2010)</f>
        <v>2010</v>
      </c>
      <c r="B575" s="45">
        <f ca="1">IFERROR(__xludf.DUMMYFUNCTION("""COMPUTED_VALUE"""),40613)</f>
        <v>40613</v>
      </c>
      <c r="C575" s="46">
        <f ca="1">IFERROR(__xludf.DUMMYFUNCTION("""COMPUTED_VALUE"""),40598)</f>
        <v>40598</v>
      </c>
      <c r="D575" s="47" t="str">
        <f ca="1">IFERROR(__xludf.DUMMYFUNCTION("""COMPUTED_VALUE"""),"Long-tailed Skua")</f>
        <v>Long-tailed Skua</v>
      </c>
      <c r="E575" s="52">
        <f ca="1">IFERROR(__xludf.DUMMYFUNCTION("""COMPUTED_VALUE"""),2)</f>
        <v>2</v>
      </c>
      <c r="F575" s="25" t="str">
        <f ca="1">IFERROR(__xludf.DUMMYFUNCTION("""COMPUTED_VALUE"""),"intermed juvand adult pale pase on last date")</f>
        <v>intermed juvand adult pale pase on last date</v>
      </c>
      <c r="G575" s="48" t="str">
        <f ca="1">IFERROR(__xludf.DUMMYFUNCTION("""COMPUTED_VALUE"""),"Hoylake")</f>
        <v>Hoylake</v>
      </c>
      <c r="H575" s="22">
        <f ca="1">IFERROR(__xludf.DUMMYFUNCTION("""COMPUTED_VALUE"""),40414)</f>
        <v>40414</v>
      </c>
      <c r="I575" s="22">
        <f ca="1">IFERROR(__xludf.DUMMYFUNCTION("""COMPUTED_VALUE"""),40435)</f>
        <v>40435</v>
      </c>
      <c r="J575" s="24" t="str">
        <f ca="1">IFERROR(__xludf.DUMMYFUNCTION("""COMPUTED_VALUE"""),"Turner, JE")</f>
        <v>Turner, JE</v>
      </c>
      <c r="K575" s="25" t="str">
        <f ca="1">IFERROR(__xludf.DUMMYFUNCTION("""COMPUTED_VALUE"""),"Turner, JE")</f>
        <v>Turner, JE</v>
      </c>
      <c r="L575" s="27" t="str">
        <f ca="1">IFERROR(__xludf.DUMMYFUNCTION("""COMPUTED_VALUE"""),"closed")</f>
        <v>closed</v>
      </c>
      <c r="M575" s="27"/>
      <c r="N575" s="25" t="str">
        <f ca="1">IFERROR(__xludf.DUMMYFUNCTION("""COMPUTED_VALUE"""),"accepted")</f>
        <v>accepted</v>
      </c>
      <c r="O575" s="28" t="str">
        <f ca="1">IFERROR(__xludf.DUMMYFUNCTION("""COMPUTED_VALUE"""),"intermediate juv throughout,ad pale phase also on 14th Sept")</f>
        <v>intermediate juv throughout,ad pale phase also on 14th Sept</v>
      </c>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c r="AM575" s="25"/>
      <c r="AN575" s="25"/>
      <c r="AO575" s="25"/>
      <c r="AP575" s="25"/>
      <c r="AQ575" s="25"/>
      <c r="AR575" s="25"/>
      <c r="AS575" s="25"/>
      <c r="AT575" s="25"/>
      <c r="AU575" s="25"/>
      <c r="AV575" s="25"/>
      <c r="AW575" s="25"/>
      <c r="AX575" s="25"/>
      <c r="AY575" s="25"/>
      <c r="AZ575" s="25"/>
      <c r="BA575" s="25"/>
      <c r="BB575" s="25"/>
      <c r="BC575" s="25"/>
      <c r="BD575" s="25"/>
      <c r="BE575" s="25"/>
      <c r="BF575" s="25"/>
      <c r="BG575" s="25"/>
      <c r="BH575" s="25"/>
      <c r="BI575" s="25"/>
      <c r="BJ575" s="25"/>
      <c r="BK575" s="25"/>
      <c r="BL575" s="25"/>
      <c r="BM575" s="25"/>
      <c r="BN575" s="25"/>
      <c r="BO575" s="25"/>
      <c r="BP575" s="25"/>
      <c r="BQ575" s="25"/>
      <c r="BR575" s="25"/>
      <c r="BS575" s="25"/>
      <c r="BT575" s="25"/>
      <c r="BU575" s="25"/>
      <c r="BV575" s="25"/>
      <c r="BW575" s="25"/>
      <c r="BX575" s="25"/>
      <c r="BY575" s="25"/>
      <c r="BZ575" s="25"/>
      <c r="CA575" s="25"/>
      <c r="CB575" s="25"/>
    </row>
    <row r="576" spans="1:80" ht="13.5" hidden="1" customHeight="1">
      <c r="A576" s="10">
        <f ca="1">IFERROR(__xludf.DUMMYFUNCTION("""COMPUTED_VALUE"""),2010)</f>
        <v>2010</v>
      </c>
      <c r="B576" s="50">
        <f ca="1">IFERROR(__xludf.DUMMYFUNCTION("""COMPUTED_VALUE"""),40773)</f>
        <v>40773</v>
      </c>
      <c r="C576" s="41"/>
      <c r="D576" s="42" t="str">
        <f ca="1">IFERROR(__xludf.DUMMYFUNCTION("""COMPUTED_VALUE"""),"Long-tailed Skua")</f>
        <v>Long-tailed Skua</v>
      </c>
      <c r="E576" s="53">
        <f ca="1">IFERROR(__xludf.DUMMYFUNCTION("""COMPUTED_VALUE"""),1)</f>
        <v>1</v>
      </c>
      <c r="F576" s="15"/>
      <c r="G576" s="44" t="str">
        <f ca="1">IFERROR(__xludf.DUMMYFUNCTION("""COMPUTED_VALUE"""),"Hilbre")</f>
        <v>Hilbre</v>
      </c>
      <c r="H576" s="12">
        <f ca="1">IFERROR(__xludf.DUMMYFUNCTION("""COMPUTED_VALUE"""),40419)</f>
        <v>40419</v>
      </c>
      <c r="I576" s="12">
        <f ca="1">IFERROR(__xludf.DUMMYFUNCTION("""COMPUTED_VALUE"""),40419)</f>
        <v>40419</v>
      </c>
      <c r="J576" s="14" t="str">
        <f ca="1">IFERROR(__xludf.DUMMYFUNCTION("""COMPUTED_VALUE"""),"P Woollen")</f>
        <v>P Woollen</v>
      </c>
      <c r="K576" s="15"/>
      <c r="L576" s="17" t="str">
        <f ca="1">IFERROR(__xludf.DUMMYFUNCTION("""COMPUTED_VALUE"""),"closed")</f>
        <v>closed</v>
      </c>
      <c r="M576" s="17" t="str">
        <f ca="1">IFERROR(__xludf.DUMMYFUNCTION("""COMPUTED_VALUE"""),"proxy")</f>
        <v>proxy</v>
      </c>
      <c r="N576" s="15" t="str">
        <f ca="1">IFERROR(__xludf.DUMMYFUNCTION("""COMPUTED_VALUE"""),"accepted")</f>
        <v>accepted</v>
      </c>
      <c r="O576" s="18" t="str">
        <f ca="1">IFERROR(__xludf.DUMMYFUNCTION("""COMPUTED_VALUE"""),"Juvenile. Submitted &amp; accepted by raritie committee on behalf HBO")</f>
        <v>Juvenile. Submitted &amp; accepted by raritie committee on behalf HBO</v>
      </c>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row>
    <row r="577" spans="1:80" ht="13.5" hidden="1" customHeight="1">
      <c r="A577" s="20">
        <f ca="1">IFERROR(__xludf.DUMMYFUNCTION("""COMPUTED_VALUE"""),2010)</f>
        <v>2010</v>
      </c>
      <c r="B577" s="45">
        <f ca="1">IFERROR(__xludf.DUMMYFUNCTION("""COMPUTED_VALUE"""),40584)</f>
        <v>40584</v>
      </c>
      <c r="C577" s="46">
        <f ca="1">IFERROR(__xludf.DUMMYFUNCTION("""COMPUTED_VALUE"""),40588)</f>
        <v>40588</v>
      </c>
      <c r="D577" s="47" t="str">
        <f ca="1">IFERROR(__xludf.DUMMYFUNCTION("""COMPUTED_VALUE"""),"Black-throated Diver")</f>
        <v>Black-throated Diver</v>
      </c>
      <c r="E577" s="52">
        <f ca="1">IFERROR(__xludf.DUMMYFUNCTION("""COMPUTED_VALUE"""),1)</f>
        <v>1</v>
      </c>
      <c r="F577" s="25"/>
      <c r="G577" s="48" t="str">
        <f ca="1">IFERROR(__xludf.DUMMYFUNCTION("""COMPUTED_VALUE"""),"Hilbre")</f>
        <v>Hilbre</v>
      </c>
      <c r="H577" s="22">
        <f ca="1">IFERROR(__xludf.DUMMYFUNCTION("""COMPUTED_VALUE"""),40475)</f>
        <v>40475</v>
      </c>
      <c r="I577" s="22">
        <f ca="1">IFERROR(__xludf.DUMMYFUNCTION("""COMPUTED_VALUE"""),40475)</f>
        <v>40475</v>
      </c>
      <c r="J577" s="24" t="str">
        <f ca="1">IFERROR(__xludf.DUMMYFUNCTION("""COMPUTED_VALUE"""),"HIBO")</f>
        <v>HIBO</v>
      </c>
      <c r="K577" s="25" t="str">
        <f ca="1">IFERROR(__xludf.DUMMYFUNCTION("""COMPUTED_VALUE"""),"Woollen, P")</f>
        <v>Woollen, P</v>
      </c>
      <c r="L577" s="27" t="str">
        <f ca="1">IFERROR(__xludf.DUMMYFUNCTION("""COMPUTED_VALUE"""),"closed")</f>
        <v>closed</v>
      </c>
      <c r="M577" s="27" t="str">
        <f ca="1">IFERROR(__xludf.DUMMYFUNCTION("""COMPUTED_VALUE"""),"1st U")</f>
        <v>1st U</v>
      </c>
      <c r="N577" s="25" t="str">
        <f ca="1">IFERROR(__xludf.DUMMYFUNCTION("""COMPUTED_VALUE"""),"accepted")</f>
        <v>accepted</v>
      </c>
      <c r="O577" s="28"/>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c r="AQ577" s="25"/>
      <c r="AR577" s="25"/>
      <c r="AS577" s="25"/>
      <c r="AT577" s="25"/>
      <c r="AU577" s="25"/>
      <c r="AV577" s="25"/>
      <c r="AW577" s="25"/>
      <c r="AX577" s="25"/>
      <c r="AY577" s="25"/>
      <c r="AZ577" s="25"/>
      <c r="BA577" s="25"/>
      <c r="BB577" s="25"/>
      <c r="BC577" s="25"/>
      <c r="BD577" s="25"/>
      <c r="BE577" s="25"/>
      <c r="BF577" s="25"/>
      <c r="BG577" s="25"/>
      <c r="BH577" s="25"/>
      <c r="BI577" s="25"/>
      <c r="BJ577" s="25"/>
      <c r="BK577" s="25"/>
      <c r="BL577" s="25"/>
      <c r="BM577" s="25"/>
      <c r="BN577" s="25"/>
      <c r="BO577" s="25"/>
      <c r="BP577" s="25"/>
      <c r="BQ577" s="25"/>
      <c r="BR577" s="25"/>
      <c r="BS577" s="25"/>
      <c r="BT577" s="25"/>
      <c r="BU577" s="25"/>
      <c r="BV577" s="25"/>
      <c r="BW577" s="25"/>
      <c r="BX577" s="25"/>
      <c r="BY577" s="25"/>
      <c r="BZ577" s="25"/>
      <c r="CA577" s="25"/>
      <c r="CB577" s="25"/>
    </row>
    <row r="578" spans="1:80" ht="13.5" hidden="1" customHeight="1">
      <c r="A578" s="10">
        <f ca="1">IFERROR(__xludf.DUMMYFUNCTION("""COMPUTED_VALUE"""),2010)</f>
        <v>2010</v>
      </c>
      <c r="B578" s="50">
        <f ca="1">IFERROR(__xludf.DUMMYFUNCTION("""COMPUTED_VALUE"""),40599)</f>
        <v>40599</v>
      </c>
      <c r="C578" s="41">
        <f ca="1">IFERROR(__xludf.DUMMYFUNCTION("""COMPUTED_VALUE"""),40592)</f>
        <v>40592</v>
      </c>
      <c r="D578" s="42" t="str">
        <f ca="1">IFERROR(__xludf.DUMMYFUNCTION("""COMPUTED_VALUE"""),"Great Northern Diver")</f>
        <v>Great Northern Diver</v>
      </c>
      <c r="E578" s="53">
        <f ca="1">IFERROR(__xludf.DUMMYFUNCTION("""COMPUTED_VALUE"""),1)</f>
        <v>1</v>
      </c>
      <c r="F578" s="15"/>
      <c r="G578" s="44" t="str">
        <f ca="1">IFERROR(__xludf.DUMMYFUNCTION("""COMPUTED_VALUE"""),"Astbury Mere")</f>
        <v>Astbury Mere</v>
      </c>
      <c r="H578" s="12">
        <f ca="1">IFERROR(__xludf.DUMMYFUNCTION("""COMPUTED_VALUE"""),40494)</f>
        <v>40494</v>
      </c>
      <c r="I578" s="12">
        <f ca="1">IFERROR(__xludf.DUMMYFUNCTION("""COMPUTED_VALUE"""),40511)</f>
        <v>40511</v>
      </c>
      <c r="J578" s="14" t="str">
        <f ca="1">IFERROR(__xludf.DUMMYFUNCTION("""COMPUTED_VALUE"""),"Lythgoe, C")</f>
        <v>Lythgoe, C</v>
      </c>
      <c r="K578" s="15" t="str">
        <f ca="1">IFERROR(__xludf.DUMMYFUNCTION("""COMPUTED_VALUE"""),"Andy Goodwin")</f>
        <v>Andy Goodwin</v>
      </c>
      <c r="L578" s="17" t="str">
        <f ca="1">IFERROR(__xludf.DUMMYFUNCTION("""COMPUTED_VALUE"""),"closed")</f>
        <v>closed</v>
      </c>
      <c r="M578" s="17"/>
      <c r="N578" s="15" t="str">
        <f ca="1">IFERROR(__xludf.DUMMYFUNCTION("""COMPUTED_VALUE"""),"accepted")</f>
        <v>accepted</v>
      </c>
      <c r="O578" s="18" t="str">
        <f ca="1">IFERROR(__xludf.DUMMYFUNCTION("""COMPUTED_VALUE"""),"Many photos online")</f>
        <v>Many photos online</v>
      </c>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row>
    <row r="579" spans="1:80" ht="13.5" hidden="1" customHeight="1">
      <c r="A579" s="20">
        <f ca="1">IFERROR(__xludf.DUMMYFUNCTION("""COMPUTED_VALUE"""),2010)</f>
        <v>2010</v>
      </c>
      <c r="B579" s="45">
        <f ca="1">IFERROR(__xludf.DUMMYFUNCTION("""COMPUTED_VALUE"""),40627)</f>
        <v>40627</v>
      </c>
      <c r="C579" s="46">
        <f ca="1">IFERROR(__xludf.DUMMYFUNCTION("""COMPUTED_VALUE"""),40610)</f>
        <v>40610</v>
      </c>
      <c r="D579" s="47" t="str">
        <f ca="1">IFERROR(__xludf.DUMMYFUNCTION("""COMPUTED_VALUE"""),"Great Northern Diver")</f>
        <v>Great Northern Diver</v>
      </c>
      <c r="E579" s="52">
        <f ca="1">IFERROR(__xludf.DUMMYFUNCTION("""COMPUTED_VALUE"""),1)</f>
        <v>1</v>
      </c>
      <c r="F579" s="25" t="str">
        <f ca="1">IFERROR(__xludf.DUMMYFUNCTION("""COMPUTED_VALUE"""),"juv")</f>
        <v>juv</v>
      </c>
      <c r="G579" s="48" t="str">
        <f ca="1">IFERROR(__xludf.DUMMYFUNCTION("""COMPUTED_VALUE"""),"Hoylake")</f>
        <v>Hoylake</v>
      </c>
      <c r="H579" s="22">
        <f ca="1">IFERROR(__xludf.DUMMYFUNCTION("""COMPUTED_VALUE"""),40519)</f>
        <v>40519</v>
      </c>
      <c r="I579" s="23"/>
      <c r="J579" s="24" t="str">
        <f ca="1">IFERROR(__xludf.DUMMYFUNCTION("""COMPUTED_VALUE"""),"Turner, JE")</f>
        <v>Turner, JE</v>
      </c>
      <c r="K579" s="25" t="str">
        <f ca="1">IFERROR(__xludf.DUMMYFUNCTION("""COMPUTED_VALUE"""),"Turner, JE")</f>
        <v>Turner, JE</v>
      </c>
      <c r="L579" s="27" t="str">
        <f ca="1">IFERROR(__xludf.DUMMYFUNCTION("""COMPUTED_VALUE"""),"closed")</f>
        <v>closed</v>
      </c>
      <c r="M579" s="27" t="str">
        <f ca="1">IFERROR(__xludf.DUMMYFUNCTION("""COMPUTED_VALUE"""),"1st U")</f>
        <v>1st U</v>
      </c>
      <c r="N579" s="25" t="str">
        <f ca="1">IFERROR(__xludf.DUMMYFUNCTION("""COMPUTED_VALUE"""),"accepted")</f>
        <v>accepted</v>
      </c>
      <c r="O579" s="28"/>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c r="AQ579" s="25"/>
      <c r="AR579" s="25"/>
      <c r="AS579" s="25"/>
      <c r="AT579" s="25"/>
      <c r="AU579" s="25"/>
      <c r="AV579" s="25"/>
      <c r="AW579" s="25"/>
      <c r="AX579" s="25"/>
      <c r="AY579" s="25"/>
      <c r="AZ579" s="25"/>
      <c r="BA579" s="25"/>
      <c r="BB579" s="25"/>
      <c r="BC579" s="25"/>
      <c r="BD579" s="25"/>
      <c r="BE579" s="25"/>
      <c r="BF579" s="25"/>
      <c r="BG579" s="25"/>
      <c r="BH579" s="25"/>
      <c r="BI579" s="25"/>
      <c r="BJ579" s="25"/>
      <c r="BK579" s="25"/>
      <c r="BL579" s="25"/>
      <c r="BM579" s="25"/>
      <c r="BN579" s="25"/>
      <c r="BO579" s="25"/>
      <c r="BP579" s="25"/>
      <c r="BQ579" s="25"/>
      <c r="BR579" s="25"/>
      <c r="BS579" s="25"/>
      <c r="BT579" s="25"/>
      <c r="BU579" s="25"/>
      <c r="BV579" s="25"/>
      <c r="BW579" s="25"/>
      <c r="BX579" s="25"/>
      <c r="BY579" s="25"/>
      <c r="BZ579" s="25"/>
      <c r="CA579" s="25"/>
      <c r="CB579" s="25"/>
    </row>
    <row r="580" spans="1:80" ht="13.5" hidden="1" customHeight="1">
      <c r="A580" s="10">
        <f ca="1">IFERROR(__xludf.DUMMYFUNCTION("""COMPUTED_VALUE"""),2010)</f>
        <v>2010</v>
      </c>
      <c r="B580" s="50">
        <f ca="1">IFERROR(__xludf.DUMMYFUNCTION("""COMPUTED_VALUE"""),40773)</f>
        <v>40773</v>
      </c>
      <c r="C580" s="41">
        <f ca="1">IFERROR(__xludf.DUMMYFUNCTION("""COMPUTED_VALUE"""),40773)</f>
        <v>40773</v>
      </c>
      <c r="D580" s="42" t="str">
        <f ca="1">IFERROR(__xludf.DUMMYFUNCTION("""COMPUTED_VALUE"""),"Great Northern Diver")</f>
        <v>Great Northern Diver</v>
      </c>
      <c r="E580" s="53">
        <f ca="1">IFERROR(__xludf.DUMMYFUNCTION("""COMPUTED_VALUE"""),1)</f>
        <v>1</v>
      </c>
      <c r="F580" s="15"/>
      <c r="G580" s="44" t="str">
        <f ca="1">IFERROR(__xludf.DUMMYFUNCTION("""COMPUTED_VALUE"""),"Marbury (South)")</f>
        <v>Marbury (South)</v>
      </c>
      <c r="H580" s="12">
        <f ca="1">IFERROR(__xludf.DUMMYFUNCTION("""COMPUTED_VALUE"""),40497)</f>
        <v>40497</v>
      </c>
      <c r="I580" s="12">
        <f ca="1">IFERROR(__xludf.DUMMYFUNCTION("""COMPUTED_VALUE"""),40504)</f>
        <v>40504</v>
      </c>
      <c r="J580" s="14" t="str">
        <f ca="1">IFERROR(__xludf.DUMMYFUNCTION("""COMPUTED_VALUE"""),"Anderson, R")</f>
        <v>Anderson, R</v>
      </c>
      <c r="K580" s="15" t="str">
        <f ca="1">IFERROR(__xludf.DUMMYFUNCTION("""COMPUTED_VALUE"""),"Jane Birch")</f>
        <v>Jane Birch</v>
      </c>
      <c r="L580" s="17" t="str">
        <f ca="1">IFERROR(__xludf.DUMMYFUNCTION("""COMPUTED_VALUE"""),"closed")</f>
        <v>closed</v>
      </c>
      <c r="M580" s="17"/>
      <c r="N580" s="15" t="str">
        <f ca="1">IFERROR(__xludf.DUMMYFUNCTION("""COMPUTED_VALUE"""),"accepted")</f>
        <v>accepted</v>
      </c>
      <c r="O580" s="18" t="str">
        <f ca="1">IFERROR(__xludf.DUMMYFUNCTION("""COMPUTED_VALUE"""),"different bird to that at Astbury")</f>
        <v>different bird to that at Astbury</v>
      </c>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row>
    <row r="581" spans="1:80" ht="13.5" hidden="1" customHeight="1">
      <c r="A581" s="20">
        <f ca="1">IFERROR(__xludf.DUMMYFUNCTION("""COMPUTED_VALUE"""),2010)</f>
        <v>2010</v>
      </c>
      <c r="B581" s="45">
        <f ca="1">IFERROR(__xludf.DUMMYFUNCTION("""COMPUTED_VALUE"""),40613)</f>
        <v>40613</v>
      </c>
      <c r="C581" s="46">
        <f ca="1">IFERROR(__xludf.DUMMYFUNCTION("""COMPUTED_VALUE"""),40599)</f>
        <v>40599</v>
      </c>
      <c r="D581" s="47" t="str">
        <f ca="1">IFERROR(__xludf.DUMMYFUNCTION("""COMPUTED_VALUE"""),"Sooty Shearwater")</f>
        <v>Sooty Shearwater</v>
      </c>
      <c r="E581" s="52">
        <f ca="1">IFERROR(__xludf.DUMMYFUNCTION("""COMPUTED_VALUE"""),1)</f>
        <v>1</v>
      </c>
      <c r="F581" s="25"/>
      <c r="G581" s="48" t="str">
        <f ca="1">IFERROR(__xludf.DUMMYFUNCTION("""COMPUTED_VALUE"""),"Hoylake")</f>
        <v>Hoylake</v>
      </c>
      <c r="H581" s="22">
        <f ca="1">IFERROR(__xludf.DUMMYFUNCTION("""COMPUTED_VALUE"""),40435)</f>
        <v>40435</v>
      </c>
      <c r="I581" s="22">
        <f ca="1">IFERROR(__xludf.DUMMYFUNCTION("""COMPUTED_VALUE"""),40436)</f>
        <v>40436</v>
      </c>
      <c r="J581" s="24" t="str">
        <f ca="1">IFERROR(__xludf.DUMMYFUNCTION("""COMPUTED_VALUE"""),"Turner, JE")</f>
        <v>Turner, JE</v>
      </c>
      <c r="K581" s="25" t="str">
        <f ca="1">IFERROR(__xludf.DUMMYFUNCTION("""COMPUTED_VALUE"""),"Turner, JE")</f>
        <v>Turner, JE</v>
      </c>
      <c r="L581" s="27" t="str">
        <f ca="1">IFERROR(__xludf.DUMMYFUNCTION("""COMPUTED_VALUE"""),"closed")</f>
        <v>closed</v>
      </c>
      <c r="M581" s="27"/>
      <c r="N581" s="25" t="str">
        <f ca="1">IFERROR(__xludf.DUMMYFUNCTION("""COMPUTED_VALUE"""),"accepted")</f>
        <v>accepted</v>
      </c>
      <c r="O581" s="28" t="str">
        <f ca="1">IFERROR(__xludf.DUMMYFUNCTION("""COMPUTED_VALUE"""),"publish as birds seen on both dates - likely to be two, though some tubenoses were circling Liverpool bay")</f>
        <v>publish as birds seen on both dates - likely to be two, though some tubenoses were circling Liverpool bay</v>
      </c>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5"/>
      <c r="BE581" s="25"/>
      <c r="BF581" s="25"/>
      <c r="BG581" s="25"/>
      <c r="BH581" s="25"/>
      <c r="BI581" s="25"/>
      <c r="BJ581" s="25"/>
      <c r="BK581" s="25"/>
      <c r="BL581" s="25"/>
      <c r="BM581" s="25"/>
      <c r="BN581" s="25"/>
      <c r="BO581" s="25"/>
      <c r="BP581" s="25"/>
      <c r="BQ581" s="25"/>
      <c r="BR581" s="25"/>
      <c r="BS581" s="25"/>
      <c r="BT581" s="25"/>
      <c r="BU581" s="25"/>
      <c r="BV581" s="25"/>
      <c r="BW581" s="25"/>
      <c r="BX581" s="25"/>
      <c r="BY581" s="25"/>
      <c r="BZ581" s="25"/>
      <c r="CA581" s="25"/>
      <c r="CB581" s="25"/>
    </row>
    <row r="582" spans="1:80" ht="13.5" hidden="1" customHeight="1">
      <c r="A582" s="10">
        <f ca="1">IFERROR(__xludf.DUMMYFUNCTION("""COMPUTED_VALUE"""),2010)</f>
        <v>2010</v>
      </c>
      <c r="B582" s="50">
        <f ca="1">IFERROR(__xludf.DUMMYFUNCTION("""COMPUTED_VALUE"""),40774)</f>
        <v>40774</v>
      </c>
      <c r="C582" s="41">
        <f ca="1">IFERROR(__xludf.DUMMYFUNCTION("""COMPUTED_VALUE"""),40774)</f>
        <v>40774</v>
      </c>
      <c r="D582" s="42" t="str">
        <f ca="1">IFERROR(__xludf.DUMMYFUNCTION("""COMPUTED_VALUE"""),"Sooty Shearwater")</f>
        <v>Sooty Shearwater</v>
      </c>
      <c r="E582" s="53">
        <f ca="1">IFERROR(__xludf.DUMMYFUNCTION("""COMPUTED_VALUE"""),1)</f>
        <v>1</v>
      </c>
      <c r="F582" s="15"/>
      <c r="G582" s="44" t="str">
        <f ca="1">IFERROR(__xludf.DUMMYFUNCTION("""COMPUTED_VALUE"""),"Leasowe")</f>
        <v>Leasowe</v>
      </c>
      <c r="H582" s="12">
        <f ca="1">IFERROR(__xludf.DUMMYFUNCTION("""COMPUTED_VALUE"""),40436)</f>
        <v>40436</v>
      </c>
      <c r="I582" s="12">
        <f ca="1">IFERROR(__xludf.DUMMYFUNCTION("""COMPUTED_VALUE"""),40436)</f>
        <v>40436</v>
      </c>
      <c r="J582" s="14" t="str">
        <f ca="1">IFERROR(__xludf.DUMMYFUNCTION("""COMPUTED_VALUE"""),"Woollen, P")</f>
        <v>Woollen, P</v>
      </c>
      <c r="K582" s="15"/>
      <c r="L582" s="17" t="str">
        <f ca="1">IFERROR(__xludf.DUMMYFUNCTION("""COMPUTED_VALUE"""),"closed")</f>
        <v>closed</v>
      </c>
      <c r="M582" s="17" t="str">
        <f ca="1">IFERROR(__xludf.DUMMYFUNCTION("""COMPUTED_VALUE"""),"1st U")</f>
        <v>1st U</v>
      </c>
      <c r="N582" s="15" t="str">
        <f ca="1">IFERROR(__xludf.DUMMYFUNCTION("""COMPUTED_VALUE"""),"accepted")</f>
        <v>accepted</v>
      </c>
      <c r="O582" s="18"/>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row>
    <row r="583" spans="1:80" ht="13.5" hidden="1" customHeight="1">
      <c r="A583" s="20">
        <f ca="1">IFERROR(__xludf.DUMMYFUNCTION("""COMPUTED_VALUE"""),2010)</f>
        <v>2010</v>
      </c>
      <c r="B583" s="45">
        <f ca="1">IFERROR(__xludf.DUMMYFUNCTION("""COMPUTED_VALUE"""),44575)</f>
        <v>44575</v>
      </c>
      <c r="C583" s="46"/>
      <c r="D583" s="47" t="str">
        <f ca="1">IFERROR(__xludf.DUMMYFUNCTION("""COMPUTED_VALUE"""),"Macaronesian Shearwater")</f>
        <v>Macaronesian Shearwater</v>
      </c>
      <c r="E583" s="52"/>
      <c r="F583" s="25"/>
      <c r="G583" s="48" t="str">
        <f ca="1">IFERROR(__xludf.DUMMYFUNCTION("""COMPUTED_VALUE"""),"Meols &amp; Hoylake")</f>
        <v>Meols &amp; Hoylake</v>
      </c>
      <c r="H583" s="22">
        <f ca="1">IFERROR(__xludf.DUMMYFUNCTION("""COMPUTED_VALUE"""),40465)</f>
        <v>40465</v>
      </c>
      <c r="I583" s="23"/>
      <c r="J583" s="24"/>
      <c r="K583" s="25"/>
      <c r="L583" s="27" t="str">
        <f ca="1">IFERROR(__xludf.DUMMYFUNCTION("""COMPUTED_VALUE"""),"open")</f>
        <v>open</v>
      </c>
      <c r="M583" s="27"/>
      <c r="N583" s="25" t="str">
        <f ca="1">IFERROR(__xludf.DUMMYFUNCTION("""COMPUTED_VALUE"""),"BBRC-IC")</f>
        <v>BBRC-IC</v>
      </c>
      <c r="O583" s="28"/>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c r="AQ583" s="25"/>
      <c r="AR583" s="25"/>
      <c r="AS583" s="25"/>
      <c r="AT583" s="25"/>
      <c r="AU583" s="25"/>
      <c r="AV583" s="25"/>
      <c r="AW583" s="25"/>
      <c r="AX583" s="25"/>
      <c r="AY583" s="25"/>
      <c r="AZ583" s="25"/>
      <c r="BA583" s="25"/>
      <c r="BB583" s="25"/>
      <c r="BC583" s="25"/>
      <c r="BD583" s="25"/>
      <c r="BE583" s="25"/>
      <c r="BF583" s="25"/>
      <c r="BG583" s="25"/>
      <c r="BH583" s="25"/>
      <c r="BI583" s="25"/>
      <c r="BJ583" s="25"/>
      <c r="BK583" s="25"/>
      <c r="BL583" s="25"/>
      <c r="BM583" s="25"/>
      <c r="BN583" s="25"/>
      <c r="BO583" s="25"/>
      <c r="BP583" s="25"/>
      <c r="BQ583" s="25"/>
      <c r="BR583" s="25"/>
      <c r="BS583" s="25"/>
      <c r="BT583" s="25"/>
      <c r="BU583" s="25"/>
      <c r="BV583" s="25"/>
      <c r="BW583" s="25"/>
      <c r="BX583" s="25"/>
      <c r="BY583" s="25"/>
      <c r="BZ583" s="25"/>
      <c r="CA583" s="25"/>
      <c r="CB583" s="25"/>
    </row>
    <row r="584" spans="1:80" ht="13.5" hidden="1" customHeight="1">
      <c r="A584" s="10">
        <f ca="1">IFERROR(__xludf.DUMMYFUNCTION("""COMPUTED_VALUE"""),2010)</f>
        <v>2010</v>
      </c>
      <c r="B584" s="50">
        <f ca="1">IFERROR(__xludf.DUMMYFUNCTION("""COMPUTED_VALUE"""),40239)</f>
        <v>40239</v>
      </c>
      <c r="C584" s="41">
        <f ca="1">IFERROR(__xludf.DUMMYFUNCTION("""COMPUTED_VALUE"""),40205)</f>
        <v>40205</v>
      </c>
      <c r="D584" s="42" t="str">
        <f ca="1">IFERROR(__xludf.DUMMYFUNCTION("""COMPUTED_VALUE"""),"Great White Egret")</f>
        <v>Great White Egret</v>
      </c>
      <c r="E584" s="53">
        <f ca="1">IFERROR(__xludf.DUMMYFUNCTION("""COMPUTED_VALUE"""),1)</f>
        <v>1</v>
      </c>
      <c r="F584" s="15"/>
      <c r="G584" s="44" t="str">
        <f ca="1">IFERROR(__xludf.DUMMYFUNCTION("""COMPUTED_VALUE"""),"Holmes Chapel, Croco Park")</f>
        <v>Holmes Chapel, Croco Park</v>
      </c>
      <c r="H584" s="12">
        <f ca="1">IFERROR(__xludf.DUMMYFUNCTION("""COMPUTED_VALUE"""),40180)</f>
        <v>40180</v>
      </c>
      <c r="I584" s="12">
        <f ca="1">IFERROR(__xludf.DUMMYFUNCTION("""COMPUTED_VALUE"""),40193)</f>
        <v>40193</v>
      </c>
      <c r="J584" s="14" t="str">
        <f ca="1">IFERROR(__xludf.DUMMYFUNCTION("""COMPUTED_VALUE"""),"Spottiswood, J")</f>
        <v>Spottiswood, J</v>
      </c>
      <c r="K584" s="15" t="str">
        <f ca="1">IFERROR(__xludf.DUMMYFUNCTION("""COMPUTED_VALUE"""),"Spottiswood, J")</f>
        <v>Spottiswood, J</v>
      </c>
      <c r="L584" s="17" t="str">
        <f ca="1">IFERROR(__xludf.DUMMYFUNCTION("""COMPUTED_VALUE"""),"closed")</f>
        <v>closed</v>
      </c>
      <c r="M584" s="17" t="str">
        <f ca="1">IFERROR(__xludf.DUMMYFUNCTION("""COMPUTED_VALUE"""),"1st U")</f>
        <v>1st U</v>
      </c>
      <c r="N584" s="15" t="str">
        <f ca="1">IFERROR(__xludf.DUMMYFUNCTION("""COMPUTED_VALUE"""),"accepted")</f>
        <v>accepted</v>
      </c>
      <c r="O584" s="18"/>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row>
    <row r="585" spans="1:80" ht="13.5" hidden="1" customHeight="1">
      <c r="A585" s="20">
        <f ca="1">IFERROR(__xludf.DUMMYFUNCTION("""COMPUTED_VALUE"""),2010)</f>
        <v>2010</v>
      </c>
      <c r="B585" s="45">
        <f ca="1">IFERROR(__xludf.DUMMYFUNCTION("""COMPUTED_VALUE"""),40239)</f>
        <v>40239</v>
      </c>
      <c r="C585" s="46">
        <f ca="1">IFERROR(__xludf.DUMMYFUNCTION("""COMPUTED_VALUE"""),40205)</f>
        <v>40205</v>
      </c>
      <c r="D585" s="47" t="str">
        <f ca="1">IFERROR(__xludf.DUMMYFUNCTION("""COMPUTED_VALUE"""),"Great White Egret")</f>
        <v>Great White Egret</v>
      </c>
      <c r="E585" s="52">
        <f ca="1">IFERROR(__xludf.DUMMYFUNCTION("""COMPUTED_VALUE"""),1)</f>
        <v>1</v>
      </c>
      <c r="F585" s="25"/>
      <c r="G585" s="48" t="str">
        <f ca="1">IFERROR(__xludf.DUMMYFUNCTION("""COMPUTED_VALUE"""),"Poynton Pool")</f>
        <v>Poynton Pool</v>
      </c>
      <c r="H585" s="22">
        <f ca="1">IFERROR(__xludf.DUMMYFUNCTION("""COMPUTED_VALUE"""),40193)</f>
        <v>40193</v>
      </c>
      <c r="I585" s="23"/>
      <c r="J585" s="24" t="str">
        <f ca="1">IFERROR(__xludf.DUMMYFUNCTION("""COMPUTED_VALUE"""),"Lightfoot, G")</f>
        <v>Lightfoot, G</v>
      </c>
      <c r="K585" s="25" t="str">
        <f ca="1">IFERROR(__xludf.DUMMYFUNCTION("""COMPUTED_VALUE"""),"Lightfoot, G")</f>
        <v>Lightfoot, G</v>
      </c>
      <c r="L585" s="27" t="str">
        <f ca="1">IFERROR(__xludf.DUMMYFUNCTION("""COMPUTED_VALUE"""),"closed")</f>
        <v>closed</v>
      </c>
      <c r="M585" s="27" t="str">
        <f ca="1">IFERROR(__xludf.DUMMYFUNCTION("""COMPUTED_VALUE"""),"1st U")</f>
        <v>1st U</v>
      </c>
      <c r="N585" s="25" t="str">
        <f ca="1">IFERROR(__xludf.DUMMYFUNCTION("""COMPUTED_VALUE"""),"accepted")</f>
        <v>accepted</v>
      </c>
      <c r="O585" s="28"/>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c r="AQ585" s="25"/>
      <c r="AR585" s="25"/>
      <c r="AS585" s="25"/>
      <c r="AT585" s="25"/>
      <c r="AU585" s="25"/>
      <c r="AV585" s="25"/>
      <c r="AW585" s="25"/>
      <c r="AX585" s="25"/>
      <c r="AY585" s="25"/>
      <c r="AZ585" s="25"/>
      <c r="BA585" s="25"/>
      <c r="BB585" s="25"/>
      <c r="BC585" s="25"/>
      <c r="BD585" s="25"/>
      <c r="BE585" s="25"/>
      <c r="BF585" s="25"/>
      <c r="BG585" s="25"/>
      <c r="BH585" s="25"/>
      <c r="BI585" s="25"/>
      <c r="BJ585" s="25"/>
      <c r="BK585" s="25"/>
      <c r="BL585" s="25"/>
      <c r="BM585" s="25"/>
      <c r="BN585" s="25"/>
      <c r="BO585" s="25"/>
      <c r="BP585" s="25"/>
      <c r="BQ585" s="25"/>
      <c r="BR585" s="25"/>
      <c r="BS585" s="25"/>
      <c r="BT585" s="25"/>
      <c r="BU585" s="25"/>
      <c r="BV585" s="25"/>
      <c r="BW585" s="25"/>
      <c r="BX585" s="25"/>
      <c r="BY585" s="25"/>
      <c r="BZ585" s="25"/>
      <c r="CA585" s="25"/>
      <c r="CB585" s="25"/>
    </row>
    <row r="586" spans="1:80" ht="13.5" hidden="1" customHeight="1">
      <c r="A586" s="10">
        <f ca="1">IFERROR(__xludf.DUMMYFUNCTION("""COMPUTED_VALUE"""),2010)</f>
        <v>2010</v>
      </c>
      <c r="B586" s="50">
        <f ca="1">IFERROR(__xludf.DUMMYFUNCTION("""COMPUTED_VALUE"""),40627)</f>
        <v>40627</v>
      </c>
      <c r="C586" s="41">
        <f ca="1">IFERROR(__xludf.DUMMYFUNCTION("""COMPUTED_VALUE"""),40604)</f>
        <v>40604</v>
      </c>
      <c r="D586" s="42" t="str">
        <f ca="1">IFERROR(__xludf.DUMMYFUNCTION("""COMPUTED_VALUE"""),"Great White Egret")</f>
        <v>Great White Egret</v>
      </c>
      <c r="E586" s="53">
        <f ca="1">IFERROR(__xludf.DUMMYFUNCTION("""COMPUTED_VALUE"""),1)</f>
        <v>1</v>
      </c>
      <c r="F586" s="15"/>
      <c r="G586" s="44" t="str">
        <f ca="1">IFERROR(__xludf.DUMMYFUNCTION("""COMPUTED_VALUE"""),"Meols SF")</f>
        <v>Meols SF</v>
      </c>
      <c r="H586" s="12">
        <f ca="1">IFERROR(__xludf.DUMMYFUNCTION("""COMPUTED_VALUE"""),40237)</f>
        <v>40237</v>
      </c>
      <c r="I586" s="13"/>
      <c r="J586" s="14" t="str">
        <f ca="1">IFERROR(__xludf.DUMMYFUNCTION("""COMPUTED_VALUE"""),"Turner, JE")</f>
        <v>Turner, JE</v>
      </c>
      <c r="K586" s="15" t="str">
        <f ca="1">IFERROR(__xludf.DUMMYFUNCTION("""COMPUTED_VALUE"""),"Turner, JE")</f>
        <v>Turner, JE</v>
      </c>
      <c r="L586" s="17" t="str">
        <f ca="1">IFERROR(__xludf.DUMMYFUNCTION("""COMPUTED_VALUE"""),"closed")</f>
        <v>closed</v>
      </c>
      <c r="M586" s="17" t="str">
        <f ca="1">IFERROR(__xludf.DUMMYFUNCTION("""COMPUTED_VALUE"""),"1st U")</f>
        <v>1st U</v>
      </c>
      <c r="N586" s="15" t="str">
        <f ca="1">IFERROR(__xludf.DUMMYFUNCTION("""COMPUTED_VALUE"""),"accepted")</f>
        <v>accepted</v>
      </c>
      <c r="O586" s="18"/>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row>
    <row r="587" spans="1:80" ht="13.5" hidden="1" customHeight="1">
      <c r="A587" s="20">
        <f ca="1">IFERROR(__xludf.DUMMYFUNCTION("""COMPUTED_VALUE"""),2010)</f>
        <v>2010</v>
      </c>
      <c r="B587" s="45">
        <f ca="1">IFERROR(__xludf.DUMMYFUNCTION("""COMPUTED_VALUE"""),40736)</f>
        <v>40736</v>
      </c>
      <c r="C587" s="46">
        <f ca="1">IFERROR(__xludf.DUMMYFUNCTION("""COMPUTED_VALUE"""),40608)</f>
        <v>40608</v>
      </c>
      <c r="D587" s="47" t="str">
        <f ca="1">IFERROR(__xludf.DUMMYFUNCTION("""COMPUTED_VALUE"""),"Honey-Buzzard")</f>
        <v>Honey-Buzzard</v>
      </c>
      <c r="E587" s="52">
        <f ca="1">IFERROR(__xludf.DUMMYFUNCTION("""COMPUTED_VALUE"""),1)</f>
        <v>1</v>
      </c>
      <c r="F587" s="25"/>
      <c r="G587" s="48" t="str">
        <f ca="1">IFERROR(__xludf.DUMMYFUNCTION("""COMPUTED_VALUE"""),"Merelake, Alsager")</f>
        <v>Merelake, Alsager</v>
      </c>
      <c r="H587" s="22">
        <f ca="1">IFERROR(__xludf.DUMMYFUNCTION("""COMPUTED_VALUE"""),40428)</f>
        <v>40428</v>
      </c>
      <c r="I587" s="23"/>
      <c r="J587" s="24" t="str">
        <f ca="1">IFERROR(__xludf.DUMMYFUNCTION("""COMPUTED_VALUE"""),"Ball, MJ")</f>
        <v>Ball, MJ</v>
      </c>
      <c r="K587" s="25" t="str">
        <f ca="1">IFERROR(__xludf.DUMMYFUNCTION("""COMPUTED_VALUE"""),"Ball, MJ")</f>
        <v>Ball, MJ</v>
      </c>
      <c r="L587" s="27" t="str">
        <f ca="1">IFERROR(__xludf.DUMMYFUNCTION("""COMPUTED_VALUE"""),"closed")</f>
        <v>closed</v>
      </c>
      <c r="M587" s="27" t="str">
        <f ca="1">IFERROR(__xludf.DUMMYFUNCTION("""COMPUTED_VALUE"""),"1st U")</f>
        <v>1st U</v>
      </c>
      <c r="N587" s="25" t="str">
        <f ca="1">IFERROR(__xludf.DUMMYFUNCTION("""COMPUTED_VALUE"""),"accepted")</f>
        <v>accepted</v>
      </c>
      <c r="O587" s="28"/>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c r="AQ587" s="25"/>
      <c r="AR587" s="25"/>
      <c r="AS587" s="25"/>
      <c r="AT587" s="25"/>
      <c r="AU587" s="25"/>
      <c r="AV587" s="25"/>
      <c r="AW587" s="25"/>
      <c r="AX587" s="25"/>
      <c r="AY587" s="25"/>
      <c r="AZ587" s="25"/>
      <c r="BA587" s="25"/>
      <c r="BB587" s="25"/>
      <c r="BC587" s="25"/>
      <c r="BD587" s="25"/>
      <c r="BE587" s="25"/>
      <c r="BF587" s="25"/>
      <c r="BG587" s="25"/>
      <c r="BH587" s="25"/>
      <c r="BI587" s="25"/>
      <c r="BJ587" s="25"/>
      <c r="BK587" s="25"/>
      <c r="BL587" s="25"/>
      <c r="BM587" s="25"/>
      <c r="BN587" s="25"/>
      <c r="BO587" s="25"/>
      <c r="BP587" s="25"/>
      <c r="BQ587" s="25"/>
      <c r="BR587" s="25"/>
      <c r="BS587" s="25"/>
      <c r="BT587" s="25"/>
      <c r="BU587" s="25"/>
      <c r="BV587" s="25"/>
      <c r="BW587" s="25"/>
      <c r="BX587" s="25"/>
      <c r="BY587" s="25"/>
      <c r="BZ587" s="25"/>
      <c r="CA587" s="25"/>
      <c r="CB587" s="25"/>
    </row>
    <row r="588" spans="1:80" ht="13.5" hidden="1" customHeight="1">
      <c r="A588" s="10">
        <f ca="1">IFERROR(__xludf.DUMMYFUNCTION("""COMPUTED_VALUE"""),2010)</f>
        <v>2010</v>
      </c>
      <c r="B588" s="50">
        <f ca="1">IFERROR(__xludf.DUMMYFUNCTION("""COMPUTED_VALUE"""),40773)</f>
        <v>40773</v>
      </c>
      <c r="C588" s="41">
        <f ca="1">IFERROR(__xludf.DUMMYFUNCTION("""COMPUTED_VALUE"""),40773)</f>
        <v>40773</v>
      </c>
      <c r="D588" s="42" t="str">
        <f ca="1">IFERROR(__xludf.DUMMYFUNCTION("""COMPUTED_VALUE"""),"Honey-Buzzard")</f>
        <v>Honey-Buzzard</v>
      </c>
      <c r="E588" s="53">
        <f ca="1">IFERROR(__xludf.DUMMYFUNCTION("""COMPUTED_VALUE"""),1)</f>
        <v>1</v>
      </c>
      <c r="F588" s="15"/>
      <c r="G588" s="44" t="str">
        <f ca="1">IFERROR(__xludf.DUMMYFUNCTION("""COMPUTED_VALUE"""),"No. 4 Tank, Frodsham Marsh")</f>
        <v>No. 4 Tank, Frodsham Marsh</v>
      </c>
      <c r="H588" s="12">
        <f ca="1">IFERROR(__xludf.DUMMYFUNCTION("""COMPUTED_VALUE"""),40308)</f>
        <v>40308</v>
      </c>
      <c r="I588" s="13"/>
      <c r="J588" s="14" t="str">
        <f ca="1">IFERROR(__xludf.DUMMYFUNCTION("""COMPUTED_VALUE"""),"Miles, M")</f>
        <v>Miles, M</v>
      </c>
      <c r="K588" s="15" t="str">
        <f ca="1">IFERROR(__xludf.DUMMYFUNCTION("""COMPUTED_VALUE"""),"Miles, M")</f>
        <v>Miles, M</v>
      </c>
      <c r="L588" s="17" t="str">
        <f ca="1">IFERROR(__xludf.DUMMYFUNCTION("""COMPUTED_VALUE"""),"closed")</f>
        <v>closed</v>
      </c>
      <c r="M588" s="17" t="str">
        <f ca="1">IFERROR(__xludf.DUMMYFUNCTION("""COMPUTED_VALUE"""),"1st U")</f>
        <v>1st U</v>
      </c>
      <c r="N588" s="15" t="str">
        <f ca="1">IFERROR(__xludf.DUMMYFUNCTION("""COMPUTED_VALUE"""),"accepted")</f>
        <v>accepted</v>
      </c>
      <c r="O588" s="18" t="str">
        <f ca="1">IFERROR(__xludf.DUMMYFUNCTION("""COMPUTED_VALUE"""),"Flew north-west to south-east mobbed by 2 Carrion Crows")</f>
        <v>Flew north-west to south-east mobbed by 2 Carrion Crows</v>
      </c>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row>
    <row r="589" spans="1:80" ht="13.5" hidden="1" customHeight="1">
      <c r="A589" s="20">
        <f ca="1">IFERROR(__xludf.DUMMYFUNCTION("""COMPUTED_VALUE"""),2010)</f>
        <v>2010</v>
      </c>
      <c r="B589" s="45">
        <f ca="1">IFERROR(__xludf.DUMMYFUNCTION("""COMPUTED_VALUE"""),40587)</f>
        <v>40587</v>
      </c>
      <c r="C589" s="46">
        <f ca="1">IFERROR(__xludf.DUMMYFUNCTION("""COMPUTED_VALUE"""),40601)</f>
        <v>40601</v>
      </c>
      <c r="D589" s="47" t="str">
        <f ca="1">IFERROR(__xludf.DUMMYFUNCTION("""COMPUTED_VALUE"""),"Bee-eater")</f>
        <v>Bee-eater</v>
      </c>
      <c r="E589" s="52">
        <f ca="1">IFERROR(__xludf.DUMMYFUNCTION("""COMPUTED_VALUE"""),2)</f>
        <v>2</v>
      </c>
      <c r="F589" s="25"/>
      <c r="G589" s="48" t="str">
        <f ca="1">IFERROR(__xludf.DUMMYFUNCTION("""COMPUTED_VALUE"""),"Adlington Golf Centre")</f>
        <v>Adlington Golf Centre</v>
      </c>
      <c r="H589" s="22">
        <f ca="1">IFERROR(__xludf.DUMMYFUNCTION("""COMPUTED_VALUE"""),40388)</f>
        <v>40388</v>
      </c>
      <c r="I589" s="23"/>
      <c r="J589" s="24"/>
      <c r="K589" s="25"/>
      <c r="L589" s="27" t="str">
        <f ca="1">IFERROR(__xludf.DUMMYFUNCTION("""COMPUTED_VALUE"""),"closed")</f>
        <v>closed</v>
      </c>
      <c r="M589" s="27" t="str">
        <f ca="1">IFERROR(__xludf.DUMMYFUNCTION("""COMPUTED_VALUE"""),"3rd M")</f>
        <v>3rd M</v>
      </c>
      <c r="N589" s="25" t="str">
        <f ca="1">IFERROR(__xludf.DUMMYFUNCTION("""COMPUTED_VALUE"""),"unproven")</f>
        <v>unproven</v>
      </c>
      <c r="O589" s="28"/>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c r="AQ589" s="25"/>
      <c r="AR589" s="25"/>
      <c r="AS589" s="25"/>
      <c r="AT589" s="25"/>
      <c r="AU589" s="25"/>
      <c r="AV589" s="25"/>
      <c r="AW589" s="25"/>
      <c r="AX589" s="25"/>
      <c r="AY589" s="25"/>
      <c r="AZ589" s="25"/>
      <c r="BA589" s="25"/>
      <c r="BB589" s="25"/>
      <c r="BC589" s="25"/>
      <c r="BD589" s="25"/>
      <c r="BE589" s="25"/>
      <c r="BF589" s="25"/>
      <c r="BG589" s="25"/>
      <c r="BH589" s="25"/>
      <c r="BI589" s="25"/>
      <c r="BJ589" s="25"/>
      <c r="BK589" s="25"/>
      <c r="BL589" s="25"/>
      <c r="BM589" s="25"/>
      <c r="BN589" s="25"/>
      <c r="BO589" s="25"/>
      <c r="BP589" s="25"/>
      <c r="BQ589" s="25"/>
      <c r="BR589" s="25"/>
      <c r="BS589" s="25"/>
      <c r="BT589" s="25"/>
      <c r="BU589" s="25"/>
      <c r="BV589" s="25"/>
      <c r="BW589" s="25"/>
      <c r="BX589" s="25"/>
      <c r="BY589" s="25"/>
      <c r="BZ589" s="25"/>
      <c r="CA589" s="25"/>
      <c r="CB589" s="25"/>
    </row>
    <row r="590" spans="1:80" ht="13.5" hidden="1" customHeight="1">
      <c r="A590" s="10">
        <f ca="1">IFERROR(__xludf.DUMMYFUNCTION("""COMPUTED_VALUE"""),2010)</f>
        <v>2010</v>
      </c>
      <c r="B590" s="50">
        <f ca="1">IFERROR(__xludf.DUMMYFUNCTION("""COMPUTED_VALUE"""),40773)</f>
        <v>40773</v>
      </c>
      <c r="C590" s="41">
        <f ca="1">IFERROR(__xludf.DUMMYFUNCTION("""COMPUTED_VALUE"""),40773)</f>
        <v>40773</v>
      </c>
      <c r="D590" s="42" t="str">
        <f ca="1">IFERROR(__xludf.DUMMYFUNCTION("""COMPUTED_VALUE"""),"Red-backed Shrike")</f>
        <v>Red-backed Shrike</v>
      </c>
      <c r="E590" s="53">
        <f ca="1">IFERROR(__xludf.DUMMYFUNCTION("""COMPUTED_VALUE"""),1)</f>
        <v>1</v>
      </c>
      <c r="F590" s="15" t="str">
        <f ca="1">IFERROR(__xludf.DUMMYFUNCTION("""COMPUTED_VALUE"""),"juv")</f>
        <v>juv</v>
      </c>
      <c r="G590" s="44" t="str">
        <f ca="1">IFERROR(__xludf.DUMMYFUNCTION("""COMPUTED_VALUE"""),"Frodsham")</f>
        <v>Frodsham</v>
      </c>
      <c r="H590" s="12">
        <f ca="1">IFERROR(__xludf.DUMMYFUNCTION("""COMPUTED_VALUE"""),40430)</f>
        <v>40430</v>
      </c>
      <c r="I590" s="12">
        <f ca="1">IFERROR(__xludf.DUMMYFUNCTION("""COMPUTED_VALUE"""),40432)</f>
        <v>40432</v>
      </c>
      <c r="J590" s="14"/>
      <c r="K590" s="15" t="str">
        <f ca="1">IFERROR(__xludf.DUMMYFUNCTION("""COMPUTED_VALUE"""),"Finder not known")</f>
        <v>Finder not known</v>
      </c>
      <c r="L590" s="17" t="str">
        <f ca="1">IFERROR(__xludf.DUMMYFUNCTION("""COMPUTED_VALUE"""),"closed")</f>
        <v>closed</v>
      </c>
      <c r="M590" s="17" t="str">
        <f ca="1">IFERROR(__xludf.DUMMYFUNCTION("""COMPUTED_VALUE"""),"1st U")</f>
        <v>1st U</v>
      </c>
      <c r="N590" s="15" t="str">
        <f ca="1">IFERROR(__xludf.DUMMYFUNCTION("""COMPUTED_VALUE"""),"accepted")</f>
        <v>accepted</v>
      </c>
      <c r="O590" s="18" t="str">
        <f ca="1">IFERROR(__xludf.DUMMYFUNCTION("""COMPUTED_VALUE"""),"Many photos online")</f>
        <v>Many photos online</v>
      </c>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row>
    <row r="591" spans="1:80" ht="13.5" hidden="1" customHeight="1">
      <c r="A591" s="20">
        <f ca="1">IFERROR(__xludf.DUMMYFUNCTION("""COMPUTED_VALUE"""),2010)</f>
        <v>2010</v>
      </c>
      <c r="B591" s="45">
        <f ca="1">IFERROR(__xludf.DUMMYFUNCTION("""COMPUTED_VALUE"""),40819)</f>
        <v>40819</v>
      </c>
      <c r="C591" s="46">
        <f ca="1">IFERROR(__xludf.DUMMYFUNCTION("""COMPUTED_VALUE"""),40775)</f>
        <v>40775</v>
      </c>
      <c r="D591" s="47" t="str">
        <f ca="1">IFERROR(__xludf.DUMMYFUNCTION("""COMPUTED_VALUE"""),"Great Grey Shrike")</f>
        <v>Great Grey Shrike</v>
      </c>
      <c r="E591" s="52">
        <f ca="1">IFERROR(__xludf.DUMMYFUNCTION("""COMPUTED_VALUE"""),1)</f>
        <v>1</v>
      </c>
      <c r="F591" s="25"/>
      <c r="G591" s="48" t="str">
        <f ca="1">IFERROR(__xludf.DUMMYFUNCTION("""COMPUTED_VALUE"""),"Hilbre")</f>
        <v>Hilbre</v>
      </c>
      <c r="H591" s="22">
        <f ca="1">IFERROR(__xludf.DUMMYFUNCTION("""COMPUTED_VALUE"""),40463)</f>
        <v>40463</v>
      </c>
      <c r="I591" s="23"/>
      <c r="J591" s="24" t="str">
        <f ca="1">IFERROR(__xludf.DUMMYFUNCTION("""COMPUTED_VALUE"""),"HIBO")</f>
        <v>HIBO</v>
      </c>
      <c r="K591" s="25" t="str">
        <f ca="1">IFERROR(__xludf.DUMMYFUNCTION("""COMPUTED_VALUE"""),"Chris Williams")</f>
        <v>Chris Williams</v>
      </c>
      <c r="L591" s="27" t="str">
        <f ca="1">IFERROR(__xludf.DUMMYFUNCTION("""COMPUTED_VALUE"""),"closed")</f>
        <v>closed</v>
      </c>
      <c r="M591" s="27" t="str">
        <f ca="1">IFERROR(__xludf.DUMMYFUNCTION("""COMPUTED_VALUE"""),"1st U")</f>
        <v>1st U</v>
      </c>
      <c r="N591" s="25" t="str">
        <f ca="1">IFERROR(__xludf.DUMMYFUNCTION("""COMPUTED_VALUE"""),"accepted")</f>
        <v>accepted</v>
      </c>
      <c r="O591" s="28" t="str">
        <f ca="1">IFERROR(__xludf.DUMMYFUNCTION("""COMPUTED_VALUE"""),"At 08.15hrs a Great Grey Shrike (top 3 pictures and flying below right) was seen sitting on top of the sycamores in the old obs garden, it visited most of the perches available on the island (including the top of the new obs mist net pole) during the next"&amp;" 2 hours until it returned to where it was originally seen and found itself in the mist net in the old obs garden. This is the third record for Hilbre although the others have been fly-overs and not birds on the ground.")</f>
        <v>At 08.15hrs a Great Grey Shrike (top 3 pictures and flying below right) was seen sitting on top of the sycamores in the old obs garden, it visited most of the perches available on the island (including the top of the new obs mist net pole) during the next 2 hours until it returned to where it was originally seen and found itself in the mist net in the old obs garden. This is the third record for Hilbre although the others have been fly-overs and not birds on the ground.</v>
      </c>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c r="AQ591" s="25"/>
      <c r="AR591" s="25"/>
      <c r="AS591" s="25"/>
      <c r="AT591" s="25"/>
      <c r="AU591" s="25"/>
      <c r="AV591" s="25"/>
      <c r="AW591" s="25"/>
      <c r="AX591" s="25"/>
      <c r="AY591" s="25"/>
      <c r="AZ591" s="25"/>
      <c r="BA591" s="25"/>
      <c r="BB591" s="25"/>
      <c r="BC591" s="25"/>
      <c r="BD591" s="25"/>
      <c r="BE591" s="25"/>
      <c r="BF591" s="25"/>
      <c r="BG591" s="25"/>
      <c r="BH591" s="25"/>
      <c r="BI591" s="25"/>
      <c r="BJ591" s="25"/>
      <c r="BK591" s="25"/>
      <c r="BL591" s="25"/>
      <c r="BM591" s="25"/>
      <c r="BN591" s="25"/>
      <c r="BO591" s="25"/>
      <c r="BP591" s="25"/>
      <c r="BQ591" s="25"/>
      <c r="BR591" s="25"/>
      <c r="BS591" s="25"/>
      <c r="BT591" s="25"/>
      <c r="BU591" s="25"/>
      <c r="BV591" s="25"/>
      <c r="BW591" s="25"/>
      <c r="BX591" s="25"/>
      <c r="BY591" s="25"/>
      <c r="BZ591" s="25"/>
      <c r="CA591" s="25"/>
      <c r="CB591" s="25"/>
    </row>
    <row r="592" spans="1:80" ht="13.5" hidden="1" customHeight="1">
      <c r="A592" s="10">
        <f ca="1">IFERROR(__xludf.DUMMYFUNCTION("""COMPUTED_VALUE"""),2010)</f>
        <v>2010</v>
      </c>
      <c r="B592" s="50">
        <f ca="1">IFERROR(__xludf.DUMMYFUNCTION("""COMPUTED_VALUE"""),40586)</f>
        <v>40586</v>
      </c>
      <c r="C592" s="41">
        <f ca="1">IFERROR(__xludf.DUMMYFUNCTION("""COMPUTED_VALUE"""),40589)</f>
        <v>40589</v>
      </c>
      <c r="D592" s="42" t="str">
        <f ca="1">IFERROR(__xludf.DUMMYFUNCTION("""COMPUTED_VALUE"""),"Hooded Crow")</f>
        <v>Hooded Crow</v>
      </c>
      <c r="E592" s="53">
        <f ca="1">IFERROR(__xludf.DUMMYFUNCTION("""COMPUTED_VALUE"""),1)</f>
        <v>1</v>
      </c>
      <c r="F592" s="15"/>
      <c r="G592" s="44" t="str">
        <f ca="1">IFERROR(__xludf.DUMMYFUNCTION("""COMPUTED_VALUE"""),"Langley")</f>
        <v>Langley</v>
      </c>
      <c r="H592" s="12">
        <f ca="1">IFERROR(__xludf.DUMMYFUNCTION("""COMPUTED_VALUE"""),40520)</f>
        <v>40520</v>
      </c>
      <c r="I592" s="13"/>
      <c r="J592" s="14"/>
      <c r="K592" s="15"/>
      <c r="L592" s="17" t="str">
        <f ca="1">IFERROR(__xludf.DUMMYFUNCTION("""COMPUTED_VALUE"""),"closed")</f>
        <v>closed</v>
      </c>
      <c r="M592" s="17" t="str">
        <f ca="1">IFERROR(__xludf.DUMMYFUNCTION("""COMPUTED_VALUE"""),"3rd U")</f>
        <v>3rd U</v>
      </c>
      <c r="N592" s="15" t="str">
        <f ca="1">IFERROR(__xludf.DUMMYFUNCTION("""COMPUTED_VALUE"""),"unproven")</f>
        <v>unproven</v>
      </c>
      <c r="O592" s="18" t="str">
        <f ca="1">IFERROR(__xludf.DUMMYFUNCTION("""COMPUTED_VALUE"""),"Pend record - hybrid not rules out and abberant CC in same area")</f>
        <v>Pend record - hybrid not rules out and abberant CC in same area</v>
      </c>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row>
    <row r="593" spans="1:80" ht="13.5" hidden="1" customHeight="1">
      <c r="A593" s="20">
        <f ca="1">IFERROR(__xludf.DUMMYFUNCTION("""COMPUTED_VALUE"""),2010)</f>
        <v>2010</v>
      </c>
      <c r="B593" s="45">
        <f ca="1">IFERROR(__xludf.DUMMYFUNCTION("""COMPUTED_VALUE"""),40587)</f>
        <v>40587</v>
      </c>
      <c r="C593" s="46">
        <f ca="1">IFERROR(__xludf.DUMMYFUNCTION("""COMPUTED_VALUE"""),40602)</f>
        <v>40602</v>
      </c>
      <c r="D593" s="47" t="str">
        <f ca="1">IFERROR(__xludf.DUMMYFUNCTION("""COMPUTED_VALUE"""),"Hooded Crow")</f>
        <v>Hooded Crow</v>
      </c>
      <c r="E593" s="52">
        <f ca="1">IFERROR(__xludf.DUMMYFUNCTION("""COMPUTED_VALUE"""),1)</f>
        <v>1</v>
      </c>
      <c r="F593" s="25"/>
      <c r="G593" s="48" t="str">
        <f ca="1">IFERROR(__xludf.DUMMYFUNCTION("""COMPUTED_VALUE"""),"Moore Nature Reserve")</f>
        <v>Moore Nature Reserve</v>
      </c>
      <c r="H593" s="22">
        <f ca="1">IFERROR(__xludf.DUMMYFUNCTION("""COMPUTED_VALUE"""),40488)</f>
        <v>40488</v>
      </c>
      <c r="I593" s="23"/>
      <c r="J593" s="24" t="str">
        <f ca="1">IFERROR(__xludf.DUMMYFUNCTION("""COMPUTED_VALUE"""),"Cook, M")</f>
        <v>Cook, M</v>
      </c>
      <c r="K593" s="25" t="str">
        <f ca="1">IFERROR(__xludf.DUMMYFUNCTION("""COMPUTED_VALUE"""),"Mike Duckham")</f>
        <v>Mike Duckham</v>
      </c>
      <c r="L593" s="27" t="str">
        <f ca="1">IFERROR(__xludf.DUMMYFUNCTION("""COMPUTED_VALUE"""),"closed")</f>
        <v>closed</v>
      </c>
      <c r="M593" s="27" t="str">
        <f ca="1">IFERROR(__xludf.DUMMYFUNCTION("""COMPUTED_VALUE"""),"3rd U")</f>
        <v>3rd U</v>
      </c>
      <c r="N593" s="25" t="str">
        <f ca="1">IFERROR(__xludf.DUMMYFUNCTION("""COMPUTED_VALUE"""),"accepted")</f>
        <v>accepted</v>
      </c>
      <c r="O593" s="28"/>
      <c r="P593" s="25"/>
      <c r="Q593" s="40"/>
      <c r="R593" s="40"/>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5"/>
      <c r="AQ593" s="25"/>
      <c r="AR593" s="25"/>
      <c r="AS593" s="25"/>
      <c r="AT593" s="25"/>
      <c r="AU593" s="25"/>
      <c r="AV593" s="25"/>
      <c r="AW593" s="25"/>
      <c r="AX593" s="25"/>
      <c r="AY593" s="25"/>
      <c r="AZ593" s="25"/>
      <c r="BA593" s="25"/>
      <c r="BB593" s="25"/>
      <c r="BC593" s="25"/>
      <c r="BD593" s="25"/>
      <c r="BE593" s="25"/>
      <c r="BF593" s="25"/>
      <c r="BG593" s="25"/>
      <c r="BH593" s="25"/>
      <c r="BI593" s="25"/>
      <c r="BJ593" s="25"/>
      <c r="BK593" s="25"/>
      <c r="BL593" s="25"/>
      <c r="BM593" s="25"/>
      <c r="BN593" s="25"/>
      <c r="BO593" s="25"/>
      <c r="BP593" s="25"/>
      <c r="BQ593" s="25"/>
      <c r="BR593" s="25"/>
      <c r="BS593" s="25"/>
      <c r="BT593" s="25"/>
      <c r="BU593" s="25"/>
      <c r="BV593" s="25"/>
      <c r="BW593" s="25"/>
      <c r="BX593" s="25"/>
      <c r="BY593" s="25"/>
      <c r="BZ593" s="25"/>
      <c r="CA593" s="25"/>
      <c r="CB593" s="25"/>
    </row>
    <row r="594" spans="1:80" ht="13.5" hidden="1" customHeight="1">
      <c r="A594" s="10">
        <f ca="1">IFERROR(__xludf.DUMMYFUNCTION("""COMPUTED_VALUE"""),2010)</f>
        <v>2010</v>
      </c>
      <c r="B594" s="50">
        <f ca="1">IFERROR(__xludf.DUMMYFUNCTION("""COMPUTED_VALUE"""),40378)</f>
        <v>40378</v>
      </c>
      <c r="C594" s="41">
        <f ca="1">IFERROR(__xludf.DUMMYFUNCTION("""COMPUTED_VALUE"""),40583)</f>
        <v>40583</v>
      </c>
      <c r="D594" s="42" t="str">
        <f ca="1">IFERROR(__xludf.DUMMYFUNCTION("""COMPUTED_VALUE"""),"Red-rumped Swallow")</f>
        <v>Red-rumped Swallow</v>
      </c>
      <c r="E594" s="53">
        <f ca="1">IFERROR(__xludf.DUMMYFUNCTION("""COMPUTED_VALUE"""),1)</f>
        <v>1</v>
      </c>
      <c r="F594" s="15"/>
      <c r="G594" s="44" t="str">
        <f ca="1">IFERROR(__xludf.DUMMYFUNCTION("""COMPUTED_VALUE"""),"Leasowe/Meols")</f>
        <v>Leasowe/Meols</v>
      </c>
      <c r="H594" s="12">
        <f ca="1">IFERROR(__xludf.DUMMYFUNCTION("""COMPUTED_VALUE"""),40293)</f>
        <v>40293</v>
      </c>
      <c r="I594" s="12">
        <f ca="1">IFERROR(__xludf.DUMMYFUNCTION("""COMPUTED_VALUE"""),40293)</f>
        <v>40293</v>
      </c>
      <c r="J594" s="14" t="str">
        <f ca="1">IFERROR(__xludf.DUMMYFUNCTION("""COMPUTED_VALUE"""),"Bradshaw, J")</f>
        <v>Bradshaw, J</v>
      </c>
      <c r="K594" s="15" t="str">
        <f ca="1">IFERROR(__xludf.DUMMYFUNCTION("""COMPUTED_VALUE"""),"Bradshaw, J")</f>
        <v>Bradshaw, J</v>
      </c>
      <c r="L594" s="17" t="str">
        <f ca="1">IFERROR(__xludf.DUMMYFUNCTION("""COMPUTED_VALUE"""),"closed")</f>
        <v>closed</v>
      </c>
      <c r="M594" s="17" t="str">
        <f ca="1">IFERROR(__xludf.DUMMYFUNCTION("""COMPUTED_VALUE"""),"1st U")</f>
        <v>1st U</v>
      </c>
      <c r="N594" s="15" t="str">
        <f ca="1">IFERROR(__xludf.DUMMYFUNCTION("""COMPUTED_VALUE"""),"Accepted")</f>
        <v>Accepted</v>
      </c>
      <c r="O594" s="18"/>
      <c r="P594" s="15"/>
      <c r="Q594" s="58"/>
      <c r="R594" s="58"/>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row>
    <row r="595" spans="1:80" ht="13.5" hidden="1" customHeight="1">
      <c r="A595" s="20">
        <f ca="1">IFERROR(__xludf.DUMMYFUNCTION("""COMPUTED_VALUE"""),2010)</f>
        <v>2010</v>
      </c>
      <c r="B595" s="45">
        <f ca="1">IFERROR(__xludf.DUMMYFUNCTION("""COMPUTED_VALUE"""),40819)</f>
        <v>40819</v>
      </c>
      <c r="C595" s="46">
        <f ca="1">IFERROR(__xludf.DUMMYFUNCTION("""COMPUTED_VALUE"""),40775)</f>
        <v>40775</v>
      </c>
      <c r="D595" s="47" t="str">
        <f ca="1">IFERROR(__xludf.DUMMYFUNCTION("""COMPUTED_VALUE"""),"Yellow-browed Warbler")</f>
        <v>Yellow-browed Warbler</v>
      </c>
      <c r="E595" s="52">
        <f ca="1">IFERROR(__xludf.DUMMYFUNCTION("""COMPUTED_VALUE"""),1)</f>
        <v>1</v>
      </c>
      <c r="F595" s="25"/>
      <c r="G595" s="48" t="str">
        <f ca="1">IFERROR(__xludf.DUMMYFUNCTION("""COMPUTED_VALUE"""),"Hilbre")</f>
        <v>Hilbre</v>
      </c>
      <c r="H595" s="22">
        <f ca="1">IFERROR(__xludf.DUMMYFUNCTION("""COMPUTED_VALUE"""),40461)</f>
        <v>40461</v>
      </c>
      <c r="I595" s="23"/>
      <c r="J595" s="24" t="str">
        <f ca="1">IFERROR(__xludf.DUMMYFUNCTION("""COMPUTED_VALUE"""),"HIBO")</f>
        <v>HIBO</v>
      </c>
      <c r="K595" s="25" t="str">
        <f ca="1">IFERROR(__xludf.DUMMYFUNCTION("""COMPUTED_VALUE"""),"Steve Williams")</f>
        <v>Steve Williams</v>
      </c>
      <c r="L595" s="27" t="str">
        <f ca="1">IFERROR(__xludf.DUMMYFUNCTION("""COMPUTED_VALUE"""),"closed")</f>
        <v>closed</v>
      </c>
      <c r="M595" s="27"/>
      <c r="N595" s="25" t="str">
        <f ca="1">IFERROR(__xludf.DUMMYFUNCTION("""COMPUTED_VALUE"""),"accepted")</f>
        <v>accepted</v>
      </c>
      <c r="O595" s="28" t="str">
        <f ca="1">IFERROR(__xludf.DUMMYFUNCTION("""COMPUTED_VALUE"""),"trapped and photographed in the afternoon")</f>
        <v>trapped and photographed in the afternoon</v>
      </c>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5"/>
      <c r="AQ595" s="25"/>
      <c r="AR595" s="25"/>
      <c r="AS595" s="25"/>
      <c r="AT595" s="25"/>
      <c r="AU595" s="25"/>
      <c r="AV595" s="25"/>
      <c r="AW595" s="25"/>
      <c r="AX595" s="25"/>
      <c r="AY595" s="25"/>
      <c r="AZ595" s="25"/>
      <c r="BA595" s="25"/>
      <c r="BB595" s="25"/>
      <c r="BC595" s="25"/>
      <c r="BD595" s="25"/>
      <c r="BE595" s="25"/>
      <c r="BF595" s="25"/>
      <c r="BG595" s="25"/>
      <c r="BH595" s="25"/>
      <c r="BI595" s="25"/>
      <c r="BJ595" s="25"/>
      <c r="BK595" s="25"/>
      <c r="BL595" s="25"/>
      <c r="BM595" s="25"/>
      <c r="BN595" s="25"/>
      <c r="BO595" s="25"/>
      <c r="BP595" s="25"/>
      <c r="BQ595" s="25"/>
      <c r="BR595" s="25"/>
      <c r="BS595" s="25"/>
      <c r="BT595" s="25"/>
      <c r="BU595" s="25"/>
      <c r="BV595" s="25"/>
      <c r="BW595" s="25"/>
      <c r="BX595" s="25"/>
      <c r="BY595" s="25"/>
      <c r="BZ595" s="25"/>
      <c r="CA595" s="25"/>
      <c r="CB595" s="25"/>
    </row>
    <row r="596" spans="1:80" ht="13.5" hidden="1" customHeight="1">
      <c r="A596" s="10">
        <f ca="1">IFERROR(__xludf.DUMMYFUNCTION("""COMPUTED_VALUE"""),2010)</f>
        <v>2010</v>
      </c>
      <c r="B596" s="50">
        <f ca="1">IFERROR(__xludf.DUMMYFUNCTION("""COMPUTED_VALUE"""),41151)</f>
        <v>41151</v>
      </c>
      <c r="C596" s="41">
        <f ca="1">IFERROR(__xludf.DUMMYFUNCTION("""COMPUTED_VALUE"""),41151)</f>
        <v>41151</v>
      </c>
      <c r="D596" s="42" t="str">
        <f ca="1">IFERROR(__xludf.DUMMYFUNCTION("""COMPUTED_VALUE"""),"Pallas' Warbler")</f>
        <v>Pallas' Warbler</v>
      </c>
      <c r="E596" s="53">
        <f ca="1">IFERROR(__xludf.DUMMYFUNCTION("""COMPUTED_VALUE"""),1)</f>
        <v>1</v>
      </c>
      <c r="F596" s="15"/>
      <c r="G596" s="44" t="str">
        <f ca="1">IFERROR(__xludf.DUMMYFUNCTION("""COMPUTED_VALUE"""),"Bidston")</f>
        <v>Bidston</v>
      </c>
      <c r="H596" s="12">
        <f ca="1">IFERROR(__xludf.DUMMYFUNCTION("""COMPUTED_VALUE"""),40489)</f>
        <v>40489</v>
      </c>
      <c r="I596" s="12">
        <f ca="1">IFERROR(__xludf.DUMMYFUNCTION("""COMPUTED_VALUE"""),40489)</f>
        <v>40489</v>
      </c>
      <c r="J596" s="14" t="str">
        <f ca="1">IFERROR(__xludf.DUMMYFUNCTION("""COMPUTED_VALUE"""),"Williams, S")</f>
        <v>Williams, S</v>
      </c>
      <c r="K596" s="15" t="str">
        <f ca="1">IFERROR(__xludf.DUMMYFUNCTION("""COMPUTED_VALUE"""),"Tony Ormond &amp; KennyMcKiffe")</f>
        <v>Tony Ormond &amp; KennyMcKiffe</v>
      </c>
      <c r="L596" s="17" t="str">
        <f ca="1">IFERROR(__xludf.DUMMYFUNCTION("""COMPUTED_VALUE"""),"closed")</f>
        <v>closed</v>
      </c>
      <c r="M596" s="17" t="str">
        <f ca="1">IFERROR(__xludf.DUMMYFUNCTION("""COMPUTED_VALUE"""),"1st U")</f>
        <v>1st U</v>
      </c>
      <c r="N596" s="15" t="str">
        <f ca="1">IFERROR(__xludf.DUMMYFUNCTION("""COMPUTED_VALUE"""),"accepted")</f>
        <v>accepted</v>
      </c>
      <c r="O596" s="18" t="str">
        <f ca="1">IFERROR(__xludf.DUMMYFUNCTION("""COMPUTED_VALUE"""),"Trapped 16:30")</f>
        <v>Trapped 16:30</v>
      </c>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row>
    <row r="597" spans="1:80" ht="13.5" hidden="1" customHeight="1">
      <c r="A597" s="20">
        <f ca="1">IFERROR(__xludf.DUMMYFUNCTION("""COMPUTED_VALUE"""),2010)</f>
        <v>2010</v>
      </c>
      <c r="B597" s="45">
        <f ca="1">IFERROR(__xludf.DUMMYFUNCTION("""COMPUTED_VALUE"""),40210)</f>
        <v>40210</v>
      </c>
      <c r="C597" s="46">
        <f ca="1">IFERROR(__xludf.DUMMYFUNCTION("""COMPUTED_VALUE"""),40609)</f>
        <v>40609</v>
      </c>
      <c r="D597" s="47" t="str">
        <f ca="1">IFERROR(__xludf.DUMMYFUNCTION("""COMPUTED_VALUE"""),"Siberian Chiffchaff [tristis race]")</f>
        <v>Siberian Chiffchaff [tristis race]</v>
      </c>
      <c r="E597" s="52">
        <f ca="1">IFERROR(__xludf.DUMMYFUNCTION("""COMPUTED_VALUE"""),1)</f>
        <v>1</v>
      </c>
      <c r="F597" s="25"/>
      <c r="G597" s="48" t="str">
        <f ca="1">IFERROR(__xludf.DUMMYFUNCTION("""COMPUTED_VALUE"""),"hoylake")</f>
        <v>hoylake</v>
      </c>
      <c r="H597" s="22">
        <f ca="1">IFERROR(__xludf.DUMMYFUNCTION("""COMPUTED_VALUE"""),40456)</f>
        <v>40456</v>
      </c>
      <c r="I597" s="22"/>
      <c r="J597" s="24" t="str">
        <f ca="1">IFERROR(__xludf.DUMMYFUNCTION("""COMPUTED_VALUE"""),"Turner, JE")</f>
        <v>Turner, JE</v>
      </c>
      <c r="K597" s="25" t="str">
        <f ca="1">IFERROR(__xludf.DUMMYFUNCTION("""COMPUTED_VALUE"""),"Turner, JE")</f>
        <v>Turner, JE</v>
      </c>
      <c r="L597" s="27" t="str">
        <f ca="1">IFERROR(__xludf.DUMMYFUNCTION("""COMPUTED_VALUE"""),"closed")</f>
        <v>closed</v>
      </c>
      <c r="M597" s="27" t="str">
        <f ca="1">IFERROR(__xludf.DUMMYFUNCTION("""COMPUTED_VALUE"""),"2nd U")</f>
        <v>2nd U</v>
      </c>
      <c r="N597" s="25" t="str">
        <f ca="1">IFERROR(__xludf.DUMMYFUNCTION("""COMPUTED_VALUE"""),"accepted")</f>
        <v>accepted</v>
      </c>
      <c r="O597" s="28" t="str">
        <f ca="1">IFERROR(__xludf.DUMMYFUNCTION("""COMPUTED_VALUE"""),"as showing characteristics of Eastern Chiffy, probably tristis")</f>
        <v>as showing characteristics of Eastern Chiffy, probably tristis</v>
      </c>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5"/>
      <c r="AQ597" s="25"/>
      <c r="AR597" s="25"/>
      <c r="AS597" s="25"/>
      <c r="AT597" s="25"/>
      <c r="AU597" s="25"/>
      <c r="AV597" s="25"/>
      <c r="AW597" s="25"/>
      <c r="AX597" s="25"/>
      <c r="AY597" s="25"/>
      <c r="AZ597" s="25"/>
      <c r="BA597" s="25"/>
      <c r="BB597" s="25"/>
      <c r="BC597" s="25"/>
      <c r="BD597" s="25"/>
      <c r="BE597" s="25"/>
      <c r="BF597" s="25"/>
      <c r="BG597" s="25"/>
      <c r="BH597" s="25"/>
      <c r="BI597" s="25"/>
      <c r="BJ597" s="25"/>
      <c r="BK597" s="25"/>
      <c r="BL597" s="25"/>
      <c r="BM597" s="25"/>
      <c r="BN597" s="25"/>
      <c r="BO597" s="25"/>
      <c r="BP597" s="25"/>
      <c r="BQ597" s="25"/>
      <c r="BR597" s="25"/>
      <c r="BS597" s="25"/>
      <c r="BT597" s="25"/>
      <c r="BU597" s="25"/>
      <c r="BV597" s="25"/>
      <c r="BW597" s="25"/>
      <c r="BX597" s="25"/>
      <c r="BY597" s="25"/>
      <c r="BZ597" s="25"/>
      <c r="CA597" s="25"/>
      <c r="CB597" s="25"/>
    </row>
    <row r="598" spans="1:80" ht="13.5" hidden="1" customHeight="1">
      <c r="A598" s="10">
        <f ca="1">IFERROR(__xludf.DUMMYFUNCTION("""COMPUTED_VALUE"""),2010)</f>
        <v>2010</v>
      </c>
      <c r="B598" s="50">
        <f ca="1">IFERROR(__xludf.DUMMYFUNCTION("""COMPUTED_VALUE"""),40805)</f>
        <v>40805</v>
      </c>
      <c r="C598" s="41">
        <f ca="1">IFERROR(__xludf.DUMMYFUNCTION("""COMPUTED_VALUE"""),40609)</f>
        <v>40609</v>
      </c>
      <c r="D598" s="42" t="str">
        <f ca="1">IFERROR(__xludf.DUMMYFUNCTION("""COMPUTED_VALUE"""),"Chiffchaff (abientinus)")</f>
        <v>Chiffchaff (abientinus)</v>
      </c>
      <c r="E598" s="53">
        <f ca="1">IFERROR(__xludf.DUMMYFUNCTION("""COMPUTED_VALUE"""),1)</f>
        <v>1</v>
      </c>
      <c r="F598" s="15"/>
      <c r="G598" s="44" t="str">
        <f ca="1">IFERROR(__xludf.DUMMYFUNCTION("""COMPUTED_VALUE"""),"Red Rocks, Hoylake")</f>
        <v>Red Rocks, Hoylake</v>
      </c>
      <c r="H598" s="12">
        <f ca="1">IFERROR(__xludf.DUMMYFUNCTION("""COMPUTED_VALUE"""),40462)</f>
        <v>40462</v>
      </c>
      <c r="I598" s="12"/>
      <c r="J598" s="14" t="str">
        <f ca="1">IFERROR(__xludf.DUMMYFUNCTION("""COMPUTED_VALUE"""),"Turner, JE")</f>
        <v>Turner, JE</v>
      </c>
      <c r="K598" s="15" t="str">
        <f ca="1">IFERROR(__xludf.DUMMYFUNCTION("""COMPUTED_VALUE"""),"Turner, JE")</f>
        <v>Turner, JE</v>
      </c>
      <c r="L598" s="17" t="str">
        <f ca="1">IFERROR(__xludf.DUMMYFUNCTION("""COMPUTED_VALUE"""),"closed")</f>
        <v>closed</v>
      </c>
      <c r="M598" s="17" t="str">
        <f ca="1">IFERROR(__xludf.DUMMYFUNCTION("""COMPUTED_VALUE"""),"1st U")</f>
        <v>1st U</v>
      </c>
      <c r="N598" s="15" t="str">
        <f ca="1">IFERROR(__xludf.DUMMYFUNCTION("""COMPUTED_VALUE"""),"accepted")</f>
        <v>accepted</v>
      </c>
      <c r="O598" s="18" t="str">
        <f ca="1">IFERROR(__xludf.DUMMYFUNCTION("""COMPUTED_VALUE"""),"Publish as ""Eastern Chiffchaff"" presumed abientinus it Looked like tristis but sounded like ""abientinus""")</f>
        <v>Publish as "Eastern Chiffchaff" presumed abientinus it Looked like tristis but sounded like "abientinus"</v>
      </c>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row>
    <row r="599" spans="1:80" ht="13.5" hidden="1" customHeight="1">
      <c r="A599" s="20">
        <f ca="1">IFERROR(__xludf.DUMMYFUNCTION("""COMPUTED_VALUE"""),2010)</f>
        <v>2010</v>
      </c>
      <c r="B599" s="45">
        <f ca="1">IFERROR(__xludf.DUMMYFUNCTION("""COMPUTED_VALUE"""),40735)</f>
        <v>40735</v>
      </c>
      <c r="C599" s="46">
        <f ca="1">IFERROR(__xludf.DUMMYFUNCTION("""COMPUTED_VALUE"""),40609)</f>
        <v>40609</v>
      </c>
      <c r="D599" s="47" t="str">
        <f ca="1">IFERROR(__xludf.DUMMYFUNCTION("""COMPUTED_VALUE"""),"Barred Warbler")</f>
        <v>Barred Warbler</v>
      </c>
      <c r="E599" s="52">
        <f ca="1">IFERROR(__xludf.DUMMYFUNCTION("""COMPUTED_VALUE"""),1)</f>
        <v>1</v>
      </c>
      <c r="F599" s="25" t="str">
        <f ca="1">IFERROR(__xludf.DUMMYFUNCTION("""COMPUTED_VALUE"""),"1st W")</f>
        <v>1st W</v>
      </c>
      <c r="G599" s="48" t="str">
        <f ca="1">IFERROR(__xludf.DUMMYFUNCTION("""COMPUTED_VALUE"""),"Hoylake")</f>
        <v>Hoylake</v>
      </c>
      <c r="H599" s="22">
        <f ca="1">IFERROR(__xludf.DUMMYFUNCTION("""COMPUTED_VALUE"""),40424)</f>
        <v>40424</v>
      </c>
      <c r="I599" s="22"/>
      <c r="J599" s="24" t="str">
        <f ca="1">IFERROR(__xludf.DUMMYFUNCTION("""COMPUTED_VALUE"""),"Turner, JE")</f>
        <v>Turner, JE</v>
      </c>
      <c r="K599" s="25" t="str">
        <f ca="1">IFERROR(__xludf.DUMMYFUNCTION("""COMPUTED_VALUE"""),"Turner, JE")</f>
        <v>Turner, JE</v>
      </c>
      <c r="L599" s="27" t="str">
        <f ca="1">IFERROR(__xludf.DUMMYFUNCTION("""COMPUTED_VALUE"""),"closed")</f>
        <v>closed</v>
      </c>
      <c r="M599" s="27" t="str">
        <f ca="1">IFERROR(__xludf.DUMMYFUNCTION("""COMPUTED_VALUE"""),"1st U")</f>
        <v>1st U</v>
      </c>
      <c r="N599" s="25" t="str">
        <f ca="1">IFERROR(__xludf.DUMMYFUNCTION("""COMPUTED_VALUE"""),"accepted")</f>
        <v>accepted</v>
      </c>
      <c r="O599" s="28" t="str">
        <f ca="1">IFERROR(__xludf.DUMMYFUNCTION("""COMPUTED_VALUE"""),"Seen in seafront gardens early morning.  Photographed(badly)")</f>
        <v>Seen in seafront gardens early morning.  Photographed(badly)</v>
      </c>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c r="AQ599" s="25"/>
      <c r="AR599" s="25"/>
      <c r="AS599" s="25"/>
      <c r="AT599" s="25"/>
      <c r="AU599" s="25"/>
      <c r="AV599" s="25"/>
      <c r="AW599" s="25"/>
      <c r="AX599" s="25"/>
      <c r="AY599" s="25"/>
      <c r="AZ599" s="25"/>
      <c r="BA599" s="25"/>
      <c r="BB599" s="25"/>
      <c r="BC599" s="25"/>
      <c r="BD599" s="25"/>
      <c r="BE599" s="25"/>
      <c r="BF599" s="25"/>
      <c r="BG599" s="25"/>
      <c r="BH599" s="25"/>
      <c r="BI599" s="25"/>
      <c r="BJ599" s="25"/>
      <c r="BK599" s="25"/>
      <c r="BL599" s="25"/>
      <c r="BM599" s="25"/>
      <c r="BN599" s="25"/>
      <c r="BO599" s="25"/>
      <c r="BP599" s="25"/>
      <c r="BQ599" s="25"/>
      <c r="BR599" s="25"/>
      <c r="BS599" s="25"/>
      <c r="BT599" s="25"/>
      <c r="BU599" s="25"/>
      <c r="BV599" s="25"/>
      <c r="BW599" s="25"/>
      <c r="BX599" s="25"/>
      <c r="BY599" s="25"/>
      <c r="BZ599" s="25"/>
      <c r="CA599" s="25"/>
      <c r="CB599" s="25"/>
    </row>
    <row r="600" spans="1:80" ht="13.5" hidden="1" customHeight="1">
      <c r="A600" s="10">
        <f ca="1">IFERROR(__xludf.DUMMYFUNCTION("""COMPUTED_VALUE"""),2010)</f>
        <v>2010</v>
      </c>
      <c r="B600" s="50">
        <f ca="1">IFERROR(__xludf.DUMMYFUNCTION("""COMPUTED_VALUE"""),40585)</f>
        <v>40585</v>
      </c>
      <c r="C600" s="41">
        <f ca="1">IFERROR(__xludf.DUMMYFUNCTION("""COMPUTED_VALUE"""),40336)</f>
        <v>40336</v>
      </c>
      <c r="D600" s="42" t="str">
        <f ca="1">IFERROR(__xludf.DUMMYFUNCTION("""COMPUTED_VALUE"""),"Bluethroat")</f>
        <v>Bluethroat</v>
      </c>
      <c r="E600" s="53">
        <f ca="1">IFERROR(__xludf.DUMMYFUNCTION("""COMPUTED_VALUE"""),1)</f>
        <v>1</v>
      </c>
      <c r="F600" s="15" t="str">
        <f ca="1">IFERROR(__xludf.DUMMYFUNCTION("""COMPUTED_VALUE"""),"f")</f>
        <v>f</v>
      </c>
      <c r="G600" s="44" t="str">
        <f ca="1">IFERROR(__xludf.DUMMYFUNCTION("""COMPUTED_VALUE"""),"Leasowe (Lighthouse pool)")</f>
        <v>Leasowe (Lighthouse pool)</v>
      </c>
      <c r="H600" s="12">
        <f ca="1">IFERROR(__xludf.DUMMYFUNCTION("""COMPUTED_VALUE"""),40323)</f>
        <v>40323</v>
      </c>
      <c r="I600" s="12">
        <f ca="1">IFERROR(__xludf.DUMMYFUNCTION("""COMPUTED_VALUE"""),40323)</f>
        <v>40323</v>
      </c>
      <c r="J600" s="14" t="str">
        <f ca="1">IFERROR(__xludf.DUMMYFUNCTION("""COMPUTED_VALUE"""),"Williams, SR")</f>
        <v>Williams, SR</v>
      </c>
      <c r="K600" s="15" t="str">
        <f ca="1">IFERROR(__xludf.DUMMYFUNCTION("""COMPUTED_VALUE"""),"Michael King, Kenny Dummigan (independantly)")</f>
        <v>Michael King, Kenny Dummigan (independantly)</v>
      </c>
      <c r="L600" s="17" t="str">
        <f ca="1">IFERROR(__xludf.DUMMYFUNCTION("""COMPUTED_VALUE"""),"closed")</f>
        <v>closed</v>
      </c>
      <c r="M600" s="17" t="str">
        <f ca="1">IFERROR(__xludf.DUMMYFUNCTION("""COMPUTED_VALUE"""),"1st U")</f>
        <v>1st U</v>
      </c>
      <c r="N600" s="15" t="str">
        <f ca="1">IFERROR(__xludf.DUMMYFUNCTION("""COMPUTED_VALUE"""),"accepted")</f>
        <v>accepted</v>
      </c>
      <c r="O600" s="18"/>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row>
    <row r="601" spans="1:80" ht="13.5" hidden="1" customHeight="1">
      <c r="A601" s="20">
        <f ca="1">IFERROR(__xludf.DUMMYFUNCTION("""COMPUTED_VALUE"""),2010)</f>
        <v>2010</v>
      </c>
      <c r="B601" s="45">
        <f ca="1">IFERROR(__xludf.DUMMYFUNCTION("""COMPUTED_VALUE"""),40627)</f>
        <v>40627</v>
      </c>
      <c r="C601" s="46"/>
      <c r="D601" s="47" t="str">
        <f ca="1">IFERROR(__xludf.DUMMYFUNCTION("""COMPUTED_VALUE"""),"Bluethroat")</f>
        <v>Bluethroat</v>
      </c>
      <c r="E601" s="52">
        <f ca="1">IFERROR(__xludf.DUMMYFUNCTION("""COMPUTED_VALUE"""),1)</f>
        <v>1</v>
      </c>
      <c r="F601" s="25" t="str">
        <f ca="1">IFERROR(__xludf.DUMMYFUNCTION("""COMPUTED_VALUE"""),"f")</f>
        <v>f</v>
      </c>
      <c r="G601" s="48" t="str">
        <f ca="1">IFERROR(__xludf.DUMMYFUNCTION("""COMPUTED_VALUE"""),"Leasowe (Lighthouse pool)")</f>
        <v>Leasowe (Lighthouse pool)</v>
      </c>
      <c r="H601" s="22">
        <f ca="1">IFERROR(__xludf.DUMMYFUNCTION("""COMPUTED_VALUE"""),40323)</f>
        <v>40323</v>
      </c>
      <c r="I601" s="22">
        <f ca="1">IFERROR(__xludf.DUMMYFUNCTION("""COMPUTED_VALUE"""),40323)</f>
        <v>40323</v>
      </c>
      <c r="J601" s="24" t="str">
        <f ca="1">IFERROR(__xludf.DUMMYFUNCTION("""COMPUTED_VALUE"""),"Conlin, A")</f>
        <v>Conlin, A</v>
      </c>
      <c r="K601" s="64" t="str">
        <f ca="1">IFERROR(__xludf.DUMMYFUNCTION("""COMPUTED_VALUE"""),"Michael King, Kenny Dummigan (independantly)")</f>
        <v>Michael King, Kenny Dummigan (independantly)</v>
      </c>
      <c r="L601" s="27" t="str">
        <f ca="1">IFERROR(__xludf.DUMMYFUNCTION("""COMPUTED_VALUE"""),"closed")</f>
        <v>closed</v>
      </c>
      <c r="M601" s="27" t="str">
        <f ca="1">IFERROR(__xludf.DUMMYFUNCTION("""COMPUTED_VALUE"""),"1st U")</f>
        <v>1st U</v>
      </c>
      <c r="N601" s="25" t="str">
        <f ca="1">IFERROR(__xludf.DUMMYFUNCTION("""COMPUTED_VALUE"""),"accepted")</f>
        <v>accepted</v>
      </c>
      <c r="O601" s="6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c r="AM601" s="25"/>
      <c r="AN601" s="25"/>
      <c r="AO601" s="25"/>
      <c r="AP601" s="25"/>
      <c r="AQ601" s="25"/>
      <c r="AR601" s="25"/>
      <c r="AS601" s="25"/>
      <c r="AT601" s="25"/>
      <c r="AU601" s="25"/>
      <c r="AV601" s="25"/>
      <c r="AW601" s="25"/>
      <c r="AX601" s="25"/>
      <c r="AY601" s="25"/>
      <c r="AZ601" s="25"/>
      <c r="BA601" s="25"/>
      <c r="BB601" s="25"/>
      <c r="BC601" s="25"/>
      <c r="BD601" s="25"/>
      <c r="BE601" s="25"/>
      <c r="BF601" s="25"/>
      <c r="BG601" s="25"/>
      <c r="BH601" s="25"/>
      <c r="BI601" s="25"/>
      <c r="BJ601" s="25"/>
      <c r="BK601" s="25"/>
      <c r="BL601" s="25"/>
      <c r="BM601" s="25"/>
      <c r="BN601" s="25"/>
      <c r="BO601" s="25"/>
      <c r="BP601" s="25"/>
      <c r="BQ601" s="25"/>
      <c r="BR601" s="25"/>
      <c r="BS601" s="25"/>
      <c r="BT601" s="25"/>
      <c r="BU601" s="25"/>
      <c r="BV601" s="25"/>
      <c r="BW601" s="25"/>
      <c r="BX601" s="25"/>
      <c r="BY601" s="25"/>
      <c r="BZ601" s="25"/>
      <c r="CA601" s="25"/>
      <c r="CB601" s="25"/>
    </row>
    <row r="602" spans="1:80" ht="13.5" hidden="1" customHeight="1">
      <c r="A602" s="10">
        <f ca="1">IFERROR(__xludf.DUMMYFUNCTION("""COMPUTED_VALUE"""),2010)</f>
        <v>2010</v>
      </c>
      <c r="B602" s="50">
        <f ca="1">IFERROR(__xludf.DUMMYFUNCTION("""COMPUTED_VALUE"""),40819)</f>
        <v>40819</v>
      </c>
      <c r="C602" s="41">
        <f ca="1">IFERROR(__xludf.DUMMYFUNCTION("""COMPUTED_VALUE"""),40775)</f>
        <v>40775</v>
      </c>
      <c r="D602" s="42" t="str">
        <f ca="1">IFERROR(__xludf.DUMMYFUNCTION("""COMPUTED_VALUE"""),"Nightingale")</f>
        <v>Nightingale</v>
      </c>
      <c r="E602" s="53">
        <f ca="1">IFERROR(__xludf.DUMMYFUNCTION("""COMPUTED_VALUE"""),1)</f>
        <v>1</v>
      </c>
      <c r="F602" s="15"/>
      <c r="G602" s="44" t="str">
        <f ca="1">IFERROR(__xludf.DUMMYFUNCTION("""COMPUTED_VALUE"""),"Hilbre")</f>
        <v>Hilbre</v>
      </c>
      <c r="H602" s="12">
        <f ca="1">IFERROR(__xludf.DUMMYFUNCTION("""COMPUTED_VALUE"""),40324)</f>
        <v>40324</v>
      </c>
      <c r="I602" s="12">
        <f ca="1">IFERROR(__xludf.DUMMYFUNCTION("""COMPUTED_VALUE"""),40324)</f>
        <v>40324</v>
      </c>
      <c r="J602" s="14" t="str">
        <f ca="1">IFERROR(__xludf.DUMMYFUNCTION("""COMPUTED_VALUE"""),"HIBO")</f>
        <v>HIBO</v>
      </c>
      <c r="K602" s="15" t="str">
        <f ca="1">IFERROR(__xludf.DUMMYFUNCTION("""COMPUTED_VALUE"""),"Colin Jones")</f>
        <v>Colin Jones</v>
      </c>
      <c r="L602" s="17" t="str">
        <f ca="1">IFERROR(__xludf.DUMMYFUNCTION("""COMPUTED_VALUE"""),"closed")</f>
        <v>closed</v>
      </c>
      <c r="M602" s="17" t="str">
        <f ca="1">IFERROR(__xludf.DUMMYFUNCTION("""COMPUTED_VALUE"""),"1st U")</f>
        <v>1st U</v>
      </c>
      <c r="N602" s="15" t="str">
        <f ca="1">IFERROR(__xludf.DUMMYFUNCTION("""COMPUTED_VALUE"""),"accepted")</f>
        <v>accepted</v>
      </c>
      <c r="O602" s="18" t="str">
        <f ca="1">IFERROR(__xludf.DUMMYFUNCTION("""COMPUTED_VALUE"""),"second for the Island - 1st was 15th may 1979")</f>
        <v>second for the Island - 1st was 15th may 1979</v>
      </c>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row>
    <row r="603" spans="1:80" ht="13.5" hidden="1" customHeight="1">
      <c r="A603" s="20">
        <f ca="1">IFERROR(__xludf.DUMMYFUNCTION("""COMPUTED_VALUE"""),2010)</f>
        <v>2010</v>
      </c>
      <c r="B603" s="45">
        <f ca="1">IFERROR(__xludf.DUMMYFUNCTION("""COMPUTED_VALUE"""),40336)</f>
        <v>40336</v>
      </c>
      <c r="C603" s="46">
        <f ca="1">IFERROR(__xludf.DUMMYFUNCTION("""COMPUTED_VALUE"""),40245)</f>
        <v>40245</v>
      </c>
      <c r="D603" s="47" t="str">
        <f ca="1">IFERROR(__xludf.DUMMYFUNCTION("""COMPUTED_VALUE"""),"Black Redstart")</f>
        <v>Black Redstart</v>
      </c>
      <c r="E603" s="52">
        <f ca="1">IFERROR(__xludf.DUMMYFUNCTION("""COMPUTED_VALUE"""),1)</f>
        <v>1</v>
      </c>
      <c r="F603" s="25" t="str">
        <f ca="1">IFERROR(__xludf.DUMMYFUNCTION("""COMPUTED_VALUE"""),"ad")</f>
        <v>ad</v>
      </c>
      <c r="G603" s="48" t="str">
        <f ca="1">IFERROR(__xludf.DUMMYFUNCTION("""COMPUTED_VALUE"""),"Cloughwood School")</f>
        <v>Cloughwood School</v>
      </c>
      <c r="H603" s="22">
        <f ca="1">IFERROR(__xludf.DUMMYFUNCTION("""COMPUTED_VALUE"""),40219)</f>
        <v>40219</v>
      </c>
      <c r="I603" s="22"/>
      <c r="J603" s="24" t="str">
        <f ca="1">IFERROR(__xludf.DUMMYFUNCTION("""COMPUTED_VALUE"""),"Booth,G")</f>
        <v>Booth,G</v>
      </c>
      <c r="K603" s="64" t="str">
        <f ca="1">IFERROR(__xludf.DUMMYFUNCTION("""COMPUTED_VALUE"""),"Booth,G")</f>
        <v>Booth,G</v>
      </c>
      <c r="L603" s="27" t="str">
        <f ca="1">IFERROR(__xludf.DUMMYFUNCTION("""COMPUTED_VALUE"""),"closed")</f>
        <v>closed</v>
      </c>
      <c r="M603" s="27" t="str">
        <f ca="1">IFERROR(__xludf.DUMMYFUNCTION("""COMPUTED_VALUE"""),"1st U")</f>
        <v>1st U</v>
      </c>
      <c r="N603" s="25" t="str">
        <f ca="1">IFERROR(__xludf.DUMMYFUNCTION("""COMPUTED_VALUE"""),"accepted")</f>
        <v>accepted</v>
      </c>
      <c r="O603" s="6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c r="AQ603" s="25"/>
      <c r="AR603" s="25"/>
      <c r="AS603" s="25"/>
      <c r="AT603" s="25"/>
      <c r="AU603" s="25"/>
      <c r="AV603" s="25"/>
      <c r="AW603" s="25"/>
      <c r="AX603" s="25"/>
      <c r="AY603" s="25"/>
      <c r="AZ603" s="25"/>
      <c r="BA603" s="25"/>
      <c r="BB603" s="25"/>
      <c r="BC603" s="25"/>
      <c r="BD603" s="25"/>
      <c r="BE603" s="25"/>
      <c r="BF603" s="25"/>
      <c r="BG603" s="25"/>
      <c r="BH603" s="25"/>
      <c r="BI603" s="25"/>
      <c r="BJ603" s="25"/>
      <c r="BK603" s="25"/>
      <c r="BL603" s="25"/>
      <c r="BM603" s="25"/>
      <c r="BN603" s="25"/>
      <c r="BO603" s="25"/>
      <c r="BP603" s="25"/>
      <c r="BQ603" s="25"/>
      <c r="BR603" s="25"/>
      <c r="BS603" s="25"/>
      <c r="BT603" s="25"/>
      <c r="BU603" s="25"/>
      <c r="BV603" s="25"/>
      <c r="BW603" s="25"/>
      <c r="BX603" s="25"/>
      <c r="BY603" s="25"/>
      <c r="BZ603" s="25"/>
      <c r="CA603" s="25"/>
      <c r="CB603" s="25"/>
    </row>
    <row r="604" spans="1:80" ht="13.5" hidden="1" customHeight="1">
      <c r="A604" s="10">
        <f ca="1">IFERROR(__xludf.DUMMYFUNCTION("""COMPUTED_VALUE"""),2010)</f>
        <v>2010</v>
      </c>
      <c r="B604" s="50">
        <f ca="1">IFERROR(__xludf.DUMMYFUNCTION("""COMPUTED_VALUE"""),40606)</f>
        <v>40606</v>
      </c>
      <c r="C604" s="41">
        <f ca="1">IFERROR(__xludf.DUMMYFUNCTION("""COMPUTED_VALUE"""),40336)</f>
        <v>40336</v>
      </c>
      <c r="D604" s="42" t="str">
        <f ca="1">IFERROR(__xludf.DUMMYFUNCTION("""COMPUTED_VALUE"""),"Black Redstart")</f>
        <v>Black Redstart</v>
      </c>
      <c r="E604" s="53">
        <f ca="1">IFERROR(__xludf.DUMMYFUNCTION("""COMPUTED_VALUE"""),1)</f>
        <v>1</v>
      </c>
      <c r="F604" s="15" t="str">
        <f ca="1">IFERROR(__xludf.DUMMYFUNCTION("""COMPUTED_VALUE"""),"m")</f>
        <v>m</v>
      </c>
      <c r="G604" s="44" t="str">
        <f ca="1">IFERROR(__xludf.DUMMYFUNCTION("""COMPUTED_VALUE"""),"Marbury Country Park")</f>
        <v>Marbury Country Park</v>
      </c>
      <c r="H604" s="12">
        <f ca="1">IFERROR(__xludf.DUMMYFUNCTION("""COMPUTED_VALUE"""),40264)</f>
        <v>40264</v>
      </c>
      <c r="I604" s="12"/>
      <c r="J604" s="14" t="str">
        <f ca="1">IFERROR(__xludf.DUMMYFUNCTION("""COMPUTED_VALUE"""),"Gregory, J")</f>
        <v>Gregory, J</v>
      </c>
      <c r="K604" s="43" t="str">
        <f ca="1">IFERROR(__xludf.DUMMYFUNCTION("""COMPUTED_VALUE"""),"unknown")</f>
        <v>unknown</v>
      </c>
      <c r="L604" s="17" t="str">
        <f ca="1">IFERROR(__xludf.DUMMYFUNCTION("""COMPUTED_VALUE"""),"closed")</f>
        <v>closed</v>
      </c>
      <c r="M604" s="17" t="str">
        <f ca="1">IFERROR(__xludf.DUMMYFUNCTION("""COMPUTED_VALUE"""),"1st U")</f>
        <v>1st U</v>
      </c>
      <c r="N604" s="15" t="str">
        <f ca="1">IFERROR(__xludf.DUMMYFUNCTION("""COMPUTED_VALUE"""),"accepted")</f>
        <v>accepted</v>
      </c>
      <c r="O604" s="66"/>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row>
    <row r="605" spans="1:80" ht="13.5" hidden="1" customHeight="1">
      <c r="A605" s="20">
        <f ca="1">IFERROR(__xludf.DUMMYFUNCTION("""COMPUTED_VALUE"""),2010)</f>
        <v>2010</v>
      </c>
      <c r="B605" s="45">
        <f ca="1">IFERROR(__xludf.DUMMYFUNCTION("""COMPUTED_VALUE"""),40220)</f>
        <v>40220</v>
      </c>
      <c r="C605" s="46">
        <f ca="1">IFERROR(__xludf.DUMMYFUNCTION("""COMPUTED_VALUE"""),40581)</f>
        <v>40581</v>
      </c>
      <c r="D605" s="47" t="str">
        <f ca="1">IFERROR(__xludf.DUMMYFUNCTION("""COMPUTED_VALUE"""),"Black Redstart")</f>
        <v>Black Redstart</v>
      </c>
      <c r="E605" s="52">
        <f ca="1">IFERROR(__xludf.DUMMYFUNCTION("""COMPUTED_VALUE"""),1)</f>
        <v>1</v>
      </c>
      <c r="F605" s="25" t="str">
        <f ca="1">IFERROR(__xludf.DUMMYFUNCTION("""COMPUTED_VALUE"""),"f")</f>
        <v>f</v>
      </c>
      <c r="G605" s="48" t="str">
        <f ca="1">IFERROR(__xludf.DUMMYFUNCTION("""COMPUTED_VALUE"""),"Arclid Sand Quarry")</f>
        <v>Arclid Sand Quarry</v>
      </c>
      <c r="H605" s="22">
        <f ca="1">IFERROR(__xludf.DUMMYFUNCTION("""COMPUTED_VALUE"""),40258)</f>
        <v>40258</v>
      </c>
      <c r="I605" s="22">
        <f ca="1">IFERROR(__xludf.DUMMYFUNCTION("""COMPUTED_VALUE"""),40258)</f>
        <v>40258</v>
      </c>
      <c r="J605" s="24" t="str">
        <f ca="1">IFERROR(__xludf.DUMMYFUNCTION("""COMPUTED_VALUE"""),"Atherton, P")</f>
        <v>Atherton, P</v>
      </c>
      <c r="K605" s="25" t="str">
        <f ca="1">IFERROR(__xludf.DUMMYFUNCTION("""COMPUTED_VALUE"""),"Atherton, P")</f>
        <v>Atherton, P</v>
      </c>
      <c r="L605" s="27" t="str">
        <f ca="1">IFERROR(__xludf.DUMMYFUNCTION("""COMPUTED_VALUE"""),"closed")</f>
        <v>closed</v>
      </c>
      <c r="M605" s="27" t="str">
        <f ca="1">IFERROR(__xludf.DUMMYFUNCTION("""COMPUTED_VALUE"""),"1st U")</f>
        <v>1st U</v>
      </c>
      <c r="N605" s="25" t="str">
        <f ca="1">IFERROR(__xludf.DUMMYFUNCTION("""COMPUTED_VALUE"""),"accepted")</f>
        <v>accepted</v>
      </c>
      <c r="O605" s="28"/>
      <c r="P605" s="25"/>
      <c r="Q605" s="25"/>
      <c r="R605" s="25"/>
      <c r="S605" s="40"/>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c r="AQ605" s="25"/>
      <c r="AR605" s="25"/>
      <c r="AS605" s="25"/>
      <c r="AT605" s="25"/>
      <c r="AU605" s="25"/>
      <c r="AV605" s="25"/>
      <c r="AW605" s="25"/>
      <c r="AX605" s="25"/>
      <c r="AY605" s="25"/>
      <c r="AZ605" s="25"/>
      <c r="BA605" s="25"/>
      <c r="BB605" s="25"/>
      <c r="BC605" s="25"/>
      <c r="BD605" s="25"/>
      <c r="BE605" s="25"/>
      <c r="BF605" s="25"/>
      <c r="BG605" s="25"/>
      <c r="BH605" s="25"/>
      <c r="BI605" s="25"/>
      <c r="BJ605" s="25"/>
      <c r="BK605" s="25"/>
      <c r="BL605" s="25"/>
      <c r="BM605" s="25"/>
      <c r="BN605" s="25"/>
      <c r="BO605" s="25"/>
      <c r="BP605" s="25"/>
      <c r="BQ605" s="25"/>
      <c r="BR605" s="25"/>
      <c r="BS605" s="25"/>
      <c r="BT605" s="25"/>
      <c r="BU605" s="25"/>
      <c r="BV605" s="25"/>
      <c r="BW605" s="25"/>
      <c r="BX605" s="25"/>
      <c r="BY605" s="25"/>
      <c r="BZ605" s="25"/>
      <c r="CA605" s="25"/>
      <c r="CB605" s="25"/>
    </row>
    <row r="606" spans="1:80" ht="13.5" hidden="1" customHeight="1">
      <c r="A606" s="10">
        <f ca="1">IFERROR(__xludf.DUMMYFUNCTION("""COMPUTED_VALUE"""),2010)</f>
        <v>2010</v>
      </c>
      <c r="B606" s="50">
        <f ca="1">IFERROR(__xludf.DUMMYFUNCTION("""COMPUTED_VALUE"""),40239)</f>
        <v>40239</v>
      </c>
      <c r="C606" s="41">
        <f ca="1">IFERROR(__xludf.DUMMYFUNCTION("""COMPUTED_VALUE"""),40205)</f>
        <v>40205</v>
      </c>
      <c r="D606" s="42" t="str">
        <f ca="1">IFERROR(__xludf.DUMMYFUNCTION("""COMPUTED_VALUE"""),"Richard's Pipit")</f>
        <v>Richard's Pipit</v>
      </c>
      <c r="E606" s="53">
        <f ca="1">IFERROR(__xludf.DUMMYFUNCTION("""COMPUTED_VALUE"""),1)</f>
        <v>1</v>
      </c>
      <c r="F606" s="15" t="str">
        <f ca="1">IFERROR(__xludf.DUMMYFUNCTION("""COMPUTED_VALUE"""),"1st W")</f>
        <v>1st W</v>
      </c>
      <c r="G606" s="44" t="str">
        <f ca="1">IFERROR(__xludf.DUMMYFUNCTION("""COMPUTED_VALUE"""),"Little Neston (opposite harp Inn)")</f>
        <v>Little Neston (opposite harp Inn)</v>
      </c>
      <c r="H606" s="12">
        <f ca="1">IFERROR(__xludf.DUMMYFUNCTION("""COMPUTED_VALUE"""),40181)</f>
        <v>40181</v>
      </c>
      <c r="I606" s="12"/>
      <c r="J606" s="14" t="str">
        <f ca="1">IFERROR(__xludf.DUMMYFUNCTION("""COMPUTED_VALUE"""),"Woollen, P")</f>
        <v>Woollen, P</v>
      </c>
      <c r="K606" s="15" t="str">
        <f ca="1">IFERROR(__xludf.DUMMYFUNCTION("""COMPUTED_VALUE"""),"Paul Vautrinot")</f>
        <v>Paul Vautrinot</v>
      </c>
      <c r="L606" s="17" t="str">
        <f ca="1">IFERROR(__xludf.DUMMYFUNCTION("""COMPUTED_VALUE"""),"closed")</f>
        <v>closed</v>
      </c>
      <c r="M606" s="17" t="str">
        <f ca="1">IFERROR(__xludf.DUMMYFUNCTION("""COMPUTED_VALUE"""),"1st U")</f>
        <v>1st U</v>
      </c>
      <c r="N606" s="15" t="str">
        <f ca="1">IFERROR(__xludf.DUMMYFUNCTION("""COMPUTED_VALUE"""),"accepted")</f>
        <v>accepted</v>
      </c>
      <c r="O606" s="18"/>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row>
    <row r="607" spans="1:80" ht="13.5" hidden="1" customHeight="1">
      <c r="A607" s="20">
        <f ca="1">IFERROR(__xludf.DUMMYFUNCTION("""COMPUTED_VALUE"""),2010)</f>
        <v>2010</v>
      </c>
      <c r="B607" s="45">
        <f ca="1">IFERROR(__xludf.DUMMYFUNCTION("""COMPUTED_VALUE"""),41150)</f>
        <v>41150</v>
      </c>
      <c r="C607" s="46">
        <f ca="1">IFERROR(__xludf.DUMMYFUNCTION("""COMPUTED_VALUE"""),41150)</f>
        <v>41150</v>
      </c>
      <c r="D607" s="47" t="str">
        <f ca="1">IFERROR(__xludf.DUMMYFUNCTION("""COMPUTED_VALUE"""),"Richard's Pipit")</f>
        <v>Richard's Pipit</v>
      </c>
      <c r="E607" s="52">
        <f ca="1">IFERROR(__xludf.DUMMYFUNCTION("""COMPUTED_VALUE"""),1)</f>
        <v>1</v>
      </c>
      <c r="F607" s="25"/>
      <c r="G607" s="48" t="str">
        <f ca="1">IFERROR(__xludf.DUMMYFUNCTION("""COMPUTED_VALUE"""),"Red Rocks, Hoylake")</f>
        <v>Red Rocks, Hoylake</v>
      </c>
      <c r="H607" s="22">
        <f ca="1">IFERROR(__xludf.DUMMYFUNCTION("""COMPUTED_VALUE"""),40466)</f>
        <v>40466</v>
      </c>
      <c r="I607" s="22"/>
      <c r="J607" s="67" t="str">
        <f ca="1">IFERROR(__xludf.DUMMYFUNCTION("""COMPUTED_VALUE"""),"Turner, JE  &amp; Steve Parry")</f>
        <v>Turner, JE  &amp; Steve Parry</v>
      </c>
      <c r="K607" s="64" t="str">
        <f ca="1">IFERROR(__xludf.DUMMYFUNCTION("""COMPUTED_VALUE"""),"Turner, JE  &amp; Steve Parry")</f>
        <v>Turner, JE  &amp; Steve Parry</v>
      </c>
      <c r="L607" s="27" t="str">
        <f ca="1">IFERROR(__xludf.DUMMYFUNCTION("""COMPUTED_VALUE"""),"closed")</f>
        <v>closed</v>
      </c>
      <c r="M607" s="27" t="str">
        <f ca="1">IFERROR(__xludf.DUMMYFUNCTION("""COMPUTED_VALUE"""),"1st U")</f>
        <v>1st U</v>
      </c>
      <c r="N607" s="25" t="str">
        <f ca="1">IFERROR(__xludf.DUMMYFUNCTION("""COMPUTED_VALUE"""),"accepted")</f>
        <v>accepted</v>
      </c>
      <c r="O607" s="6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c r="AQ607" s="25"/>
      <c r="AR607" s="25"/>
      <c r="AS607" s="25"/>
      <c r="AT607" s="25"/>
      <c r="AU607" s="25"/>
      <c r="AV607" s="25"/>
      <c r="AW607" s="25"/>
      <c r="AX607" s="25"/>
      <c r="AY607" s="25"/>
      <c r="AZ607" s="25"/>
      <c r="BA607" s="25"/>
      <c r="BB607" s="25"/>
      <c r="BC607" s="25"/>
      <c r="BD607" s="25"/>
      <c r="BE607" s="25"/>
      <c r="BF607" s="25"/>
      <c r="BG607" s="25"/>
      <c r="BH607" s="25"/>
      <c r="BI607" s="25"/>
      <c r="BJ607" s="25"/>
      <c r="BK607" s="25"/>
      <c r="BL607" s="25"/>
      <c r="BM607" s="25"/>
      <c r="BN607" s="25"/>
      <c r="BO607" s="25"/>
      <c r="BP607" s="25"/>
      <c r="BQ607" s="25"/>
      <c r="BR607" s="25"/>
      <c r="BS607" s="25"/>
      <c r="BT607" s="25"/>
      <c r="BU607" s="25"/>
      <c r="BV607" s="25"/>
      <c r="BW607" s="25"/>
      <c r="BX607" s="25"/>
      <c r="BY607" s="25"/>
      <c r="BZ607" s="25"/>
      <c r="CA607" s="25"/>
      <c r="CB607" s="25"/>
    </row>
    <row r="608" spans="1:80" ht="13.5" hidden="1" customHeight="1">
      <c r="A608" s="10">
        <f ca="1">IFERROR(__xludf.DUMMYFUNCTION("""COMPUTED_VALUE"""),2010)</f>
        <v>2010</v>
      </c>
      <c r="B608" s="50">
        <f ca="1">IFERROR(__xludf.DUMMYFUNCTION("""COMPUTED_VALUE"""),40773)</f>
        <v>40773</v>
      </c>
      <c r="C608" s="41">
        <f ca="1">IFERROR(__xludf.DUMMYFUNCTION("""COMPUTED_VALUE"""),40595)</f>
        <v>40595</v>
      </c>
      <c r="D608" s="42" t="str">
        <f ca="1">IFERROR(__xludf.DUMMYFUNCTION("""COMPUTED_VALUE"""),"Rock Pipit [Scandinavian]")</f>
        <v>Rock Pipit [Scandinavian]</v>
      </c>
      <c r="E608" s="53">
        <f ca="1">IFERROR(__xludf.DUMMYFUNCTION("""COMPUTED_VALUE"""),3)</f>
        <v>3</v>
      </c>
      <c r="F608" s="15" t="str">
        <f ca="1">IFERROR(__xludf.DUMMYFUNCTION("""COMPUTED_VALUE"""),"up to 35")</f>
        <v>up to 35</v>
      </c>
      <c r="G608" s="44" t="str">
        <f ca="1">IFERROR(__xludf.DUMMYFUNCTION("""COMPUTED_VALUE"""),"Neston (The Harp)")</f>
        <v>Neston (The Harp)</v>
      </c>
      <c r="H608" s="12">
        <f ca="1">IFERROR(__xludf.DUMMYFUNCTION("""COMPUTED_VALUE"""),40239)</f>
        <v>40239</v>
      </c>
      <c r="I608" s="12"/>
      <c r="J608" s="68" t="str">
        <f ca="1">IFERROR(__xludf.DUMMYFUNCTION("""COMPUTED_VALUE"""),"Turner, JE")</f>
        <v>Turner, JE</v>
      </c>
      <c r="K608" s="43" t="str">
        <f ca="1">IFERROR(__xludf.DUMMYFUNCTION("""COMPUTED_VALUE"""),"Turner, JE")</f>
        <v>Turner, JE</v>
      </c>
      <c r="L608" s="17" t="str">
        <f ca="1">IFERROR(__xludf.DUMMYFUNCTION("""COMPUTED_VALUE"""),"closed")</f>
        <v>closed</v>
      </c>
      <c r="M608" s="17" t="str">
        <f ca="1">IFERROR(__xludf.DUMMYFUNCTION("""COMPUTED_VALUE"""),"1st U")</f>
        <v>1st U</v>
      </c>
      <c r="N608" s="15" t="str">
        <f ca="1">IFERROR(__xludf.DUMMYFUNCTION("""COMPUTED_VALUE"""),"Accepted")</f>
        <v>Accepted</v>
      </c>
      <c r="O608" s="66" t="str">
        <f ca="1">IFERROR(__xludf.DUMMYFUNCTION("""COMPUTED_VALUE"""),"Three proven, probably more (up to 35)")</f>
        <v>Three proven, probably more (up to 35)</v>
      </c>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row>
    <row r="609" spans="1:80" ht="13.5" hidden="1" customHeight="1">
      <c r="A609" s="20">
        <f ca="1">IFERROR(__xludf.DUMMYFUNCTION("""COMPUTED_VALUE"""),2010)</f>
        <v>2010</v>
      </c>
      <c r="B609" s="45">
        <f ca="1">IFERROR(__xludf.DUMMYFUNCTION("""COMPUTED_VALUE"""),40790)</f>
        <v>40790</v>
      </c>
      <c r="C609" s="46">
        <f ca="1">IFERROR(__xludf.DUMMYFUNCTION("""COMPUTED_VALUE"""),40592)</f>
        <v>40592</v>
      </c>
      <c r="D609" s="47" t="str">
        <f ca="1">IFERROR(__xludf.DUMMYFUNCTION("""COMPUTED_VALUE"""),"Rock Pipit [Scandinavian]")</f>
        <v>Rock Pipit [Scandinavian]</v>
      </c>
      <c r="E609" s="52">
        <f ca="1">IFERROR(__xludf.DUMMYFUNCTION("""COMPUTED_VALUE"""),1)</f>
        <v>1</v>
      </c>
      <c r="F609" s="25"/>
      <c r="G609" s="48" t="str">
        <f ca="1">IFERROR(__xludf.DUMMYFUNCTION("""COMPUTED_VALUE"""),"Parkgate")</f>
        <v>Parkgate</v>
      </c>
      <c r="H609" s="22">
        <f ca="1">IFERROR(__xludf.DUMMYFUNCTION("""COMPUTED_VALUE"""),40211)</f>
        <v>40211</v>
      </c>
      <c r="I609" s="22"/>
      <c r="J609" s="24" t="str">
        <f ca="1">IFERROR(__xludf.DUMMYFUNCTION("""COMPUTED_VALUE"""),"Astley, S")</f>
        <v>Astley, S</v>
      </c>
      <c r="K609" s="25" t="str">
        <f ca="1">IFERROR(__xludf.DUMMYFUNCTION("""COMPUTED_VALUE"""),"Astley, S")</f>
        <v>Astley, S</v>
      </c>
      <c r="L609" s="27" t="str">
        <f ca="1">IFERROR(__xludf.DUMMYFUNCTION("""COMPUTED_VALUE"""),"closed")</f>
        <v>closed</v>
      </c>
      <c r="M609" s="27" t="str">
        <f ca="1">IFERROR(__xludf.DUMMYFUNCTION("""COMPUTED_VALUE"""),"1st M")</f>
        <v>1st M</v>
      </c>
      <c r="N609" s="25" t="str">
        <f ca="1">IFERROR(__xludf.DUMMYFUNCTION("""COMPUTED_VALUE"""),"accepted")</f>
        <v>accepted</v>
      </c>
      <c r="O609" s="28" t="str">
        <f ca="1">IFERROR(__xludf.DUMMYFUNCTION("""COMPUTED_VALUE"""),"reported as a Water Pipit at the time")</f>
        <v>reported as a Water Pipit at the time</v>
      </c>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c r="AQ609" s="25"/>
      <c r="AR609" s="25"/>
      <c r="AS609" s="25"/>
      <c r="AT609" s="25"/>
      <c r="AU609" s="25"/>
      <c r="AV609" s="25"/>
      <c r="AW609" s="25"/>
      <c r="AX609" s="25"/>
      <c r="AY609" s="25"/>
      <c r="AZ609" s="25"/>
      <c r="BA609" s="25"/>
      <c r="BB609" s="25"/>
      <c r="BC609" s="25"/>
      <c r="BD609" s="25"/>
      <c r="BE609" s="25"/>
      <c r="BF609" s="25"/>
      <c r="BG609" s="25"/>
      <c r="BH609" s="25"/>
      <c r="BI609" s="25"/>
      <c r="BJ609" s="25"/>
      <c r="BK609" s="25"/>
      <c r="BL609" s="25"/>
      <c r="BM609" s="25"/>
      <c r="BN609" s="25"/>
      <c r="BO609" s="25"/>
      <c r="BP609" s="25"/>
      <c r="BQ609" s="25"/>
      <c r="BR609" s="25"/>
      <c r="BS609" s="25"/>
      <c r="BT609" s="25"/>
      <c r="BU609" s="25"/>
      <c r="BV609" s="25"/>
      <c r="BW609" s="25"/>
      <c r="BX609" s="25"/>
      <c r="BY609" s="25"/>
      <c r="BZ609" s="25"/>
      <c r="CA609" s="25"/>
      <c r="CB609" s="25"/>
    </row>
    <row r="610" spans="1:80" ht="13.5" hidden="1" customHeight="1">
      <c r="A610" s="10">
        <f ca="1">IFERROR(__xludf.DUMMYFUNCTION("""COMPUTED_VALUE"""),2010)</f>
        <v>2010</v>
      </c>
      <c r="B610" s="50">
        <f ca="1">IFERROR(__xludf.DUMMYFUNCTION("""COMPUTED_VALUE"""),40773)</f>
        <v>40773</v>
      </c>
      <c r="C610" s="41">
        <f ca="1">IFERROR(__xludf.DUMMYFUNCTION("""COMPUTED_VALUE"""),40605)</f>
        <v>40605</v>
      </c>
      <c r="D610" s="42" t="str">
        <f ca="1">IFERROR(__xludf.DUMMYFUNCTION("""COMPUTED_VALUE"""),"Hawfinch")</f>
        <v>Hawfinch</v>
      </c>
      <c r="E610" s="53">
        <f ca="1">IFERROR(__xludf.DUMMYFUNCTION("""COMPUTED_VALUE"""),2)</f>
        <v>2</v>
      </c>
      <c r="F610" s="15"/>
      <c r="G610" s="44" t="str">
        <f ca="1">IFERROR(__xludf.DUMMYFUNCTION("""COMPUTED_VALUE"""),"Hale Shore (Hale)")</f>
        <v>Hale Shore (Hale)</v>
      </c>
      <c r="H610" s="12">
        <f ca="1">IFERROR(__xludf.DUMMYFUNCTION("""COMPUTED_VALUE"""),40502)</f>
        <v>40502</v>
      </c>
      <c r="I610" s="12"/>
      <c r="J610" s="14" t="str">
        <f ca="1">IFERROR(__xludf.DUMMYFUNCTION("""COMPUTED_VALUE"""),"Cockbain, RP&amp;CA")</f>
        <v>Cockbain, RP&amp;CA</v>
      </c>
      <c r="K610" s="15" t="str">
        <f ca="1">IFERROR(__xludf.DUMMYFUNCTION("""COMPUTED_VALUE"""),"Cockbain, RP&amp;CA")</f>
        <v>Cockbain, RP&amp;CA</v>
      </c>
      <c r="L610" s="17" t="str">
        <f ca="1">IFERROR(__xludf.DUMMYFUNCTION("""COMPUTED_VALUE"""),"closed")</f>
        <v>closed</v>
      </c>
      <c r="M610" s="17" t="str">
        <f ca="1">IFERROR(__xludf.DUMMYFUNCTION("""COMPUTED_VALUE"""),"1st U")</f>
        <v>1st U</v>
      </c>
      <c r="N610" s="15" t="str">
        <f ca="1">IFERROR(__xludf.DUMMYFUNCTION("""COMPUTED_VALUE"""),"accepted")</f>
        <v>accepted</v>
      </c>
      <c r="O610" s="18"/>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row>
    <row r="611" spans="1:80" ht="13.5" hidden="1" customHeight="1">
      <c r="A611" s="20">
        <f ca="1">IFERROR(__xludf.DUMMYFUNCTION("""COMPUTED_VALUE"""),2010)</f>
        <v>2010</v>
      </c>
      <c r="B611" s="45">
        <f ca="1">IFERROR(__xludf.DUMMYFUNCTION("""COMPUTED_VALUE"""),40773)</f>
        <v>40773</v>
      </c>
      <c r="C611" s="46">
        <f ca="1">IFERROR(__xludf.DUMMYFUNCTION("""COMPUTED_VALUE"""),40612)</f>
        <v>40612</v>
      </c>
      <c r="D611" s="47" t="str">
        <f ca="1">IFERROR(__xludf.DUMMYFUNCTION("""COMPUTED_VALUE"""),"Hawfinch")</f>
        <v>Hawfinch</v>
      </c>
      <c r="E611" s="52">
        <f ca="1">IFERROR(__xludf.DUMMYFUNCTION("""COMPUTED_VALUE"""),2)</f>
        <v>2</v>
      </c>
      <c r="F611" s="25"/>
      <c r="G611" s="48" t="str">
        <f ca="1">IFERROR(__xludf.DUMMYFUNCTION("""COMPUTED_VALUE"""),"Dawpool NR")</f>
        <v>Dawpool NR</v>
      </c>
      <c r="H611" s="22">
        <f ca="1">IFERROR(__xludf.DUMMYFUNCTION("""COMPUTED_VALUE"""),40489)</f>
        <v>40489</v>
      </c>
      <c r="I611" s="23"/>
      <c r="J611" s="24" t="str">
        <f ca="1">IFERROR(__xludf.DUMMYFUNCTION("""COMPUTED_VALUE"""),"Hinde, S")</f>
        <v>Hinde, S</v>
      </c>
      <c r="K611" s="25" t="str">
        <f ca="1">IFERROR(__xludf.DUMMYFUNCTION("""COMPUTED_VALUE"""),"Hinde, S")</f>
        <v>Hinde, S</v>
      </c>
      <c r="L611" s="27" t="str">
        <f ca="1">IFERROR(__xludf.DUMMYFUNCTION("""COMPUTED_VALUE"""),"closed")</f>
        <v>closed</v>
      </c>
      <c r="M611" s="27"/>
      <c r="N611" s="25" t="str">
        <f ca="1">IFERROR(__xludf.DUMMYFUNCTION("""COMPUTED_VALUE"""),"accepted")</f>
        <v>accepted</v>
      </c>
      <c r="O611" s="28"/>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c r="AQ611" s="25"/>
      <c r="AR611" s="25"/>
      <c r="AS611" s="25"/>
      <c r="AT611" s="25"/>
      <c r="AU611" s="25"/>
      <c r="AV611" s="25"/>
      <c r="AW611" s="25"/>
      <c r="AX611" s="25"/>
      <c r="AY611" s="25"/>
      <c r="AZ611" s="25"/>
      <c r="BA611" s="25"/>
      <c r="BB611" s="25"/>
      <c r="BC611" s="25"/>
      <c r="BD611" s="25"/>
      <c r="BE611" s="25"/>
      <c r="BF611" s="25"/>
      <c r="BG611" s="25"/>
      <c r="BH611" s="25"/>
      <c r="BI611" s="25"/>
      <c r="BJ611" s="25"/>
      <c r="BK611" s="25"/>
      <c r="BL611" s="25"/>
      <c r="BM611" s="25"/>
      <c r="BN611" s="25"/>
      <c r="BO611" s="25"/>
      <c r="BP611" s="25"/>
      <c r="BQ611" s="25"/>
      <c r="BR611" s="25"/>
      <c r="BS611" s="25"/>
      <c r="BT611" s="25"/>
      <c r="BU611" s="25"/>
      <c r="BV611" s="25"/>
      <c r="BW611" s="25"/>
      <c r="BX611" s="25"/>
      <c r="BY611" s="25"/>
      <c r="BZ611" s="25"/>
      <c r="CA611" s="25"/>
      <c r="CB611" s="25"/>
    </row>
    <row r="612" spans="1:80" ht="13.5" hidden="1" customHeight="1">
      <c r="A612" s="10">
        <f ca="1">IFERROR(__xludf.DUMMYFUNCTION("""COMPUTED_VALUE"""),2010)</f>
        <v>2010</v>
      </c>
      <c r="B612" s="50">
        <f ca="1">IFERROR(__xludf.DUMMYFUNCTION("""COMPUTED_VALUE"""),40606)</f>
        <v>40606</v>
      </c>
      <c r="C612" s="41">
        <f ca="1">IFERROR(__xludf.DUMMYFUNCTION("""COMPUTED_VALUE"""),40589)</f>
        <v>40589</v>
      </c>
      <c r="D612" s="42" t="str">
        <f ca="1">IFERROR(__xludf.DUMMYFUNCTION("""COMPUTED_VALUE"""),"Mealy Redpoll")</f>
        <v>Mealy Redpoll</v>
      </c>
      <c r="E612" s="53">
        <f ca="1">IFERROR(__xludf.DUMMYFUNCTION("""COMPUTED_VALUE"""),1)</f>
        <v>1</v>
      </c>
      <c r="F612" s="15" t="str">
        <f ca="1">IFERROR(__xludf.DUMMYFUNCTION("""COMPUTED_VALUE"""),"male")</f>
        <v>male</v>
      </c>
      <c r="G612" s="44" t="str">
        <f ca="1">IFERROR(__xludf.DUMMYFUNCTION("""COMPUTED_VALUE"""),"Poynton  ")</f>
        <v xml:space="preserve">Poynton  </v>
      </c>
      <c r="H612" s="12">
        <f ca="1">IFERROR(__xludf.DUMMYFUNCTION("""COMPUTED_VALUE"""),40533)</f>
        <v>40533</v>
      </c>
      <c r="I612" s="12">
        <f ca="1">IFERROR(__xludf.DUMMYFUNCTION("""COMPUTED_VALUE"""),40637)</f>
        <v>40637</v>
      </c>
      <c r="J612" s="14" t="str">
        <f ca="1">IFERROR(__xludf.DUMMYFUNCTION("""COMPUTED_VALUE"""),"Bancroft, D")</f>
        <v>Bancroft, D</v>
      </c>
      <c r="K612" s="15" t="str">
        <f ca="1">IFERROR(__xludf.DUMMYFUNCTION("""COMPUTED_VALUE"""),"Bancroft, D")</f>
        <v>Bancroft, D</v>
      </c>
      <c r="L612" s="17" t="str">
        <f ca="1">IFERROR(__xludf.DUMMYFUNCTION("""COMPUTED_VALUE"""),"closed")</f>
        <v>closed</v>
      </c>
      <c r="M612" s="17" t="str">
        <f ca="1">IFERROR(__xludf.DUMMYFUNCTION("""COMPUTED_VALUE"""),"1st U")</f>
        <v>1st U</v>
      </c>
      <c r="N612" s="15" t="str">
        <f ca="1">IFERROR(__xludf.DUMMYFUNCTION("""COMPUTED_VALUE"""),"accepted")</f>
        <v>accepted</v>
      </c>
      <c r="O612" s="18" t="str">
        <f ca="1">IFERROR(__xludf.DUMMYFUNCTION("""COMPUTED_VALUE"""),"Photographed")</f>
        <v>Photographed</v>
      </c>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row>
    <row r="613" spans="1:80" ht="13.5" hidden="1" customHeight="1">
      <c r="A613" s="20">
        <f ca="1">IFERROR(__xludf.DUMMYFUNCTION("""COMPUTED_VALUE"""),2010)</f>
        <v>2010</v>
      </c>
      <c r="B613" s="45">
        <f ca="1">IFERROR(__xludf.DUMMYFUNCTION("""COMPUTED_VALUE"""),40773)</f>
        <v>40773</v>
      </c>
      <c r="C613" s="46">
        <f ca="1">IFERROR(__xludf.DUMMYFUNCTION("""COMPUTED_VALUE"""),40615)</f>
        <v>40615</v>
      </c>
      <c r="D613" s="47" t="str">
        <f ca="1">IFERROR(__xludf.DUMMYFUNCTION("""COMPUTED_VALUE"""),"Mealy Redpoll")</f>
        <v>Mealy Redpoll</v>
      </c>
      <c r="E613" s="52">
        <f ca="1">IFERROR(__xludf.DUMMYFUNCTION("""COMPUTED_VALUE"""),1)</f>
        <v>1</v>
      </c>
      <c r="F613" s="25" t="str">
        <f ca="1">IFERROR(__xludf.DUMMYFUNCTION("""COMPUTED_VALUE"""),"m + 1")</f>
        <v>m + 1</v>
      </c>
      <c r="G613" s="48" t="str">
        <f ca="1">IFERROR(__xludf.DUMMYFUNCTION("""COMPUTED_VALUE"""),"Red Rocks, Hoylake")</f>
        <v>Red Rocks, Hoylake</v>
      </c>
      <c r="H613" s="22">
        <f ca="1">IFERROR(__xludf.DUMMYFUNCTION("""COMPUTED_VALUE"""),40285)</f>
        <v>40285</v>
      </c>
      <c r="I613" s="22"/>
      <c r="J613" s="67" t="str">
        <f ca="1">IFERROR(__xludf.DUMMYFUNCTION("""COMPUTED_VALUE"""),"Turner, JE")</f>
        <v>Turner, JE</v>
      </c>
      <c r="K613" s="64" t="str">
        <f ca="1">IFERROR(__xludf.DUMMYFUNCTION("""COMPUTED_VALUE"""),"Turner, JE")</f>
        <v>Turner, JE</v>
      </c>
      <c r="L613" s="27" t="str">
        <f ca="1">IFERROR(__xludf.DUMMYFUNCTION("""COMPUTED_VALUE"""),"closed")</f>
        <v>closed</v>
      </c>
      <c r="M613" s="27" t="str">
        <f ca="1">IFERROR(__xludf.DUMMYFUNCTION("""COMPUTED_VALUE"""),"1st U")</f>
        <v>1st U</v>
      </c>
      <c r="N613" s="25" t="str">
        <f ca="1">IFERROR(__xludf.DUMMYFUNCTION("""COMPUTED_VALUE"""),"accepted")</f>
        <v>accepted</v>
      </c>
      <c r="O613" s="65" t="str">
        <f ca="1">IFERROR(__xludf.DUMMYFUNCTION("""COMPUTED_VALUE"""),"probably two birds")</f>
        <v>probably two birds</v>
      </c>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c r="AQ613" s="25"/>
      <c r="AR613" s="25"/>
      <c r="AS613" s="25"/>
      <c r="AT613" s="25"/>
      <c r="AU613" s="25"/>
      <c r="AV613" s="25"/>
      <c r="AW613" s="25"/>
      <c r="AX613" s="25"/>
      <c r="AY613" s="25"/>
      <c r="AZ613" s="25"/>
      <c r="BA613" s="25"/>
      <c r="BB613" s="25"/>
      <c r="BC613" s="25"/>
      <c r="BD613" s="25"/>
      <c r="BE613" s="25"/>
      <c r="BF613" s="25"/>
      <c r="BG613" s="25"/>
      <c r="BH613" s="25"/>
      <c r="BI613" s="25"/>
      <c r="BJ613" s="25"/>
      <c r="BK613" s="25"/>
      <c r="BL613" s="25"/>
      <c r="BM613" s="25"/>
      <c r="BN613" s="25"/>
      <c r="BO613" s="25"/>
      <c r="BP613" s="25"/>
      <c r="BQ613" s="25"/>
      <c r="BR613" s="25"/>
      <c r="BS613" s="25"/>
      <c r="BT613" s="25"/>
      <c r="BU613" s="25"/>
      <c r="BV613" s="25"/>
      <c r="BW613" s="25"/>
      <c r="BX613" s="25"/>
      <c r="BY613" s="25"/>
      <c r="BZ613" s="25"/>
      <c r="CA613" s="25"/>
      <c r="CB613" s="25"/>
    </row>
    <row r="614" spans="1:80" ht="13.5" hidden="1" customHeight="1">
      <c r="A614" s="10">
        <f ca="1">IFERROR(__xludf.DUMMYFUNCTION("""COMPUTED_VALUE"""),2010)</f>
        <v>2010</v>
      </c>
      <c r="B614" s="50">
        <f ca="1">IFERROR(__xludf.DUMMYFUNCTION("""COMPUTED_VALUE"""),40773)</f>
        <v>40773</v>
      </c>
      <c r="C614" s="41">
        <f ca="1">IFERROR(__xludf.DUMMYFUNCTION("""COMPUTED_VALUE"""),40615)</f>
        <v>40615</v>
      </c>
      <c r="D614" s="42" t="str">
        <f ca="1">IFERROR(__xludf.DUMMYFUNCTION("""COMPUTED_VALUE"""),"Mealy Redpoll")</f>
        <v>Mealy Redpoll</v>
      </c>
      <c r="E614" s="53">
        <f ca="1">IFERROR(__xludf.DUMMYFUNCTION("""COMPUTED_VALUE"""),2)</f>
        <v>2</v>
      </c>
      <c r="F614" s="15"/>
      <c r="G614" s="44" t="str">
        <f ca="1">IFERROR(__xludf.DUMMYFUNCTION("""COMPUTED_VALUE"""),"Red Rocks, Hoylake")</f>
        <v>Red Rocks, Hoylake</v>
      </c>
      <c r="H614" s="12">
        <f ca="1">IFERROR(__xludf.DUMMYFUNCTION("""COMPUTED_VALUE"""),40292)</f>
        <v>40292</v>
      </c>
      <c r="I614" s="12">
        <f ca="1">IFERROR(__xludf.DUMMYFUNCTION("""COMPUTED_VALUE"""),40292)</f>
        <v>40292</v>
      </c>
      <c r="J614" s="68" t="str">
        <f ca="1">IFERROR(__xludf.DUMMYFUNCTION("""COMPUTED_VALUE"""),"Turner, JE")</f>
        <v>Turner, JE</v>
      </c>
      <c r="K614" s="43" t="str">
        <f ca="1">IFERROR(__xludf.DUMMYFUNCTION("""COMPUTED_VALUE"""),"Turner, JE")</f>
        <v>Turner, JE</v>
      </c>
      <c r="L614" s="17" t="str">
        <f ca="1">IFERROR(__xludf.DUMMYFUNCTION("""COMPUTED_VALUE"""),"closed")</f>
        <v>closed</v>
      </c>
      <c r="M614" s="17" t="str">
        <f ca="1">IFERROR(__xludf.DUMMYFUNCTION("""COMPUTED_VALUE"""),"1st U")</f>
        <v>1st U</v>
      </c>
      <c r="N614" s="15" t="str">
        <f ca="1">IFERROR(__xludf.DUMMYFUNCTION("""COMPUTED_VALUE"""),"accepted")</f>
        <v>accepted</v>
      </c>
      <c r="O614" s="66" t="str">
        <f ca="1">IFERROR(__xludf.DUMMYFUNCTION("""COMPUTED_VALUE"""),"male and another probable.")</f>
        <v>male and another probable.</v>
      </c>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row>
    <row r="615" spans="1:80" ht="13.5" hidden="1" customHeight="1">
      <c r="A615" s="20">
        <f ca="1">IFERROR(__xludf.DUMMYFUNCTION("""COMPUTED_VALUE"""),2010)</f>
        <v>2010</v>
      </c>
      <c r="B615" s="45">
        <f ca="1">IFERROR(__xludf.DUMMYFUNCTION("""COMPUTED_VALUE"""),40586)</f>
        <v>40586</v>
      </c>
      <c r="C615" s="46">
        <f ca="1">IFERROR(__xludf.DUMMYFUNCTION("""COMPUTED_VALUE"""),40583)</f>
        <v>40583</v>
      </c>
      <c r="D615" s="69" t="str">
        <f ca="1">IFERROR(__xludf.DUMMYFUNCTION("""COMPUTED_VALUE"""),"Lapland Bunting")</f>
        <v>Lapland Bunting</v>
      </c>
      <c r="E615" s="52">
        <f ca="1">IFERROR(__xludf.DUMMYFUNCTION("""COMPUTED_VALUE"""),1)</f>
        <v>1</v>
      </c>
      <c r="F615" s="25" t="str">
        <f ca="1">IFERROR(__xludf.DUMMYFUNCTION("""COMPUTED_VALUE"""),"ad male")</f>
        <v>ad male</v>
      </c>
      <c r="G615" s="48" t="str">
        <f ca="1">IFERROR(__xludf.DUMMYFUNCTION("""COMPUTED_VALUE"""),"Red Rocks, Hoylake")</f>
        <v>Red Rocks, Hoylake</v>
      </c>
      <c r="H615" s="22">
        <f ca="1">IFERROR(__xludf.DUMMYFUNCTION("""COMPUTED_VALUE"""),40320)</f>
        <v>40320</v>
      </c>
      <c r="I615" s="22">
        <f ca="1">IFERROR(__xludf.DUMMYFUNCTION("""COMPUTED_VALUE"""),40320)</f>
        <v>40320</v>
      </c>
      <c r="J615" s="24" t="str">
        <f ca="1">IFERROR(__xludf.DUMMYFUNCTION("""COMPUTED_VALUE"""),"Turner, JE")</f>
        <v>Turner, JE</v>
      </c>
      <c r="K615" s="25" t="str">
        <f ca="1">IFERROR(__xludf.DUMMYFUNCTION("""COMPUTED_VALUE"""),"Turner, JE")</f>
        <v>Turner, JE</v>
      </c>
      <c r="L615" s="27" t="str">
        <f ca="1">IFERROR(__xludf.DUMMYFUNCTION("""COMPUTED_VALUE"""),"closed")</f>
        <v>closed</v>
      </c>
      <c r="M615" s="27" t="str">
        <f ca="1">IFERROR(__xludf.DUMMYFUNCTION("""COMPUTED_VALUE"""),"1st U")</f>
        <v>1st U</v>
      </c>
      <c r="N615" s="25" t="str">
        <f ca="1">IFERROR(__xludf.DUMMYFUNCTION("""COMPUTED_VALUE"""),"Accepted")</f>
        <v>Accepted</v>
      </c>
      <c r="O615" s="28" t="str">
        <f ca="1">IFERROR(__xludf.DUMMYFUNCTION("""COMPUTED_VALUE"""),"Heard coming in off the sea, landed in edge of spartina - full ad male.  After a minute, carried on south.  Description done")</f>
        <v>Heard coming in off the sea, landed in edge of spartina - full ad male.  After a minute, carried on south.  Description done</v>
      </c>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c r="AQ615" s="25"/>
      <c r="AR615" s="25"/>
      <c r="AS615" s="25"/>
      <c r="AT615" s="25"/>
      <c r="AU615" s="25"/>
      <c r="AV615" s="25"/>
      <c r="AW615" s="25"/>
      <c r="AX615" s="25"/>
      <c r="AY615" s="25"/>
      <c r="AZ615" s="25"/>
      <c r="BA615" s="25"/>
      <c r="BB615" s="25"/>
      <c r="BC615" s="25"/>
      <c r="BD615" s="25"/>
      <c r="BE615" s="25"/>
      <c r="BF615" s="25"/>
      <c r="BG615" s="25"/>
      <c r="BH615" s="25"/>
      <c r="BI615" s="25"/>
      <c r="BJ615" s="25"/>
      <c r="BK615" s="25"/>
      <c r="BL615" s="25"/>
      <c r="BM615" s="25"/>
      <c r="BN615" s="25"/>
      <c r="BO615" s="25"/>
      <c r="BP615" s="25"/>
      <c r="BQ615" s="25"/>
      <c r="BR615" s="25"/>
      <c r="BS615" s="25"/>
      <c r="BT615" s="25"/>
      <c r="BU615" s="25"/>
      <c r="BV615" s="25"/>
      <c r="BW615" s="25"/>
      <c r="BX615" s="25"/>
      <c r="BY615" s="25"/>
      <c r="BZ615" s="25"/>
      <c r="CA615" s="25"/>
      <c r="CB615" s="25"/>
    </row>
    <row r="616" spans="1:80" ht="13.5" hidden="1" customHeight="1">
      <c r="A616" s="10">
        <f ca="1">IFERROR(__xludf.DUMMYFUNCTION("""COMPUTED_VALUE"""),2010)</f>
        <v>2010</v>
      </c>
      <c r="B616" s="50">
        <f ca="1">IFERROR(__xludf.DUMMYFUNCTION("""COMPUTED_VALUE"""),40590)</f>
        <v>40590</v>
      </c>
      <c r="C616" s="41">
        <f ca="1">IFERROR(__xludf.DUMMYFUNCTION("""COMPUTED_VALUE"""),40591)</f>
        <v>40591</v>
      </c>
      <c r="D616" s="42" t="str">
        <f ca="1">IFERROR(__xludf.DUMMYFUNCTION("""COMPUTED_VALUE"""),"Lapland Bunting")</f>
        <v>Lapland Bunting</v>
      </c>
      <c r="E616" s="53">
        <f ca="1">IFERROR(__xludf.DUMMYFUNCTION("""COMPUTED_VALUE"""),1)</f>
        <v>1</v>
      </c>
      <c r="F616" s="15" t="str">
        <f ca="1">IFERROR(__xludf.DUMMYFUNCTION("""COMPUTED_VALUE"""),"ad male")</f>
        <v>ad male</v>
      </c>
      <c r="G616" s="44" t="str">
        <f ca="1">IFERROR(__xludf.DUMMYFUNCTION("""COMPUTED_VALUE"""),"Heswall Shore")</f>
        <v>Heswall Shore</v>
      </c>
      <c r="H616" s="12">
        <f ca="1">IFERROR(__xludf.DUMMYFUNCTION("""COMPUTED_VALUE"""),40531)</f>
        <v>40531</v>
      </c>
      <c r="I616" s="12">
        <f ca="1">IFERROR(__xludf.DUMMYFUNCTION("""COMPUTED_VALUE"""),40535)</f>
        <v>40535</v>
      </c>
      <c r="J616" s="14" t="str">
        <f ca="1">IFERROR(__xludf.DUMMYFUNCTION("""COMPUTED_VALUE"""),"Hinde, S")</f>
        <v>Hinde, S</v>
      </c>
      <c r="K616" s="15" t="str">
        <f ca="1">IFERROR(__xludf.DUMMYFUNCTION("""COMPUTED_VALUE"""),"Hinde, S")</f>
        <v>Hinde, S</v>
      </c>
      <c r="L616" s="17" t="str">
        <f ca="1">IFERROR(__xludf.DUMMYFUNCTION("""COMPUTED_VALUE"""),"closed")</f>
        <v>closed</v>
      </c>
      <c r="M616" s="17" t="str">
        <f ca="1">IFERROR(__xludf.DUMMYFUNCTION("""COMPUTED_VALUE"""),"1st U")</f>
        <v>1st U</v>
      </c>
      <c r="N616" s="15" t="str">
        <f ca="1">IFERROR(__xludf.DUMMYFUNCTION("""COMPUTED_VALUE"""),"Accepted")</f>
        <v>Accepted</v>
      </c>
      <c r="O616" s="18"/>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row>
    <row r="617" spans="1:80" ht="13.5" hidden="1" customHeight="1">
      <c r="A617" s="20">
        <f ca="1">IFERROR(__xludf.DUMMYFUNCTION("""COMPUTED_VALUE"""),2010)</f>
        <v>2010</v>
      </c>
      <c r="B617" s="45">
        <f ca="1">IFERROR(__xludf.DUMMYFUNCTION("""COMPUTED_VALUE"""),40819)</f>
        <v>40819</v>
      </c>
      <c r="C617" s="46">
        <f ca="1">IFERROR(__xludf.DUMMYFUNCTION("""COMPUTED_VALUE"""),40773)</f>
        <v>40773</v>
      </c>
      <c r="D617" s="47" t="str">
        <f ca="1">IFERROR(__xludf.DUMMYFUNCTION("""COMPUTED_VALUE"""),"Lapland Bunting")</f>
        <v>Lapland Bunting</v>
      </c>
      <c r="E617" s="52">
        <f ca="1">IFERROR(__xludf.DUMMYFUNCTION("""COMPUTED_VALUE"""),2)</f>
        <v>2</v>
      </c>
      <c r="F617" s="25"/>
      <c r="G617" s="48" t="str">
        <f ca="1">IFERROR(__xludf.DUMMYFUNCTION("""COMPUTED_VALUE"""),"Hilbre")</f>
        <v>Hilbre</v>
      </c>
      <c r="H617" s="22">
        <f ca="1">IFERROR(__xludf.DUMMYFUNCTION("""COMPUTED_VALUE"""),40475)</f>
        <v>40475</v>
      </c>
      <c r="I617" s="23"/>
      <c r="J617" s="24" t="str">
        <f ca="1">IFERROR(__xludf.DUMMYFUNCTION("""COMPUTED_VALUE"""),"Hinde, S")</f>
        <v>Hinde, S</v>
      </c>
      <c r="K617" s="25" t="str">
        <f ca="1">IFERROR(__xludf.DUMMYFUNCTION("""COMPUTED_VALUE"""),"Hinde, S")</f>
        <v>Hinde, S</v>
      </c>
      <c r="L617" s="27" t="str">
        <f ca="1">IFERROR(__xludf.DUMMYFUNCTION("""COMPUTED_VALUE"""),"closed")</f>
        <v>closed</v>
      </c>
      <c r="M617" s="27" t="str">
        <f ca="1">IFERROR(__xludf.DUMMYFUNCTION("""COMPUTED_VALUE"""),"1st U")</f>
        <v>1st U</v>
      </c>
      <c r="N617" s="25" t="str">
        <f ca="1">IFERROR(__xludf.DUMMYFUNCTION("""COMPUTED_VALUE"""),"accepted")</f>
        <v>accepted</v>
      </c>
      <c r="O617" s="28"/>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c r="AQ617" s="25"/>
      <c r="AR617" s="25"/>
      <c r="AS617" s="25"/>
      <c r="AT617" s="25"/>
      <c r="AU617" s="25"/>
      <c r="AV617" s="25"/>
      <c r="AW617" s="25"/>
      <c r="AX617" s="25"/>
      <c r="AY617" s="25"/>
      <c r="AZ617" s="25"/>
      <c r="BA617" s="25"/>
      <c r="BB617" s="25"/>
      <c r="BC617" s="25"/>
      <c r="BD617" s="25"/>
      <c r="BE617" s="25"/>
      <c r="BF617" s="25"/>
      <c r="BG617" s="25"/>
      <c r="BH617" s="25"/>
      <c r="BI617" s="25"/>
      <c r="BJ617" s="25"/>
      <c r="BK617" s="25"/>
      <c r="BL617" s="25"/>
      <c r="BM617" s="25"/>
      <c r="BN617" s="25"/>
      <c r="BO617" s="25"/>
      <c r="BP617" s="25"/>
      <c r="BQ617" s="25"/>
      <c r="BR617" s="25"/>
      <c r="BS617" s="25"/>
      <c r="BT617" s="25"/>
      <c r="BU617" s="25"/>
      <c r="BV617" s="25"/>
      <c r="BW617" s="25"/>
      <c r="BX617" s="25"/>
      <c r="BY617" s="25"/>
      <c r="BZ617" s="25"/>
      <c r="CA617" s="25"/>
      <c r="CB617" s="25"/>
    </row>
    <row r="618" spans="1:80" ht="13.5" hidden="1" customHeight="1">
      <c r="A618" s="10">
        <f ca="1">IFERROR(__xludf.DUMMYFUNCTION("""COMPUTED_VALUE"""),2010)</f>
        <v>2010</v>
      </c>
      <c r="B618" s="50">
        <f ca="1">IFERROR(__xludf.DUMMYFUNCTION("""COMPUTED_VALUE"""),40773)</f>
        <v>40773</v>
      </c>
      <c r="C618" s="41">
        <f ca="1">IFERROR(__xludf.DUMMYFUNCTION("""COMPUTED_VALUE"""),40602)</f>
        <v>40602</v>
      </c>
      <c r="D618" s="42" t="str">
        <f ca="1">IFERROR(__xludf.DUMMYFUNCTION("""COMPUTED_VALUE"""),"Lapland Bunting")</f>
        <v>Lapland Bunting</v>
      </c>
      <c r="E618" s="53">
        <f ca="1">IFERROR(__xludf.DUMMYFUNCTION("""COMPUTED_VALUE"""),3)</f>
        <v>3</v>
      </c>
      <c r="F618" s="15"/>
      <c r="G618" s="44" t="str">
        <f ca="1">IFERROR(__xludf.DUMMYFUNCTION("""COMPUTED_VALUE"""),"Hale Lighthouse")</f>
        <v>Hale Lighthouse</v>
      </c>
      <c r="H618" s="12">
        <f ca="1">IFERROR(__xludf.DUMMYFUNCTION("""COMPUTED_VALUE"""),40459)</f>
        <v>40459</v>
      </c>
      <c r="I618" s="12"/>
      <c r="J618" s="14" t="str">
        <f ca="1">IFERROR(__xludf.DUMMYFUNCTION("""COMPUTED_VALUE"""),"Cockbain, RP&amp;CA")</f>
        <v>Cockbain, RP&amp;CA</v>
      </c>
      <c r="K618" s="15" t="str">
        <f ca="1">IFERROR(__xludf.DUMMYFUNCTION("""COMPUTED_VALUE"""),"Cockbain, RP&amp;CA")</f>
        <v>Cockbain, RP&amp;CA</v>
      </c>
      <c r="L618" s="17" t="str">
        <f ca="1">IFERROR(__xludf.DUMMYFUNCTION("""COMPUTED_VALUE"""),"closed")</f>
        <v>closed</v>
      </c>
      <c r="M618" s="17" t="str">
        <f ca="1">IFERROR(__xludf.DUMMYFUNCTION("""COMPUTED_VALUE"""),"1st U")</f>
        <v>1st U</v>
      </c>
      <c r="N618" s="15" t="str">
        <f ca="1">IFERROR(__xludf.DUMMYFUNCTION("""COMPUTED_VALUE"""),"Accepted")</f>
        <v>Accepted</v>
      </c>
      <c r="O618" s="18"/>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row>
    <row r="619" spans="1:80" ht="13.5" hidden="1" customHeight="1">
      <c r="A619" s="20">
        <f ca="1">IFERROR(__xludf.DUMMYFUNCTION("""COMPUTED_VALUE"""),2010)</f>
        <v>2010</v>
      </c>
      <c r="B619" s="45">
        <f ca="1">IFERROR(__xludf.DUMMYFUNCTION("""COMPUTED_VALUE"""),40751)</f>
        <v>40751</v>
      </c>
      <c r="C619" s="46">
        <f ca="1">IFERROR(__xludf.DUMMYFUNCTION("""COMPUTED_VALUE"""),40613)</f>
        <v>40613</v>
      </c>
      <c r="D619" s="47" t="str">
        <f ca="1">IFERROR(__xludf.DUMMYFUNCTION("""COMPUTED_VALUE"""),"Lapland Bunting")</f>
        <v>Lapland Bunting</v>
      </c>
      <c r="E619" s="52">
        <f ca="1">IFERROR(__xludf.DUMMYFUNCTION("""COMPUTED_VALUE"""),1)</f>
        <v>1</v>
      </c>
      <c r="F619" s="25"/>
      <c r="G619" s="48" t="str">
        <f ca="1">IFERROR(__xludf.DUMMYFUNCTION("""COMPUTED_VALUE"""),"Hoylake")</f>
        <v>Hoylake</v>
      </c>
      <c r="H619" s="22">
        <f ca="1">IFERROR(__xludf.DUMMYFUNCTION("""COMPUTED_VALUE"""),40468)</f>
        <v>40468</v>
      </c>
      <c r="I619" s="22"/>
      <c r="J619" s="24" t="str">
        <f ca="1">IFERROR(__xludf.DUMMYFUNCTION("""COMPUTED_VALUE"""),"Turner, JE")</f>
        <v>Turner, JE</v>
      </c>
      <c r="K619" s="25" t="str">
        <f ca="1">IFERROR(__xludf.DUMMYFUNCTION("""COMPUTED_VALUE"""),"Turner, JE")</f>
        <v>Turner, JE</v>
      </c>
      <c r="L619" s="27" t="str">
        <f ca="1">IFERROR(__xludf.DUMMYFUNCTION("""COMPUTED_VALUE"""),"closed")</f>
        <v>closed</v>
      </c>
      <c r="M619" s="27" t="str">
        <f ca="1">IFERROR(__xludf.DUMMYFUNCTION("""COMPUTED_VALUE"""),"1st U")</f>
        <v>1st U</v>
      </c>
      <c r="N619" s="25" t="str">
        <f ca="1">IFERROR(__xludf.DUMMYFUNCTION("""COMPUTED_VALUE"""),"accepted")</f>
        <v>accepted</v>
      </c>
      <c r="O619" s="28"/>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c r="AQ619" s="25"/>
      <c r="AR619" s="25"/>
      <c r="AS619" s="25"/>
      <c r="AT619" s="25"/>
      <c r="AU619" s="25"/>
      <c r="AV619" s="25"/>
      <c r="AW619" s="25"/>
      <c r="AX619" s="25"/>
      <c r="AY619" s="25"/>
      <c r="AZ619" s="25"/>
      <c r="BA619" s="25"/>
      <c r="BB619" s="25"/>
      <c r="BC619" s="25"/>
      <c r="BD619" s="25"/>
      <c r="BE619" s="25"/>
      <c r="BF619" s="25"/>
      <c r="BG619" s="25"/>
      <c r="BH619" s="25"/>
      <c r="BI619" s="25"/>
      <c r="BJ619" s="25"/>
      <c r="BK619" s="25"/>
      <c r="BL619" s="25"/>
      <c r="BM619" s="25"/>
      <c r="BN619" s="25"/>
      <c r="BO619" s="25"/>
      <c r="BP619" s="25"/>
      <c r="BQ619" s="25"/>
      <c r="BR619" s="25"/>
      <c r="BS619" s="25"/>
      <c r="BT619" s="25"/>
      <c r="BU619" s="25"/>
      <c r="BV619" s="25"/>
      <c r="BW619" s="25"/>
      <c r="BX619" s="25"/>
      <c r="BY619" s="25"/>
      <c r="BZ619" s="25"/>
      <c r="CA619" s="25"/>
      <c r="CB619" s="25"/>
    </row>
    <row r="620" spans="1:80" ht="13.5" hidden="1" customHeight="1">
      <c r="A620" s="10">
        <f ca="1">IFERROR(__xludf.DUMMYFUNCTION("""COMPUTED_VALUE"""),2010)</f>
        <v>2010</v>
      </c>
      <c r="B620" s="50">
        <f ca="1">IFERROR(__xludf.DUMMYFUNCTION("""COMPUTED_VALUE"""),40819)</f>
        <v>40819</v>
      </c>
      <c r="C620" s="41">
        <f ca="1">IFERROR(__xludf.DUMMYFUNCTION("""COMPUTED_VALUE"""),40775)</f>
        <v>40775</v>
      </c>
      <c r="D620" s="42" t="str">
        <f ca="1">IFERROR(__xludf.DUMMYFUNCTION("""COMPUTED_VALUE"""),"Lapland Bunting")</f>
        <v>Lapland Bunting</v>
      </c>
      <c r="E620" s="53">
        <f ca="1">IFERROR(__xludf.DUMMYFUNCTION("""COMPUTED_VALUE"""),1)</f>
        <v>1</v>
      </c>
      <c r="F620" s="15"/>
      <c r="G620" s="44" t="str">
        <f ca="1">IFERROR(__xludf.DUMMYFUNCTION("""COMPUTED_VALUE"""),"Hilbre")</f>
        <v>Hilbre</v>
      </c>
      <c r="H620" s="12">
        <f ca="1">IFERROR(__xludf.DUMMYFUNCTION("""COMPUTED_VALUE"""),40468)</f>
        <v>40468</v>
      </c>
      <c r="I620" s="13"/>
      <c r="J620" s="14" t="str">
        <f ca="1">IFERROR(__xludf.DUMMYFUNCTION("""COMPUTED_VALUE"""),"HIBO")</f>
        <v>HIBO</v>
      </c>
      <c r="K620" s="15" t="str">
        <f ca="1">IFERROR(__xludf.DUMMYFUNCTION("""COMPUTED_VALUE"""),"Steve Williams")</f>
        <v>Steve Williams</v>
      </c>
      <c r="L620" s="17" t="str">
        <f ca="1">IFERROR(__xludf.DUMMYFUNCTION("""COMPUTED_VALUE"""),"closed")</f>
        <v>closed</v>
      </c>
      <c r="M620" s="17" t="str">
        <f ca="1">IFERROR(__xludf.DUMMYFUNCTION("""COMPUTED_VALUE"""),"1st U")</f>
        <v>1st U</v>
      </c>
      <c r="N620" s="15" t="str">
        <f ca="1">IFERROR(__xludf.DUMMYFUNCTION("""COMPUTED_VALUE"""),"accepted")</f>
        <v>accepted</v>
      </c>
      <c r="O620" s="18"/>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row>
    <row r="621" spans="1:80" ht="13.5" hidden="1" customHeight="1">
      <c r="A621" s="20">
        <f ca="1">IFERROR(__xludf.DUMMYFUNCTION("""COMPUTED_VALUE"""),2010)</f>
        <v>2010</v>
      </c>
      <c r="B621" s="45">
        <f ca="1">IFERROR(__xludf.DUMMYFUNCTION("""COMPUTED_VALUE"""),44568)</f>
        <v>44568</v>
      </c>
      <c r="C621" s="46"/>
      <c r="D621" s="47" t="str">
        <f ca="1">IFERROR(__xludf.DUMMYFUNCTION("""COMPUTED_VALUE"""),"Whiskered Tern")</f>
        <v>Whiskered Tern</v>
      </c>
      <c r="E621" s="52">
        <f ca="1">IFERROR(__xludf.DUMMYFUNCTION("""COMPUTED_VALUE"""),1)</f>
        <v>1</v>
      </c>
      <c r="F621" s="25"/>
      <c r="G621" s="48" t="str">
        <f ca="1">IFERROR(__xludf.DUMMYFUNCTION("""COMPUTED_VALUE"""),"Inner Marsh Farm RSPB")</f>
        <v>Inner Marsh Farm RSPB</v>
      </c>
      <c r="H621" s="22">
        <f ca="1">IFERROR(__xludf.DUMMYFUNCTION("""COMPUTED_VALUE"""),40439)</f>
        <v>40439</v>
      </c>
      <c r="I621" s="23"/>
      <c r="J621" s="24"/>
      <c r="K621" s="25"/>
      <c r="L621" s="27" t="str">
        <f ca="1">IFERROR(__xludf.DUMMYFUNCTION("""COMPUTED_VALUE"""),"closed")</f>
        <v>closed</v>
      </c>
      <c r="M621" s="27"/>
      <c r="N621" s="25" t="str">
        <f ca="1">IFERROR(__xludf.DUMMYFUNCTION("""COMPUTED_VALUE"""),"BBRC-OK")</f>
        <v>BBRC-OK</v>
      </c>
      <c r="O621" s="28" t="str">
        <f ca="1">IFERROR(__xludf.DUMMYFUNCTION("""COMPUTED_VALUE"""),"Inner Marsh Farm RSPB, juvenile, 18th to 24th September, photo; same as Flintshire")</f>
        <v>Inner Marsh Farm RSPB, juvenile, 18th to 24th September, photo; same as Flintshire</v>
      </c>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c r="AQ621" s="25"/>
      <c r="AR621" s="25"/>
      <c r="AS621" s="25"/>
      <c r="AT621" s="25"/>
      <c r="AU621" s="25"/>
      <c r="AV621" s="25"/>
      <c r="AW621" s="25"/>
      <c r="AX621" s="25"/>
      <c r="AY621" s="25"/>
      <c r="AZ621" s="25"/>
      <c r="BA621" s="25"/>
      <c r="BB621" s="25"/>
      <c r="BC621" s="25"/>
      <c r="BD621" s="25"/>
      <c r="BE621" s="25"/>
      <c r="BF621" s="25"/>
      <c r="BG621" s="25"/>
      <c r="BH621" s="25"/>
      <c r="BI621" s="25"/>
      <c r="BJ621" s="25"/>
      <c r="BK621" s="25"/>
      <c r="BL621" s="25"/>
      <c r="BM621" s="25"/>
      <c r="BN621" s="25"/>
      <c r="BO621" s="25"/>
      <c r="BP621" s="25"/>
      <c r="BQ621" s="25"/>
      <c r="BR621" s="25"/>
      <c r="BS621" s="25"/>
      <c r="BT621" s="25"/>
      <c r="BU621" s="25"/>
      <c r="BV621" s="25"/>
      <c r="BW621" s="25"/>
      <c r="BX621" s="25"/>
      <c r="BY621" s="25"/>
      <c r="BZ621" s="25"/>
      <c r="CA621" s="25"/>
      <c r="CB621" s="25"/>
    </row>
    <row r="622" spans="1:80" ht="13.5" hidden="1" customHeight="1">
      <c r="A622" s="10">
        <f ca="1">IFERROR(__xludf.DUMMYFUNCTION("""COMPUTED_VALUE"""),2011)</f>
        <v>2011</v>
      </c>
      <c r="B622" s="50">
        <f ca="1">IFERROR(__xludf.DUMMYFUNCTION("""COMPUTED_VALUE"""),41022)</f>
        <v>41022</v>
      </c>
      <c r="C622" s="41">
        <f ca="1">IFERROR(__xludf.DUMMYFUNCTION("""COMPUTED_VALUE"""),41143)</f>
        <v>41143</v>
      </c>
      <c r="D622" s="42" t="str">
        <f ca="1">IFERROR(__xludf.DUMMYFUNCTION("""COMPUTED_VALUE"""),"Bean Goose [Tundra]")</f>
        <v>Bean Goose [Tundra]</v>
      </c>
      <c r="E622" s="53">
        <f ca="1">IFERROR(__xludf.DUMMYFUNCTION("""COMPUTED_VALUE"""),1)</f>
        <v>1</v>
      </c>
      <c r="F622" s="15"/>
      <c r="G622" s="44" t="str">
        <f ca="1">IFERROR(__xludf.DUMMYFUNCTION("""COMPUTED_VALUE"""),"Lapwing pool, Chelford")</f>
        <v>Lapwing pool, Chelford</v>
      </c>
      <c r="H622" s="12">
        <f ca="1">IFERROR(__xludf.DUMMYFUNCTION("""COMPUTED_VALUE"""),40877)</f>
        <v>40877</v>
      </c>
      <c r="I622" s="12">
        <f ca="1">IFERROR(__xludf.DUMMYFUNCTION("""COMPUTED_VALUE"""),40879)</f>
        <v>40879</v>
      </c>
      <c r="J622" s="14" t="str">
        <f ca="1">IFERROR(__xludf.DUMMYFUNCTION("""COMPUTED_VALUE"""),"Spottiwood, J")</f>
        <v>Spottiwood, J</v>
      </c>
      <c r="K622" s="15" t="str">
        <f ca="1">IFERROR(__xludf.DUMMYFUNCTION("""COMPUTED_VALUE"""),"Steve and Gill Barber")</f>
        <v>Steve and Gill Barber</v>
      </c>
      <c r="L622" s="17" t="str">
        <f ca="1">IFERROR(__xludf.DUMMYFUNCTION("""COMPUTED_VALUE"""),"closed")</f>
        <v>closed</v>
      </c>
      <c r="M622" s="17" t="str">
        <f ca="1">IFERROR(__xludf.DUMMYFUNCTION("""COMPUTED_VALUE"""),"1st U")</f>
        <v>1st U</v>
      </c>
      <c r="N622" s="15" t="str">
        <f ca="1">IFERROR(__xludf.DUMMYFUNCTION("""COMPUTED_VALUE"""),"accepted")</f>
        <v>accepted</v>
      </c>
      <c r="O622" s="18"/>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row>
    <row r="623" spans="1:80" ht="13.5" hidden="1" customHeight="1">
      <c r="A623" s="20">
        <f ca="1">IFERROR(__xludf.DUMMYFUNCTION("""COMPUTED_VALUE"""),2011)</f>
        <v>2011</v>
      </c>
      <c r="B623" s="45">
        <f ca="1">IFERROR(__xludf.DUMMYFUNCTION("""COMPUTED_VALUE"""),41231)</f>
        <v>41231</v>
      </c>
      <c r="C623" s="46">
        <f ca="1">IFERROR(__xludf.DUMMYFUNCTION("""COMPUTED_VALUE"""),41143)</f>
        <v>41143</v>
      </c>
      <c r="D623" s="47" t="str">
        <f ca="1">IFERROR(__xludf.DUMMYFUNCTION("""COMPUTED_VALUE"""),"Bean Goose [Tundra]")</f>
        <v>Bean Goose [Tundra]</v>
      </c>
      <c r="E623" s="52">
        <f ca="1">IFERROR(__xludf.DUMMYFUNCTION("""COMPUTED_VALUE"""),2)</f>
        <v>2</v>
      </c>
      <c r="F623" s="25"/>
      <c r="G623" s="48" t="str">
        <f ca="1">IFERROR(__xludf.DUMMYFUNCTION("""COMPUTED_VALUE"""),"Hale")</f>
        <v>Hale</v>
      </c>
      <c r="H623" s="22">
        <f ca="1">IFERROR(__xludf.DUMMYFUNCTION("""COMPUTED_VALUE"""),40868)</f>
        <v>40868</v>
      </c>
      <c r="I623" s="22"/>
      <c r="J623" s="24" t="str">
        <f ca="1">IFERROR(__xludf.DUMMYFUNCTION("""COMPUTED_VALUE"""),"Cockbain, RP&amp;CA")</f>
        <v>Cockbain, RP&amp;CA</v>
      </c>
      <c r="K623" s="25" t="str">
        <f ca="1">IFERROR(__xludf.DUMMYFUNCTION("""COMPUTED_VALUE"""),"Cockbain, RP&amp;CA")</f>
        <v>Cockbain, RP&amp;CA</v>
      </c>
      <c r="L623" s="27" t="str">
        <f ca="1">IFERROR(__xludf.DUMMYFUNCTION("""COMPUTED_VALUE"""),"closed")</f>
        <v>closed</v>
      </c>
      <c r="M623" s="27" t="str">
        <f ca="1">IFERROR(__xludf.DUMMYFUNCTION("""COMPUTED_VALUE"""),"3rd M")</f>
        <v>3rd M</v>
      </c>
      <c r="N623" s="25" t="str">
        <f ca="1">IFERROR(__xludf.DUMMYFUNCTION("""COMPUTED_VALUE"""),"Accepted")</f>
        <v>Accepted</v>
      </c>
      <c r="O623" s="28"/>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c r="AQ623" s="25"/>
      <c r="AR623" s="25"/>
      <c r="AS623" s="25"/>
      <c r="AT623" s="25"/>
      <c r="AU623" s="25"/>
      <c r="AV623" s="25"/>
      <c r="AW623" s="25"/>
      <c r="AX623" s="25"/>
      <c r="AY623" s="25"/>
      <c r="AZ623" s="25"/>
      <c r="BA623" s="25"/>
      <c r="BB623" s="25"/>
      <c r="BC623" s="25"/>
      <c r="BD623" s="25"/>
      <c r="BE623" s="25"/>
      <c r="BF623" s="25"/>
      <c r="BG623" s="25"/>
      <c r="BH623" s="25"/>
      <c r="BI623" s="25"/>
      <c r="BJ623" s="25"/>
      <c r="BK623" s="25"/>
      <c r="BL623" s="25"/>
      <c r="BM623" s="25"/>
      <c r="BN623" s="25"/>
      <c r="BO623" s="25"/>
      <c r="BP623" s="25"/>
      <c r="BQ623" s="25"/>
      <c r="BR623" s="25"/>
      <c r="BS623" s="25"/>
      <c r="BT623" s="25"/>
      <c r="BU623" s="25"/>
      <c r="BV623" s="25"/>
      <c r="BW623" s="25"/>
      <c r="BX623" s="25"/>
      <c r="BY623" s="25"/>
      <c r="BZ623" s="25"/>
      <c r="CA623" s="25"/>
      <c r="CB623" s="25"/>
    </row>
    <row r="624" spans="1:80" ht="13.5" hidden="1" customHeight="1">
      <c r="A624" s="10">
        <f ca="1">IFERROR(__xludf.DUMMYFUNCTION("""COMPUTED_VALUE"""),2011)</f>
        <v>2011</v>
      </c>
      <c r="B624" s="50">
        <f ca="1">IFERROR(__xludf.DUMMYFUNCTION("""COMPUTED_VALUE"""),41146)</f>
        <v>41146</v>
      </c>
      <c r="C624" s="41">
        <f ca="1">IFERROR(__xludf.DUMMYFUNCTION("""COMPUTED_VALUE"""),41143)</f>
        <v>41143</v>
      </c>
      <c r="D624" s="42" t="str">
        <f ca="1">IFERROR(__xludf.DUMMYFUNCTION("""COMPUTED_VALUE"""),"Bean Goose [Tundra]")</f>
        <v>Bean Goose [Tundra]</v>
      </c>
      <c r="E624" s="53">
        <f ca="1">IFERROR(__xludf.DUMMYFUNCTION("""COMPUTED_VALUE"""),1)</f>
        <v>1</v>
      </c>
      <c r="F624" s="15"/>
      <c r="G624" s="44" t="str">
        <f ca="1">IFERROR(__xludf.DUMMYFUNCTION("""COMPUTED_VALUE"""),"Lapwing Hall Pool, Chelford SQ")</f>
        <v>Lapwing Hall Pool, Chelford SQ</v>
      </c>
      <c r="H624" s="12">
        <f ca="1">IFERROR(__xludf.DUMMYFUNCTION("""COMPUTED_VALUE"""),40877)</f>
        <v>40877</v>
      </c>
      <c r="I624" s="13"/>
      <c r="J624" s="14" t="str">
        <f ca="1">IFERROR(__xludf.DUMMYFUNCTION("""COMPUTED_VALUE"""),"Barber S&amp;G")</f>
        <v>Barber S&amp;G</v>
      </c>
      <c r="K624" s="15"/>
      <c r="L624" s="17" t="str">
        <f ca="1">IFERROR(__xludf.DUMMYFUNCTION("""COMPUTED_VALUE"""),"closed")</f>
        <v>closed</v>
      </c>
      <c r="M624" s="17" t="str">
        <f ca="1">IFERROR(__xludf.DUMMYFUNCTION("""COMPUTED_VALUE"""),"1st U")</f>
        <v>1st U</v>
      </c>
      <c r="N624" s="15" t="str">
        <f ca="1">IFERROR(__xludf.DUMMYFUNCTION("""COMPUTED_VALUE"""),"accepted")</f>
        <v>accepted</v>
      </c>
      <c r="O624" s="18" t="str">
        <f ca="1">IFERROR(__xludf.DUMMYFUNCTION("""COMPUTED_VALUE"""),"Tundra Bean goose - same bird also present 28th Nov, 2nd Dec")</f>
        <v>Tundra Bean goose - same bird also present 28th Nov, 2nd Dec</v>
      </c>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row>
    <row r="625" spans="1:80" ht="13.5" hidden="1" customHeight="1">
      <c r="A625" s="20">
        <f ca="1">IFERROR(__xludf.DUMMYFUNCTION("""COMPUTED_VALUE"""),2011)</f>
        <v>2011</v>
      </c>
      <c r="B625" s="45">
        <f ca="1">IFERROR(__xludf.DUMMYFUNCTION("""COMPUTED_VALUE"""),41150)</f>
        <v>41150</v>
      </c>
      <c r="C625" s="46">
        <f ca="1">IFERROR(__xludf.DUMMYFUNCTION("""COMPUTED_VALUE"""),41150)</f>
        <v>41150</v>
      </c>
      <c r="D625" s="47" t="str">
        <f ca="1">IFERROR(__xludf.DUMMYFUNCTION("""COMPUTED_VALUE"""),"Velvet Scoter")</f>
        <v>Velvet Scoter</v>
      </c>
      <c r="E625" s="52">
        <f ca="1">IFERROR(__xludf.DUMMYFUNCTION("""COMPUTED_VALUE"""),1)</f>
        <v>1</v>
      </c>
      <c r="F625" s="25" t="str">
        <f ca="1">IFERROR(__xludf.DUMMYFUNCTION("""COMPUTED_VALUE"""),"imm male")</f>
        <v>imm male</v>
      </c>
      <c r="G625" s="48" t="str">
        <f ca="1">IFERROR(__xludf.DUMMYFUNCTION("""COMPUTED_VALUE"""),"Hoylake")</f>
        <v>Hoylake</v>
      </c>
      <c r="H625" s="22">
        <f ca="1">IFERROR(__xludf.DUMMYFUNCTION("""COMPUTED_VALUE"""),40559)</f>
        <v>40559</v>
      </c>
      <c r="I625" s="22"/>
      <c r="J625" s="24" t="str">
        <f ca="1">IFERROR(__xludf.DUMMYFUNCTION("""COMPUTED_VALUE"""),"Turner, JE")</f>
        <v>Turner, JE</v>
      </c>
      <c r="K625" s="25" t="str">
        <f ca="1">IFERROR(__xludf.DUMMYFUNCTION("""COMPUTED_VALUE"""),"Turner, JE")</f>
        <v>Turner, JE</v>
      </c>
      <c r="L625" s="27" t="str">
        <f ca="1">IFERROR(__xludf.DUMMYFUNCTION("""COMPUTED_VALUE"""),"closed")</f>
        <v>closed</v>
      </c>
      <c r="M625" s="27" t="str">
        <f ca="1">IFERROR(__xludf.DUMMYFUNCTION("""COMPUTED_VALUE"""),"1st U")</f>
        <v>1st U</v>
      </c>
      <c r="N625" s="25" t="str">
        <f ca="1">IFERROR(__xludf.DUMMYFUNCTION("""COMPUTED_VALUE"""),"accepted")</f>
        <v>accepted</v>
      </c>
      <c r="O625" s="28"/>
      <c r="P625" s="25"/>
      <c r="Q625" s="40"/>
      <c r="R625" s="40"/>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c r="AQ625" s="25"/>
      <c r="AR625" s="25"/>
      <c r="AS625" s="25"/>
      <c r="AT625" s="25"/>
      <c r="AU625" s="25"/>
      <c r="AV625" s="25"/>
      <c r="AW625" s="25"/>
      <c r="AX625" s="25"/>
      <c r="AY625" s="25"/>
      <c r="AZ625" s="25"/>
      <c r="BA625" s="25"/>
      <c r="BB625" s="25"/>
      <c r="BC625" s="25"/>
      <c r="BD625" s="25"/>
      <c r="BE625" s="25"/>
      <c r="BF625" s="25"/>
      <c r="BG625" s="25"/>
      <c r="BH625" s="25"/>
      <c r="BI625" s="25"/>
      <c r="BJ625" s="25"/>
      <c r="BK625" s="25"/>
      <c r="BL625" s="25"/>
      <c r="BM625" s="25"/>
      <c r="BN625" s="25"/>
      <c r="BO625" s="25"/>
      <c r="BP625" s="25"/>
      <c r="BQ625" s="25"/>
      <c r="BR625" s="25"/>
      <c r="BS625" s="25"/>
      <c r="BT625" s="25"/>
      <c r="BU625" s="25"/>
      <c r="BV625" s="25"/>
      <c r="BW625" s="25"/>
      <c r="BX625" s="25"/>
      <c r="BY625" s="25"/>
      <c r="BZ625" s="25"/>
      <c r="CA625" s="25"/>
      <c r="CB625" s="25"/>
    </row>
    <row r="626" spans="1:80" ht="13.5" hidden="1" customHeight="1">
      <c r="A626" s="10">
        <f ca="1">IFERROR(__xludf.DUMMYFUNCTION("""COMPUTED_VALUE"""),2011)</f>
        <v>2011</v>
      </c>
      <c r="B626" s="50">
        <f ca="1">IFERROR(__xludf.DUMMYFUNCTION("""COMPUTED_VALUE"""),41150)</f>
        <v>41150</v>
      </c>
      <c r="C626" s="41">
        <f ca="1">IFERROR(__xludf.DUMMYFUNCTION("""COMPUTED_VALUE"""),41150)</f>
        <v>41150</v>
      </c>
      <c r="D626" s="42" t="str">
        <f ca="1">IFERROR(__xludf.DUMMYFUNCTION("""COMPUTED_VALUE"""),"Velvet Scoter")</f>
        <v>Velvet Scoter</v>
      </c>
      <c r="E626" s="53">
        <f ca="1">IFERROR(__xludf.DUMMYFUNCTION("""COMPUTED_VALUE"""),2)</f>
        <v>2</v>
      </c>
      <c r="F626" s="15" t="str">
        <f ca="1">IFERROR(__xludf.DUMMYFUNCTION("""COMPUTED_VALUE"""),"pair")</f>
        <v>pair</v>
      </c>
      <c r="G626" s="44" t="str">
        <f ca="1">IFERROR(__xludf.DUMMYFUNCTION("""COMPUTED_VALUE"""),"Hoylake")</f>
        <v>Hoylake</v>
      </c>
      <c r="H626" s="12">
        <f ca="1">IFERROR(__xludf.DUMMYFUNCTION("""COMPUTED_VALUE"""),40622)</f>
        <v>40622</v>
      </c>
      <c r="I626" s="12"/>
      <c r="J626" s="14" t="str">
        <f ca="1">IFERROR(__xludf.DUMMYFUNCTION("""COMPUTED_VALUE"""),"Turner, JE")</f>
        <v>Turner, JE</v>
      </c>
      <c r="K626" s="15" t="str">
        <f ca="1">IFERROR(__xludf.DUMMYFUNCTION("""COMPUTED_VALUE"""),"Turner, JE")</f>
        <v>Turner, JE</v>
      </c>
      <c r="L626" s="17" t="str">
        <f ca="1">IFERROR(__xludf.DUMMYFUNCTION("""COMPUTED_VALUE"""),"closed")</f>
        <v>closed</v>
      </c>
      <c r="M626" s="17" t="str">
        <f ca="1">IFERROR(__xludf.DUMMYFUNCTION("""COMPUTED_VALUE"""),"1st U")</f>
        <v>1st U</v>
      </c>
      <c r="N626" s="15" t="str">
        <f ca="1">IFERROR(__xludf.DUMMYFUNCTION("""COMPUTED_VALUE"""),"accepted")</f>
        <v>accepted</v>
      </c>
      <c r="O626" s="18"/>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row>
    <row r="627" spans="1:80" ht="13.5" hidden="1" customHeight="1">
      <c r="A627" s="20">
        <f ca="1">IFERROR(__xludf.DUMMYFUNCTION("""COMPUTED_VALUE"""),2011)</f>
        <v>2011</v>
      </c>
      <c r="B627" s="45">
        <f ca="1">IFERROR(__xludf.DUMMYFUNCTION("""COMPUTED_VALUE"""),41150)</f>
        <v>41150</v>
      </c>
      <c r="C627" s="46">
        <f ca="1">IFERROR(__xludf.DUMMYFUNCTION("""COMPUTED_VALUE"""),41150)</f>
        <v>41150</v>
      </c>
      <c r="D627" s="47" t="str">
        <f ca="1">IFERROR(__xludf.DUMMYFUNCTION("""COMPUTED_VALUE"""),"Velvet Scoter")</f>
        <v>Velvet Scoter</v>
      </c>
      <c r="E627" s="52">
        <f ca="1">IFERROR(__xludf.DUMMYFUNCTION("""COMPUTED_VALUE"""),1)</f>
        <v>1</v>
      </c>
      <c r="F627" s="25" t="str">
        <f ca="1">IFERROR(__xludf.DUMMYFUNCTION("""COMPUTED_VALUE"""),"male")</f>
        <v>male</v>
      </c>
      <c r="G627" s="48" t="str">
        <f ca="1">IFERROR(__xludf.DUMMYFUNCTION("""COMPUTED_VALUE"""),"Hoylake")</f>
        <v>Hoylake</v>
      </c>
      <c r="H627" s="22">
        <f ca="1">IFERROR(__xludf.DUMMYFUNCTION("""COMPUTED_VALUE"""),40827)</f>
        <v>40827</v>
      </c>
      <c r="I627" s="22"/>
      <c r="J627" s="24" t="str">
        <f ca="1">IFERROR(__xludf.DUMMYFUNCTION("""COMPUTED_VALUE"""),"Turner, JE")</f>
        <v>Turner, JE</v>
      </c>
      <c r="K627" s="25" t="str">
        <f ca="1">IFERROR(__xludf.DUMMYFUNCTION("""COMPUTED_VALUE"""),"Turner, JE")</f>
        <v>Turner, JE</v>
      </c>
      <c r="L627" s="27" t="str">
        <f ca="1">IFERROR(__xludf.DUMMYFUNCTION("""COMPUTED_VALUE"""),"closed")</f>
        <v>closed</v>
      </c>
      <c r="M627" s="27" t="str">
        <f ca="1">IFERROR(__xludf.DUMMYFUNCTION("""COMPUTED_VALUE"""),"1st U")</f>
        <v>1st U</v>
      </c>
      <c r="N627" s="25" t="str">
        <f ca="1">IFERROR(__xludf.DUMMYFUNCTION("""COMPUTED_VALUE"""),"accepted")</f>
        <v>accepted</v>
      </c>
      <c r="O627" s="28"/>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c r="AQ627" s="25"/>
      <c r="AR627" s="25"/>
      <c r="AS627" s="25"/>
      <c r="AT627" s="25"/>
      <c r="AU627" s="25"/>
      <c r="AV627" s="25"/>
      <c r="AW627" s="25"/>
      <c r="AX627" s="25"/>
      <c r="AY627" s="25"/>
      <c r="AZ627" s="25"/>
      <c r="BA627" s="25"/>
      <c r="BB627" s="25"/>
      <c r="BC627" s="25"/>
      <c r="BD627" s="25"/>
      <c r="BE627" s="25"/>
      <c r="BF627" s="25"/>
      <c r="BG627" s="25"/>
      <c r="BH627" s="25"/>
      <c r="BI627" s="25"/>
      <c r="BJ627" s="25"/>
      <c r="BK627" s="25"/>
      <c r="BL627" s="25"/>
      <c r="BM627" s="25"/>
      <c r="BN627" s="25"/>
      <c r="BO627" s="25"/>
      <c r="BP627" s="25"/>
      <c r="BQ627" s="25"/>
      <c r="BR627" s="25"/>
      <c r="BS627" s="25"/>
      <c r="BT627" s="25"/>
      <c r="BU627" s="25"/>
      <c r="BV627" s="25"/>
      <c r="BW627" s="25"/>
      <c r="BX627" s="25"/>
      <c r="BY627" s="25"/>
      <c r="BZ627" s="25"/>
      <c r="CA627" s="25"/>
      <c r="CB627" s="25"/>
    </row>
    <row r="628" spans="1:80" ht="13.5" hidden="1" customHeight="1">
      <c r="A628" s="10">
        <f ca="1">IFERROR(__xludf.DUMMYFUNCTION("""COMPUTED_VALUE"""),2011)</f>
        <v>2011</v>
      </c>
      <c r="B628" s="50">
        <f ca="1">IFERROR(__xludf.DUMMYFUNCTION("""COMPUTED_VALUE"""),41150)</f>
        <v>41150</v>
      </c>
      <c r="C628" s="41"/>
      <c r="D628" s="42" t="str">
        <f ca="1">IFERROR(__xludf.DUMMYFUNCTION("""COMPUTED_VALUE"""),"Velvet Scoter")</f>
        <v>Velvet Scoter</v>
      </c>
      <c r="E628" s="53">
        <f ca="1">IFERROR(__xludf.DUMMYFUNCTION("""COMPUTED_VALUE"""),2)</f>
        <v>2</v>
      </c>
      <c r="F628" s="15"/>
      <c r="G628" s="44" t="str">
        <f ca="1">IFERROR(__xludf.DUMMYFUNCTION("""COMPUTED_VALUE"""),"Hilbre")</f>
        <v>Hilbre</v>
      </c>
      <c r="H628" s="12">
        <f ca="1">IFERROR(__xludf.DUMMYFUNCTION("""COMPUTED_VALUE"""),40549)</f>
        <v>40549</v>
      </c>
      <c r="I628" s="12"/>
      <c r="J628" s="14" t="str">
        <f ca="1">IFERROR(__xludf.DUMMYFUNCTION("""COMPUTED_VALUE"""),"CC Schofield")</f>
        <v>CC Schofield</v>
      </c>
      <c r="K628" s="15"/>
      <c r="L628" s="17" t="str">
        <f ca="1">IFERROR(__xludf.DUMMYFUNCTION("""COMPUTED_VALUE"""),"closed")</f>
        <v>closed</v>
      </c>
      <c r="M628" s="17" t="str">
        <f ca="1">IFERROR(__xludf.DUMMYFUNCTION("""COMPUTED_VALUE"""),"proxy")</f>
        <v>proxy</v>
      </c>
      <c r="N628" s="15" t="str">
        <f ca="1">IFERROR(__xludf.DUMMYFUNCTION("""COMPUTED_VALUE"""),"accepted")</f>
        <v>accepted</v>
      </c>
      <c r="O628" s="18"/>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row>
    <row r="629" spans="1:80" ht="13.5" hidden="1" customHeight="1">
      <c r="A629" s="20">
        <f ca="1">IFERROR(__xludf.DUMMYFUNCTION("""COMPUTED_VALUE"""),2011)</f>
        <v>2011</v>
      </c>
      <c r="B629" s="45">
        <f ca="1">IFERROR(__xludf.DUMMYFUNCTION("""COMPUTED_VALUE"""),41150)</f>
        <v>41150</v>
      </c>
      <c r="C629" s="46"/>
      <c r="D629" s="47" t="str">
        <f ca="1">IFERROR(__xludf.DUMMYFUNCTION("""COMPUTED_VALUE"""),"Velvet Scoter")</f>
        <v>Velvet Scoter</v>
      </c>
      <c r="E629" s="52">
        <f ca="1">IFERROR(__xludf.DUMMYFUNCTION("""COMPUTED_VALUE"""),2)</f>
        <v>2</v>
      </c>
      <c r="F629" s="25"/>
      <c r="G629" s="48" t="str">
        <f ca="1">IFERROR(__xludf.DUMMYFUNCTION("""COMPUTED_VALUE"""),"Hilbre")</f>
        <v>Hilbre</v>
      </c>
      <c r="H629" s="22">
        <f ca="1">IFERROR(__xludf.DUMMYFUNCTION("""COMPUTED_VALUE"""),40549)</f>
        <v>40549</v>
      </c>
      <c r="I629" s="22"/>
      <c r="J629" s="24" t="str">
        <f ca="1">IFERROR(__xludf.DUMMYFUNCTION("""COMPUTED_VALUE"""),"Hilbre Bird Observatory")</f>
        <v>Hilbre Bird Observatory</v>
      </c>
      <c r="K629" s="25"/>
      <c r="L629" s="27" t="str">
        <f ca="1">IFERROR(__xludf.DUMMYFUNCTION("""COMPUTED_VALUE"""),"closed")</f>
        <v>closed</v>
      </c>
      <c r="M629" s="27" t="str">
        <f ca="1">IFERROR(__xludf.DUMMYFUNCTION("""COMPUTED_VALUE"""),"proxy")</f>
        <v>proxy</v>
      </c>
      <c r="N629" s="25" t="str">
        <f ca="1">IFERROR(__xludf.DUMMYFUNCTION("""COMPUTED_VALUE"""),"accepted")</f>
        <v>accepted</v>
      </c>
      <c r="O629" s="28"/>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c r="AQ629" s="25"/>
      <c r="AR629" s="25"/>
      <c r="AS629" s="25"/>
      <c r="AT629" s="25"/>
      <c r="AU629" s="25"/>
      <c r="AV629" s="25"/>
      <c r="AW629" s="25"/>
      <c r="AX629" s="25"/>
      <c r="AY629" s="25"/>
      <c r="AZ629" s="25"/>
      <c r="BA629" s="25"/>
      <c r="BB629" s="25"/>
      <c r="BC629" s="25"/>
      <c r="BD629" s="25"/>
      <c r="BE629" s="25"/>
      <c r="BF629" s="25"/>
      <c r="BG629" s="25"/>
      <c r="BH629" s="25"/>
      <c r="BI629" s="25"/>
      <c r="BJ629" s="25"/>
      <c r="BK629" s="25"/>
      <c r="BL629" s="25"/>
      <c r="BM629" s="25"/>
      <c r="BN629" s="25"/>
      <c r="BO629" s="25"/>
      <c r="BP629" s="25"/>
      <c r="BQ629" s="25"/>
      <c r="BR629" s="25"/>
      <c r="BS629" s="25"/>
      <c r="BT629" s="25"/>
      <c r="BU629" s="25"/>
      <c r="BV629" s="25"/>
      <c r="BW629" s="25"/>
      <c r="BX629" s="25"/>
      <c r="BY629" s="25"/>
      <c r="BZ629" s="25"/>
      <c r="CA629" s="25"/>
      <c r="CB629" s="25"/>
    </row>
    <row r="630" spans="1:80" ht="13.5" hidden="1" customHeight="1">
      <c r="A630" s="10">
        <f ca="1">IFERROR(__xludf.DUMMYFUNCTION("""COMPUTED_VALUE"""),2011)</f>
        <v>2011</v>
      </c>
      <c r="B630" s="50">
        <f ca="1">IFERROR(__xludf.DUMMYFUNCTION("""COMPUTED_VALUE"""),41150)</f>
        <v>41150</v>
      </c>
      <c r="C630" s="41"/>
      <c r="D630" s="42" t="str">
        <f ca="1">IFERROR(__xludf.DUMMYFUNCTION("""COMPUTED_VALUE"""),"Velvet Scoter")</f>
        <v>Velvet Scoter</v>
      </c>
      <c r="E630" s="53">
        <f ca="1">IFERROR(__xludf.DUMMYFUNCTION("""COMPUTED_VALUE"""),2)</f>
        <v>2</v>
      </c>
      <c r="F630" s="15" t="str">
        <f ca="1">IFERROR(__xludf.DUMMYFUNCTION("""COMPUTED_VALUE"""),"males")</f>
        <v>males</v>
      </c>
      <c r="G630" s="44" t="str">
        <f ca="1">IFERROR(__xludf.DUMMYFUNCTION("""COMPUTED_VALUE"""),"Hilbre")</f>
        <v>Hilbre</v>
      </c>
      <c r="H630" s="12">
        <f ca="1">IFERROR(__xludf.DUMMYFUNCTION("""COMPUTED_VALUE"""),40593)</f>
        <v>40593</v>
      </c>
      <c r="I630" s="12"/>
      <c r="J630" s="14" t="str">
        <f ca="1">IFERROR(__xludf.DUMMYFUNCTION("""COMPUTED_VALUE"""),"Woollen, P")</f>
        <v>Woollen, P</v>
      </c>
      <c r="K630" s="15"/>
      <c r="L630" s="17" t="str">
        <f ca="1">IFERROR(__xludf.DUMMYFUNCTION("""COMPUTED_VALUE"""),"closed")</f>
        <v>closed</v>
      </c>
      <c r="M630" s="17" t="str">
        <f ca="1">IFERROR(__xludf.DUMMYFUNCTION("""COMPUTED_VALUE"""),"proxy")</f>
        <v>proxy</v>
      </c>
      <c r="N630" s="15" t="str">
        <f ca="1">IFERROR(__xludf.DUMMYFUNCTION("""COMPUTED_VALUE"""),"accepted")</f>
        <v>accepted</v>
      </c>
      <c r="O630" s="18"/>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row>
    <row r="631" spans="1:80" ht="13.5" hidden="1" customHeight="1">
      <c r="A631" s="20">
        <f ca="1">IFERROR(__xludf.DUMMYFUNCTION("""COMPUTED_VALUE"""),2011)</f>
        <v>2011</v>
      </c>
      <c r="B631" s="45">
        <f ca="1">IFERROR(__xludf.DUMMYFUNCTION("""COMPUTED_VALUE"""),41150)</f>
        <v>41150</v>
      </c>
      <c r="C631" s="46"/>
      <c r="D631" s="47" t="str">
        <f ca="1">IFERROR(__xludf.DUMMYFUNCTION("""COMPUTED_VALUE"""),"Velvet Scoter")</f>
        <v>Velvet Scoter</v>
      </c>
      <c r="E631" s="52">
        <f ca="1">IFERROR(__xludf.DUMMYFUNCTION("""COMPUTED_VALUE"""),5)</f>
        <v>5</v>
      </c>
      <c r="F631" s="25"/>
      <c r="G631" s="48" t="str">
        <f ca="1">IFERROR(__xludf.DUMMYFUNCTION("""COMPUTED_VALUE"""),"Hilbre")</f>
        <v>Hilbre</v>
      </c>
      <c r="H631" s="22">
        <f ca="1">IFERROR(__xludf.DUMMYFUNCTION("""COMPUTED_VALUE"""),40886)</f>
        <v>40886</v>
      </c>
      <c r="I631" s="22"/>
      <c r="J631" s="24" t="str">
        <f ca="1">IFERROR(__xludf.DUMMYFUNCTION("""COMPUTED_VALUE"""),"Hilbre Bird Observatory")</f>
        <v>Hilbre Bird Observatory</v>
      </c>
      <c r="K631" s="25"/>
      <c r="L631" s="27" t="str">
        <f ca="1">IFERROR(__xludf.DUMMYFUNCTION("""COMPUTED_VALUE"""),"closed")</f>
        <v>closed</v>
      </c>
      <c r="M631" s="27" t="str">
        <f ca="1">IFERROR(__xludf.DUMMYFUNCTION("""COMPUTED_VALUE"""),"proxy")</f>
        <v>proxy</v>
      </c>
      <c r="N631" s="25" t="str">
        <f ca="1">IFERROR(__xludf.DUMMYFUNCTION("""COMPUTED_VALUE"""),"accepted")</f>
        <v>accepted</v>
      </c>
      <c r="O631" s="28"/>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c r="AQ631" s="25"/>
      <c r="AR631" s="25"/>
      <c r="AS631" s="25"/>
      <c r="AT631" s="25"/>
      <c r="AU631" s="25"/>
      <c r="AV631" s="25"/>
      <c r="AW631" s="25"/>
      <c r="AX631" s="25"/>
      <c r="AY631" s="25"/>
      <c r="AZ631" s="25"/>
      <c r="BA631" s="25"/>
      <c r="BB631" s="25"/>
      <c r="BC631" s="25"/>
      <c r="BD631" s="25"/>
      <c r="BE631" s="25"/>
      <c r="BF631" s="25"/>
      <c r="BG631" s="25"/>
      <c r="BH631" s="25"/>
      <c r="BI631" s="25"/>
      <c r="BJ631" s="25"/>
      <c r="BK631" s="25"/>
      <c r="BL631" s="25"/>
      <c r="BM631" s="25"/>
      <c r="BN631" s="25"/>
      <c r="BO631" s="25"/>
      <c r="BP631" s="25"/>
      <c r="BQ631" s="25"/>
      <c r="BR631" s="25"/>
      <c r="BS631" s="25"/>
      <c r="BT631" s="25"/>
      <c r="BU631" s="25"/>
      <c r="BV631" s="25"/>
      <c r="BW631" s="25"/>
      <c r="BX631" s="25"/>
      <c r="BY631" s="25"/>
      <c r="BZ631" s="25"/>
      <c r="CA631" s="25"/>
      <c r="CB631" s="25"/>
    </row>
    <row r="632" spans="1:80" ht="13.5" hidden="1" customHeight="1">
      <c r="A632" s="10">
        <f ca="1">IFERROR(__xludf.DUMMYFUNCTION("""COMPUTED_VALUE"""),2011)</f>
        <v>2011</v>
      </c>
      <c r="B632" s="50">
        <f ca="1">IFERROR(__xludf.DUMMYFUNCTION("""COMPUTED_VALUE"""),41150)</f>
        <v>41150</v>
      </c>
      <c r="C632" s="41"/>
      <c r="D632" s="42" t="str">
        <f ca="1">IFERROR(__xludf.DUMMYFUNCTION("""COMPUTED_VALUE"""),"Velvet Scoter")</f>
        <v>Velvet Scoter</v>
      </c>
      <c r="E632" s="53">
        <f ca="1">IFERROR(__xludf.DUMMYFUNCTION("""COMPUTED_VALUE"""),5)</f>
        <v>5</v>
      </c>
      <c r="F632" s="15"/>
      <c r="G632" s="44" t="str">
        <f ca="1">IFERROR(__xludf.DUMMYFUNCTION("""COMPUTED_VALUE"""),"Hilbre")</f>
        <v>Hilbre</v>
      </c>
      <c r="H632" s="12">
        <f ca="1">IFERROR(__xludf.DUMMYFUNCTION("""COMPUTED_VALUE"""),40888)</f>
        <v>40888</v>
      </c>
      <c r="I632" s="13"/>
      <c r="J632" s="14" t="str">
        <f ca="1">IFERROR(__xludf.DUMMYFUNCTION("""COMPUTED_VALUE"""),"Hilbre Bird Observatory")</f>
        <v>Hilbre Bird Observatory</v>
      </c>
      <c r="K632" s="15"/>
      <c r="L632" s="17" t="str">
        <f ca="1">IFERROR(__xludf.DUMMYFUNCTION("""COMPUTED_VALUE"""),"closed")</f>
        <v>closed</v>
      </c>
      <c r="M632" s="17" t="str">
        <f ca="1">IFERROR(__xludf.DUMMYFUNCTION("""COMPUTED_VALUE"""),"proxy")</f>
        <v>proxy</v>
      </c>
      <c r="N632" s="15" t="str">
        <f ca="1">IFERROR(__xludf.DUMMYFUNCTION("""COMPUTED_VALUE"""),"accepted")</f>
        <v>accepted</v>
      </c>
      <c r="O632" s="18"/>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row>
    <row r="633" spans="1:80" ht="13.5" hidden="1" customHeight="1">
      <c r="A633" s="20">
        <f ca="1">IFERROR(__xludf.DUMMYFUNCTION("""COMPUTED_VALUE"""),2011)</f>
        <v>2011</v>
      </c>
      <c r="B633" s="45">
        <f ca="1">IFERROR(__xludf.DUMMYFUNCTION("""COMPUTED_VALUE"""),41150)</f>
        <v>41150</v>
      </c>
      <c r="C633" s="46"/>
      <c r="D633" s="47" t="str">
        <f ca="1">IFERROR(__xludf.DUMMYFUNCTION("""COMPUTED_VALUE"""),"Velvet Scoter")</f>
        <v>Velvet Scoter</v>
      </c>
      <c r="E633" s="52">
        <f ca="1">IFERROR(__xludf.DUMMYFUNCTION("""COMPUTED_VALUE"""),5)</f>
        <v>5</v>
      </c>
      <c r="F633" s="25"/>
      <c r="G633" s="48" t="str">
        <f ca="1">IFERROR(__xludf.DUMMYFUNCTION("""COMPUTED_VALUE"""),"Hilbre")</f>
        <v>Hilbre</v>
      </c>
      <c r="H633" s="22">
        <f ca="1">IFERROR(__xludf.DUMMYFUNCTION("""COMPUTED_VALUE"""),40898)</f>
        <v>40898</v>
      </c>
      <c r="I633" s="23"/>
      <c r="J633" s="24" t="str">
        <f ca="1">IFERROR(__xludf.DUMMYFUNCTION("""COMPUTED_VALUE"""),"Woollen, P")</f>
        <v>Woollen, P</v>
      </c>
      <c r="K633" s="25"/>
      <c r="L633" s="27" t="str">
        <f ca="1">IFERROR(__xludf.DUMMYFUNCTION("""COMPUTED_VALUE"""),"closed")</f>
        <v>closed</v>
      </c>
      <c r="M633" s="27" t="str">
        <f ca="1">IFERROR(__xludf.DUMMYFUNCTION("""COMPUTED_VALUE"""),"proxy")</f>
        <v>proxy</v>
      </c>
      <c r="N633" s="25" t="str">
        <f ca="1">IFERROR(__xludf.DUMMYFUNCTION("""COMPUTED_VALUE"""),"accepted")</f>
        <v>accepted</v>
      </c>
      <c r="O633" s="28"/>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c r="AQ633" s="25"/>
      <c r="AR633" s="25"/>
      <c r="AS633" s="25"/>
      <c r="AT633" s="25"/>
      <c r="AU633" s="25"/>
      <c r="AV633" s="25"/>
      <c r="AW633" s="25"/>
      <c r="AX633" s="25"/>
      <c r="AY633" s="25"/>
      <c r="AZ633" s="25"/>
      <c r="BA633" s="25"/>
      <c r="BB633" s="25"/>
      <c r="BC633" s="25"/>
      <c r="BD633" s="25"/>
      <c r="BE633" s="25"/>
      <c r="BF633" s="25"/>
      <c r="BG633" s="25"/>
      <c r="BH633" s="25"/>
      <c r="BI633" s="25"/>
      <c r="BJ633" s="25"/>
      <c r="BK633" s="25"/>
      <c r="BL633" s="25"/>
      <c r="BM633" s="25"/>
      <c r="BN633" s="25"/>
      <c r="BO633" s="25"/>
      <c r="BP633" s="25"/>
      <c r="BQ633" s="25"/>
      <c r="BR633" s="25"/>
      <c r="BS633" s="25"/>
      <c r="BT633" s="25"/>
      <c r="BU633" s="25"/>
      <c r="BV633" s="25"/>
      <c r="BW633" s="25"/>
      <c r="BX633" s="25"/>
      <c r="BY633" s="25"/>
      <c r="BZ633" s="25"/>
      <c r="CA633" s="25"/>
      <c r="CB633" s="25"/>
    </row>
    <row r="634" spans="1:80" ht="13.5" hidden="1" customHeight="1">
      <c r="A634" s="10">
        <f ca="1">IFERROR(__xludf.DUMMYFUNCTION("""COMPUTED_VALUE"""),2011)</f>
        <v>2011</v>
      </c>
      <c r="B634" s="50">
        <f ca="1">IFERROR(__xludf.DUMMYFUNCTION("""COMPUTED_VALUE"""),40584)</f>
        <v>40584</v>
      </c>
      <c r="C634" s="41">
        <f ca="1">IFERROR(__xludf.DUMMYFUNCTION("""COMPUTED_VALUE"""),40585)</f>
        <v>40585</v>
      </c>
      <c r="D634" s="42" t="str">
        <f ca="1">IFERROR(__xludf.DUMMYFUNCTION("""COMPUTED_VALUE"""),"Green-winged Teal")</f>
        <v>Green-winged Teal</v>
      </c>
      <c r="E634" s="53">
        <f ca="1">IFERROR(__xludf.DUMMYFUNCTION("""COMPUTED_VALUE"""),1)</f>
        <v>1</v>
      </c>
      <c r="F634" s="15" t="str">
        <f ca="1">IFERROR(__xludf.DUMMYFUNCTION("""COMPUTED_VALUE"""),"m")</f>
        <v>m</v>
      </c>
      <c r="G634" s="44" t="str">
        <f ca="1">IFERROR(__xludf.DUMMYFUNCTION("""COMPUTED_VALUE"""),"Inner Marsh Farm RSPB")</f>
        <v>Inner Marsh Farm RSPB</v>
      </c>
      <c r="H634" s="12">
        <f ca="1">IFERROR(__xludf.DUMMYFUNCTION("""COMPUTED_VALUE"""),40583)</f>
        <v>40583</v>
      </c>
      <c r="I634" s="12"/>
      <c r="J634" s="14" t="str">
        <f ca="1">IFERROR(__xludf.DUMMYFUNCTION("""COMPUTED_VALUE"""),"Adderley, R")</f>
        <v>Adderley, R</v>
      </c>
      <c r="K634" s="15" t="str">
        <f ca="1">IFERROR(__xludf.DUMMYFUNCTION("""COMPUTED_VALUE"""),"?")</f>
        <v>?</v>
      </c>
      <c r="L634" s="17" t="str">
        <f ca="1">IFERROR(__xludf.DUMMYFUNCTION("""COMPUTED_VALUE"""),"closed")</f>
        <v>closed</v>
      </c>
      <c r="M634" s="17" t="str">
        <f ca="1">IFERROR(__xludf.DUMMYFUNCTION("""COMPUTED_VALUE"""),"1st U")</f>
        <v>1st U</v>
      </c>
      <c r="N634" s="15" t="str">
        <f ca="1">IFERROR(__xludf.DUMMYFUNCTION("""COMPUTED_VALUE"""),"accepted")</f>
        <v>accepted</v>
      </c>
      <c r="O634" s="18"/>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row>
    <row r="635" spans="1:80" ht="13.5" hidden="1" customHeight="1">
      <c r="A635" s="20">
        <f ca="1">IFERROR(__xludf.DUMMYFUNCTION("""COMPUTED_VALUE"""),2011)</f>
        <v>2011</v>
      </c>
      <c r="B635" s="45">
        <f ca="1">IFERROR(__xludf.DUMMYFUNCTION("""COMPUTED_VALUE"""),40584)</f>
        <v>40584</v>
      </c>
      <c r="C635" s="46">
        <f ca="1">IFERROR(__xludf.DUMMYFUNCTION("""COMPUTED_VALUE"""),40585)</f>
        <v>40585</v>
      </c>
      <c r="D635" s="47" t="str">
        <f ca="1">IFERROR(__xludf.DUMMYFUNCTION("""COMPUTED_VALUE"""),"Green-winged Teal")</f>
        <v>Green-winged Teal</v>
      </c>
      <c r="E635" s="52">
        <f ca="1">IFERROR(__xludf.DUMMYFUNCTION("""COMPUTED_VALUE"""),1)</f>
        <v>1</v>
      </c>
      <c r="F635" s="25" t="str">
        <f ca="1">IFERROR(__xludf.DUMMYFUNCTION("""COMPUTED_VALUE"""),"m")</f>
        <v>m</v>
      </c>
      <c r="G635" s="48" t="str">
        <f ca="1">IFERROR(__xludf.DUMMYFUNCTION("""COMPUTED_VALUE"""),"Inner Marsh Farm RSPB")</f>
        <v>Inner Marsh Farm RSPB</v>
      </c>
      <c r="H635" s="22">
        <f ca="1">IFERROR(__xludf.DUMMYFUNCTION("""COMPUTED_VALUE"""),40552)</f>
        <v>40552</v>
      </c>
      <c r="I635" s="22"/>
      <c r="J635" s="24" t="str">
        <f ca="1">IFERROR(__xludf.DUMMYFUNCTION("""COMPUTED_VALUE"""),"Woollen, P")</f>
        <v>Woollen, P</v>
      </c>
      <c r="K635" s="25" t="str">
        <f ca="1">IFERROR(__xludf.DUMMYFUNCTION("""COMPUTED_VALUE"""),"?")</f>
        <v>?</v>
      </c>
      <c r="L635" s="27" t="str">
        <f ca="1">IFERROR(__xludf.DUMMYFUNCTION("""COMPUTED_VALUE"""),"closed")</f>
        <v>closed</v>
      </c>
      <c r="M635" s="27" t="str">
        <f ca="1">IFERROR(__xludf.DUMMYFUNCTION("""COMPUTED_VALUE"""),"1st U")</f>
        <v>1st U</v>
      </c>
      <c r="N635" s="25" t="str">
        <f ca="1">IFERROR(__xludf.DUMMYFUNCTION("""COMPUTED_VALUE"""),"accepted")</f>
        <v>accepted</v>
      </c>
      <c r="O635" s="28"/>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c r="AQ635" s="25"/>
      <c r="AR635" s="25"/>
      <c r="AS635" s="25"/>
      <c r="AT635" s="25"/>
      <c r="AU635" s="25"/>
      <c r="AV635" s="25"/>
      <c r="AW635" s="25"/>
      <c r="AX635" s="25"/>
      <c r="AY635" s="25"/>
      <c r="AZ635" s="25"/>
      <c r="BA635" s="25"/>
      <c r="BB635" s="25"/>
      <c r="BC635" s="25"/>
      <c r="BD635" s="25"/>
      <c r="BE635" s="25"/>
      <c r="BF635" s="25"/>
      <c r="BG635" s="25"/>
      <c r="BH635" s="25"/>
      <c r="BI635" s="25"/>
      <c r="BJ635" s="25"/>
      <c r="BK635" s="25"/>
      <c r="BL635" s="25"/>
      <c r="BM635" s="25"/>
      <c r="BN635" s="25"/>
      <c r="BO635" s="25"/>
      <c r="BP635" s="25"/>
      <c r="BQ635" s="25"/>
      <c r="BR635" s="25"/>
      <c r="BS635" s="25"/>
      <c r="BT635" s="25"/>
      <c r="BU635" s="25"/>
      <c r="BV635" s="25"/>
      <c r="BW635" s="25"/>
      <c r="BX635" s="25"/>
      <c r="BY635" s="25"/>
      <c r="BZ635" s="25"/>
      <c r="CA635" s="25"/>
      <c r="CB635" s="25"/>
    </row>
    <row r="636" spans="1:80" ht="13.5" hidden="1" customHeight="1">
      <c r="A636" s="10">
        <f ca="1">IFERROR(__xludf.DUMMYFUNCTION("""COMPUTED_VALUE"""),2011)</f>
        <v>2011</v>
      </c>
      <c r="B636" s="50">
        <f ca="1">IFERROR(__xludf.DUMMYFUNCTION("""COMPUTED_VALUE"""),40586)</f>
        <v>40586</v>
      </c>
      <c r="C636" s="41">
        <f ca="1">IFERROR(__xludf.DUMMYFUNCTION("""COMPUTED_VALUE"""),40585)</f>
        <v>40585</v>
      </c>
      <c r="D636" s="42" t="str">
        <f ca="1">IFERROR(__xludf.DUMMYFUNCTION("""COMPUTED_VALUE"""),"Green-winged Teal")</f>
        <v>Green-winged Teal</v>
      </c>
      <c r="E636" s="53">
        <f ca="1">IFERROR(__xludf.DUMMYFUNCTION("""COMPUTED_VALUE"""),1)</f>
        <v>1</v>
      </c>
      <c r="F636" s="15" t="str">
        <f ca="1">IFERROR(__xludf.DUMMYFUNCTION("""COMPUTED_VALUE"""),"m")</f>
        <v>m</v>
      </c>
      <c r="G636" s="44" t="str">
        <f ca="1">IFERROR(__xludf.DUMMYFUNCTION("""COMPUTED_VALUE"""),"Elton Hall Quarry, Congleton")</f>
        <v>Elton Hall Quarry, Congleton</v>
      </c>
      <c r="H636" s="12">
        <f ca="1">IFERROR(__xludf.DUMMYFUNCTION("""COMPUTED_VALUE"""),40566)</f>
        <v>40566</v>
      </c>
      <c r="I636" s="13"/>
      <c r="J636" s="14" t="str">
        <f ca="1">IFERROR(__xludf.DUMMYFUNCTION("""COMPUTED_VALUE"""),"Capps, K")</f>
        <v>Capps, K</v>
      </c>
      <c r="K636" s="15" t="str">
        <f ca="1">IFERROR(__xludf.DUMMYFUNCTION("""COMPUTED_VALUE"""),"Capps, K")</f>
        <v>Capps, K</v>
      </c>
      <c r="L636" s="17" t="str">
        <f ca="1">IFERROR(__xludf.DUMMYFUNCTION("""COMPUTED_VALUE"""),"closed")</f>
        <v>closed</v>
      </c>
      <c r="M636" s="17" t="str">
        <f ca="1">IFERROR(__xludf.DUMMYFUNCTION("""COMPUTED_VALUE"""),"1st U")</f>
        <v>1st U</v>
      </c>
      <c r="N636" s="15" t="str">
        <f ca="1">IFERROR(__xludf.DUMMYFUNCTION("""COMPUTED_VALUE"""),"accepted")</f>
        <v>accepted</v>
      </c>
      <c r="O636" s="18"/>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row>
    <row r="637" spans="1:80" ht="13.5" hidden="1" customHeight="1">
      <c r="A637" s="20">
        <f ca="1">IFERROR(__xludf.DUMMYFUNCTION("""COMPUTED_VALUE"""),2011)</f>
        <v>2011</v>
      </c>
      <c r="B637" s="45">
        <f ca="1">IFERROR(__xludf.DUMMYFUNCTION("""COMPUTED_VALUE"""),41151)</f>
        <v>41151</v>
      </c>
      <c r="C637" s="46">
        <f ca="1">IFERROR(__xludf.DUMMYFUNCTION("""COMPUTED_VALUE"""),41151)</f>
        <v>41151</v>
      </c>
      <c r="D637" s="47" t="str">
        <f ca="1">IFERROR(__xludf.DUMMYFUNCTION("""COMPUTED_VALUE"""),"Green-winged Teal")</f>
        <v>Green-winged Teal</v>
      </c>
      <c r="E637" s="52">
        <f ca="1">IFERROR(__xludf.DUMMYFUNCTION("""COMPUTED_VALUE"""),1)</f>
        <v>1</v>
      </c>
      <c r="F637" s="25" t="str">
        <f ca="1">IFERROR(__xludf.DUMMYFUNCTION("""COMPUTED_VALUE"""),"m")</f>
        <v>m</v>
      </c>
      <c r="G637" s="48" t="str">
        <f ca="1">IFERROR(__xludf.DUMMYFUNCTION("""COMPUTED_VALUE"""),"Elton Hall Flash, Sandbach")</f>
        <v>Elton Hall Flash, Sandbach</v>
      </c>
      <c r="H637" s="22">
        <f ca="1">IFERROR(__xludf.DUMMYFUNCTION("""COMPUTED_VALUE"""),40646)</f>
        <v>40646</v>
      </c>
      <c r="I637" s="23"/>
      <c r="J637" s="24" t="str">
        <f ca="1">IFERROR(__xludf.DUMMYFUNCTION("""COMPUTED_VALUE"""),"Halstead, J")</f>
        <v>Halstead, J</v>
      </c>
      <c r="K637" s="25" t="str">
        <f ca="1">IFERROR(__xludf.DUMMYFUNCTION("""COMPUTED_VALUE"""),"Ian Mumford")</f>
        <v>Ian Mumford</v>
      </c>
      <c r="L637" s="27" t="str">
        <f ca="1">IFERROR(__xludf.DUMMYFUNCTION("""COMPUTED_VALUE"""),"closed")</f>
        <v>closed</v>
      </c>
      <c r="M637" s="27" t="str">
        <f ca="1">IFERROR(__xludf.DUMMYFUNCTION("""COMPUTED_VALUE"""),"1st U")</f>
        <v>1st U</v>
      </c>
      <c r="N637" s="25" t="str">
        <f ca="1">IFERROR(__xludf.DUMMYFUNCTION("""COMPUTED_VALUE"""),"accepted")</f>
        <v>accepted</v>
      </c>
      <c r="O637" s="28"/>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c r="AQ637" s="25"/>
      <c r="AR637" s="25"/>
      <c r="AS637" s="25"/>
      <c r="AT637" s="25"/>
      <c r="AU637" s="25"/>
      <c r="AV637" s="25"/>
      <c r="AW637" s="25"/>
      <c r="AX637" s="25"/>
      <c r="AY637" s="25"/>
      <c r="AZ637" s="25"/>
      <c r="BA637" s="25"/>
      <c r="BB637" s="25"/>
      <c r="BC637" s="25"/>
      <c r="BD637" s="25"/>
      <c r="BE637" s="25"/>
      <c r="BF637" s="25"/>
      <c r="BG637" s="25"/>
      <c r="BH637" s="25"/>
      <c r="BI637" s="25"/>
      <c r="BJ637" s="25"/>
      <c r="BK637" s="25"/>
      <c r="BL637" s="25"/>
      <c r="BM637" s="25"/>
      <c r="BN637" s="25"/>
      <c r="BO637" s="25"/>
      <c r="BP637" s="25"/>
      <c r="BQ637" s="25"/>
      <c r="BR637" s="25"/>
      <c r="BS637" s="25"/>
      <c r="BT637" s="25"/>
      <c r="BU637" s="25"/>
      <c r="BV637" s="25"/>
      <c r="BW637" s="25"/>
      <c r="BX637" s="25"/>
      <c r="BY637" s="25"/>
      <c r="BZ637" s="25"/>
      <c r="CA637" s="25"/>
      <c r="CB637" s="25"/>
    </row>
    <row r="638" spans="1:80" ht="13.5" hidden="1" customHeight="1">
      <c r="A638" s="10">
        <f ca="1">IFERROR(__xludf.DUMMYFUNCTION("""COMPUTED_VALUE"""),2011)</f>
        <v>2011</v>
      </c>
      <c r="B638" s="50">
        <f ca="1">IFERROR(__xludf.DUMMYFUNCTION("""COMPUTED_VALUE"""),41151)</f>
        <v>41151</v>
      </c>
      <c r="C638" s="41">
        <f ca="1">IFERROR(__xludf.DUMMYFUNCTION("""COMPUTED_VALUE"""),41151)</f>
        <v>41151</v>
      </c>
      <c r="D638" s="42" t="str">
        <f ca="1">IFERROR(__xludf.DUMMYFUNCTION("""COMPUTED_VALUE"""),"Green-winged Teal")</f>
        <v>Green-winged Teal</v>
      </c>
      <c r="E638" s="53">
        <f ca="1">IFERROR(__xludf.DUMMYFUNCTION("""COMPUTED_VALUE"""),1)</f>
        <v>1</v>
      </c>
      <c r="F638" s="15" t="str">
        <f ca="1">IFERROR(__xludf.DUMMYFUNCTION("""COMPUTED_VALUE"""),"m")</f>
        <v>m</v>
      </c>
      <c r="G638" s="44" t="str">
        <f ca="1">IFERROR(__xludf.DUMMYFUNCTION("""COMPUTED_VALUE"""),"Elton Hall Flash, Sandbach")</f>
        <v>Elton Hall Flash, Sandbach</v>
      </c>
      <c r="H638" s="12">
        <f ca="1">IFERROR(__xludf.DUMMYFUNCTION("""COMPUTED_VALUE"""),40644)</f>
        <v>40644</v>
      </c>
      <c r="I638" s="12">
        <f ca="1">IFERROR(__xludf.DUMMYFUNCTION("""COMPUTED_VALUE"""),40653)</f>
        <v>40653</v>
      </c>
      <c r="J638" s="68" t="str">
        <f ca="1">IFERROR(__xludf.DUMMYFUNCTION("""COMPUTED_VALUE"""),"Firth, A")</f>
        <v>Firth, A</v>
      </c>
      <c r="K638" s="15" t="str">
        <f ca="1">IFERROR(__xludf.DUMMYFUNCTION("""COMPUTED_VALUE"""),"Ian Mumford")</f>
        <v>Ian Mumford</v>
      </c>
      <c r="L638" s="17" t="str">
        <f ca="1">IFERROR(__xludf.DUMMYFUNCTION("""COMPUTED_VALUE"""),"closed")</f>
        <v>closed</v>
      </c>
      <c r="M638" s="17" t="str">
        <f ca="1">IFERROR(__xludf.DUMMYFUNCTION("""COMPUTED_VALUE"""),"1st U")</f>
        <v>1st U</v>
      </c>
      <c r="N638" s="15" t="str">
        <f ca="1">IFERROR(__xludf.DUMMYFUNCTION("""COMPUTED_VALUE"""),"accepted")</f>
        <v>accepted</v>
      </c>
      <c r="O638" s="66"/>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row>
    <row r="639" spans="1:80" ht="13.5" hidden="1" customHeight="1">
      <c r="A639" s="20">
        <f ca="1">IFERROR(__xludf.DUMMYFUNCTION("""COMPUTED_VALUE"""),2011)</f>
        <v>2011</v>
      </c>
      <c r="B639" s="45">
        <f ca="1">IFERROR(__xludf.DUMMYFUNCTION("""COMPUTED_VALUE"""),41157)</f>
        <v>41157</v>
      </c>
      <c r="C639" s="46">
        <f ca="1">IFERROR(__xludf.DUMMYFUNCTION("""COMPUTED_VALUE"""),41156)</f>
        <v>41156</v>
      </c>
      <c r="D639" s="47" t="str">
        <f ca="1">IFERROR(__xludf.DUMMYFUNCTION("""COMPUTED_VALUE"""),"Ring-necked Duck")</f>
        <v>Ring-necked Duck</v>
      </c>
      <c r="E639" s="52">
        <f ca="1">IFERROR(__xludf.DUMMYFUNCTION("""COMPUTED_VALUE"""),1)</f>
        <v>1</v>
      </c>
      <c r="F639" s="25" t="str">
        <f ca="1">IFERROR(__xludf.DUMMYFUNCTION("""COMPUTED_VALUE"""),"male")</f>
        <v>male</v>
      </c>
      <c r="G639" s="48" t="str">
        <f ca="1">IFERROR(__xludf.DUMMYFUNCTION("""COMPUTED_VALUE"""),"River Mersey, Woolston Eyes")</f>
        <v>River Mersey, Woolston Eyes</v>
      </c>
      <c r="H639" s="22">
        <f ca="1">IFERROR(__xludf.DUMMYFUNCTION("""COMPUTED_VALUE"""),40654)</f>
        <v>40654</v>
      </c>
      <c r="I639" s="22"/>
      <c r="J639" s="24" t="str">
        <f ca="1">IFERROR(__xludf.DUMMYFUNCTION("""COMPUTED_VALUE"""),"M Baron")</f>
        <v>M Baron</v>
      </c>
      <c r="K639" s="25"/>
      <c r="L639" s="27" t="str">
        <f ca="1">IFERROR(__xludf.DUMMYFUNCTION("""COMPUTED_VALUE"""),"closed")</f>
        <v>closed</v>
      </c>
      <c r="M639" s="27" t="str">
        <f ca="1">IFERROR(__xludf.DUMMYFUNCTION("""COMPUTED_VALUE"""),"1st U")</f>
        <v>1st U</v>
      </c>
      <c r="N639" s="25" t="str">
        <f ca="1">IFERROR(__xludf.DUMMYFUNCTION("""COMPUTED_VALUE"""),"accepted")</f>
        <v>accepted</v>
      </c>
      <c r="O639" s="28"/>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c r="AQ639" s="25"/>
      <c r="AR639" s="25"/>
      <c r="AS639" s="25"/>
      <c r="AT639" s="25"/>
      <c r="AU639" s="25"/>
      <c r="AV639" s="25"/>
      <c r="AW639" s="25"/>
      <c r="AX639" s="25"/>
      <c r="AY639" s="25"/>
      <c r="AZ639" s="25"/>
      <c r="BA639" s="25"/>
      <c r="BB639" s="25"/>
      <c r="BC639" s="25"/>
      <c r="BD639" s="25"/>
      <c r="BE639" s="25"/>
      <c r="BF639" s="25"/>
      <c r="BG639" s="25"/>
      <c r="BH639" s="25"/>
      <c r="BI639" s="25"/>
      <c r="BJ639" s="25"/>
      <c r="BK639" s="25"/>
      <c r="BL639" s="25"/>
      <c r="BM639" s="25"/>
      <c r="BN639" s="25"/>
      <c r="BO639" s="25"/>
      <c r="BP639" s="25"/>
      <c r="BQ639" s="25"/>
      <c r="BR639" s="25"/>
      <c r="BS639" s="25"/>
      <c r="BT639" s="25"/>
      <c r="BU639" s="25"/>
      <c r="BV639" s="25"/>
      <c r="BW639" s="25"/>
      <c r="BX639" s="25"/>
      <c r="BY639" s="25"/>
      <c r="BZ639" s="25"/>
      <c r="CA639" s="25"/>
      <c r="CB639" s="25"/>
    </row>
    <row r="640" spans="1:80" ht="13.5" hidden="1" customHeight="1">
      <c r="A640" s="10">
        <f ca="1">IFERROR(__xludf.DUMMYFUNCTION("""COMPUTED_VALUE"""),2011)</f>
        <v>2011</v>
      </c>
      <c r="B640" s="50">
        <f ca="1">IFERROR(__xludf.DUMMYFUNCTION("""COMPUTED_VALUE"""),41225)</f>
        <v>41225</v>
      </c>
      <c r="C640" s="41">
        <f ca="1">IFERROR(__xludf.DUMMYFUNCTION("""COMPUTED_VALUE"""),41150)</f>
        <v>41150</v>
      </c>
      <c r="D640" s="42" t="str">
        <f ca="1">IFERROR(__xludf.DUMMYFUNCTION("""COMPUTED_VALUE"""),"Goshawk")</f>
        <v>Goshawk</v>
      </c>
      <c r="E640" s="53">
        <f ca="1">IFERROR(__xludf.DUMMYFUNCTION("""COMPUTED_VALUE"""),1)</f>
        <v>1</v>
      </c>
      <c r="F640" s="15" t="str">
        <f ca="1">IFERROR(__xludf.DUMMYFUNCTION("""COMPUTED_VALUE"""),"female")</f>
        <v>female</v>
      </c>
      <c r="G640" s="44" t="str">
        <f ca="1">IFERROR(__xludf.DUMMYFUNCTION("""COMPUTED_VALUE"""),"Clincton Wood NNR Widnes")</f>
        <v>Clincton Wood NNR Widnes</v>
      </c>
      <c r="H640" s="12">
        <f ca="1">IFERROR(__xludf.DUMMYFUNCTION("""COMPUTED_VALUE"""),40620)</f>
        <v>40620</v>
      </c>
      <c r="I640" s="12"/>
      <c r="J640" s="68" t="str">
        <f ca="1">IFERROR(__xludf.DUMMYFUNCTION("""COMPUTED_VALUE"""),"Brandreth, TA")</f>
        <v>Brandreth, TA</v>
      </c>
      <c r="K640" s="43"/>
      <c r="L640" s="17" t="str">
        <f ca="1">IFERROR(__xludf.DUMMYFUNCTION("""COMPUTED_VALUE"""),"closed")</f>
        <v>closed</v>
      </c>
      <c r="M640" s="17" t="str">
        <f ca="1">IFERROR(__xludf.DUMMYFUNCTION("""COMPUTED_VALUE"""),"1st M")</f>
        <v>1st M</v>
      </c>
      <c r="N640" s="15" t="str">
        <f ca="1">IFERROR(__xludf.DUMMYFUNCTION("""COMPUTED_VALUE"""),"accepted")</f>
        <v>accepted</v>
      </c>
      <c r="O640" s="66"/>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row>
    <row r="641" spans="1:80" ht="13.5" hidden="1" customHeight="1">
      <c r="A641" s="20">
        <f ca="1">IFERROR(__xludf.DUMMYFUNCTION("""COMPUTED_VALUE"""),2011)</f>
        <v>2011</v>
      </c>
      <c r="B641" s="45">
        <f ca="1">IFERROR(__xludf.DUMMYFUNCTION("""COMPUTED_VALUE"""),41225)</f>
        <v>41225</v>
      </c>
      <c r="C641" s="46">
        <f ca="1">IFERROR(__xludf.DUMMYFUNCTION("""COMPUTED_VALUE"""),41150)</f>
        <v>41150</v>
      </c>
      <c r="D641" s="47" t="str">
        <f ca="1">IFERROR(__xludf.DUMMYFUNCTION("""COMPUTED_VALUE"""),"Goshawk")</f>
        <v>Goshawk</v>
      </c>
      <c r="E641" s="52">
        <f ca="1">IFERROR(__xludf.DUMMYFUNCTION("""COMPUTED_VALUE"""),1)</f>
        <v>1</v>
      </c>
      <c r="F641" s="25" t="str">
        <f ca="1">IFERROR(__xludf.DUMMYFUNCTION("""COMPUTED_VALUE"""),"f?")</f>
        <v>f?</v>
      </c>
      <c r="G641" s="48" t="str">
        <f ca="1">IFERROR(__xludf.DUMMYFUNCTION("""COMPUTED_VALUE"""),"Elton Hall Flash, Sandbach")</f>
        <v>Elton Hall Flash, Sandbach</v>
      </c>
      <c r="H641" s="22">
        <f ca="1">IFERROR(__xludf.DUMMYFUNCTION("""COMPUTED_VALUE"""),40744)</f>
        <v>40744</v>
      </c>
      <c r="I641" s="22"/>
      <c r="J641" s="24" t="str">
        <f ca="1">IFERROR(__xludf.DUMMYFUNCTION("""COMPUTED_VALUE"""),"Booth, A")</f>
        <v>Booth, A</v>
      </c>
      <c r="K641" s="25" t="str">
        <f ca="1">IFERROR(__xludf.DUMMYFUNCTION("""COMPUTED_VALUE"""),"Booth, A")</f>
        <v>Booth, A</v>
      </c>
      <c r="L641" s="27" t="str">
        <f ca="1">IFERROR(__xludf.DUMMYFUNCTION("""COMPUTED_VALUE"""),"closed")</f>
        <v>closed</v>
      </c>
      <c r="M641" s="27" t="str">
        <f ca="1">IFERROR(__xludf.DUMMYFUNCTION("""COMPUTED_VALUE"""),"1st U")</f>
        <v>1st U</v>
      </c>
      <c r="N641" s="25" t="str">
        <f ca="1">IFERROR(__xludf.DUMMYFUNCTION("""COMPUTED_VALUE"""),"accepted")</f>
        <v>accepted</v>
      </c>
      <c r="O641" s="28"/>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c r="AQ641" s="25"/>
      <c r="AR641" s="25"/>
      <c r="AS641" s="25"/>
      <c r="AT641" s="25"/>
      <c r="AU641" s="25"/>
      <c r="AV641" s="25"/>
      <c r="AW641" s="25"/>
      <c r="AX641" s="25"/>
      <c r="AY641" s="25"/>
      <c r="AZ641" s="25"/>
      <c r="BA641" s="25"/>
      <c r="BB641" s="25"/>
      <c r="BC641" s="25"/>
      <c r="BD641" s="25"/>
      <c r="BE641" s="25"/>
      <c r="BF641" s="25"/>
      <c r="BG641" s="25"/>
      <c r="BH641" s="25"/>
      <c r="BI641" s="25"/>
      <c r="BJ641" s="25"/>
      <c r="BK641" s="25"/>
      <c r="BL641" s="25"/>
      <c r="BM641" s="25"/>
      <c r="BN641" s="25"/>
      <c r="BO641" s="25"/>
      <c r="BP641" s="25"/>
      <c r="BQ641" s="25"/>
      <c r="BR641" s="25"/>
      <c r="BS641" s="25"/>
      <c r="BT641" s="25"/>
      <c r="BU641" s="25"/>
      <c r="BV641" s="25"/>
      <c r="BW641" s="25"/>
      <c r="BX641" s="25"/>
      <c r="BY641" s="25"/>
      <c r="BZ641" s="25"/>
      <c r="CA641" s="25"/>
      <c r="CB641" s="25"/>
    </row>
    <row r="642" spans="1:80" ht="13.5" hidden="1" customHeight="1">
      <c r="A642" s="10">
        <f ca="1">IFERROR(__xludf.DUMMYFUNCTION("""COMPUTED_VALUE"""),2011)</f>
        <v>2011</v>
      </c>
      <c r="B642" s="50">
        <f ca="1">IFERROR(__xludf.DUMMYFUNCTION("""COMPUTED_VALUE"""),41221)</f>
        <v>41221</v>
      </c>
      <c r="C642" s="41">
        <f ca="1">IFERROR(__xludf.DUMMYFUNCTION("""COMPUTED_VALUE"""),41165)</f>
        <v>41165</v>
      </c>
      <c r="D642" s="42" t="str">
        <f ca="1">IFERROR(__xludf.DUMMYFUNCTION("""COMPUTED_VALUE"""),"Goshawk")</f>
        <v>Goshawk</v>
      </c>
      <c r="E642" s="53">
        <f ca="1">IFERROR(__xludf.DUMMYFUNCTION("""COMPUTED_VALUE"""),1)</f>
        <v>1</v>
      </c>
      <c r="F642" s="15" t="str">
        <f ca="1">IFERROR(__xludf.DUMMYFUNCTION("""COMPUTED_VALUE"""),"F")</f>
        <v>F</v>
      </c>
      <c r="G642" s="44" t="str">
        <f ca="1">IFERROR(__xludf.DUMMYFUNCTION("""COMPUTED_VALUE"""),"Wildboarclough")</f>
        <v>Wildboarclough</v>
      </c>
      <c r="H642" s="12">
        <f ca="1">IFERROR(__xludf.DUMMYFUNCTION("""COMPUTED_VALUE"""),40641)</f>
        <v>40641</v>
      </c>
      <c r="I642" s="13"/>
      <c r="J642" s="14" t="str">
        <f ca="1">IFERROR(__xludf.DUMMYFUNCTION("""COMPUTED_VALUE"""),"Pulsford, AH")</f>
        <v>Pulsford, AH</v>
      </c>
      <c r="K642" s="15" t="str">
        <f ca="1">IFERROR(__xludf.DUMMYFUNCTION("""COMPUTED_VALUE"""),"Pulsford, AH")</f>
        <v>Pulsford, AH</v>
      </c>
      <c r="L642" s="17" t="str">
        <f ca="1">IFERROR(__xludf.DUMMYFUNCTION("""COMPUTED_VALUE"""),"closed")</f>
        <v>closed</v>
      </c>
      <c r="M642" s="17" t="str">
        <f ca="1">IFERROR(__xludf.DUMMYFUNCTION("""COMPUTED_VALUE"""),"1st U")</f>
        <v>1st U</v>
      </c>
      <c r="N642" s="15" t="str">
        <f ca="1">IFERROR(__xludf.DUMMYFUNCTION("""COMPUTED_VALUE"""),"accepted")</f>
        <v>accepted</v>
      </c>
      <c r="O642" s="18"/>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row>
    <row r="643" spans="1:80" ht="13.5" hidden="1" customHeight="1">
      <c r="A643" s="20">
        <f ca="1">IFERROR(__xludf.DUMMYFUNCTION("""COMPUTED_VALUE"""),2011)</f>
        <v>2011</v>
      </c>
      <c r="B643" s="45">
        <f ca="1">IFERROR(__xludf.DUMMYFUNCTION("""COMPUTED_VALUE"""),41225)</f>
        <v>41225</v>
      </c>
      <c r="C643" s="46">
        <f ca="1">IFERROR(__xludf.DUMMYFUNCTION("""COMPUTED_VALUE"""),41225)</f>
        <v>41225</v>
      </c>
      <c r="D643" s="47" t="str">
        <f ca="1">IFERROR(__xludf.DUMMYFUNCTION("""COMPUTED_VALUE"""),"Nightjar")</f>
        <v>Nightjar</v>
      </c>
      <c r="E643" s="52">
        <f ca="1">IFERROR(__xludf.DUMMYFUNCTION("""COMPUTED_VALUE"""),1)</f>
        <v>1</v>
      </c>
      <c r="F643" s="25" t="str">
        <f ca="1">IFERROR(__xludf.DUMMYFUNCTION("""COMPUTED_VALUE"""),"m")</f>
        <v>m</v>
      </c>
      <c r="G643" s="48" t="str">
        <f ca="1">IFERROR(__xludf.DUMMYFUNCTION("""COMPUTED_VALUE"""),"Primrose Hill, Delamere")</f>
        <v>Primrose Hill, Delamere</v>
      </c>
      <c r="H643" s="22">
        <f ca="1">IFERROR(__xludf.DUMMYFUNCTION("""COMPUTED_VALUE"""),40697)</f>
        <v>40697</v>
      </c>
      <c r="I643" s="23"/>
      <c r="J643" s="24" t="str">
        <f ca="1">IFERROR(__xludf.DUMMYFUNCTION("""COMPUTED_VALUE"""),"Wright, D")</f>
        <v>Wright, D</v>
      </c>
      <c r="K643" s="25" t="str">
        <f ca="1">IFERROR(__xludf.DUMMYFUNCTION("""COMPUTED_VALUE"""),"Wright, D")</f>
        <v>Wright, D</v>
      </c>
      <c r="L643" s="27" t="str">
        <f ca="1">IFERROR(__xludf.DUMMYFUNCTION("""COMPUTED_VALUE"""),"closed")</f>
        <v>closed</v>
      </c>
      <c r="M643" s="27" t="str">
        <f ca="1">IFERROR(__xludf.DUMMYFUNCTION("""COMPUTED_VALUE"""),"1st U")</f>
        <v>1st U</v>
      </c>
      <c r="N643" s="25" t="str">
        <f ca="1">IFERROR(__xludf.DUMMYFUNCTION("""COMPUTED_VALUE"""),"accepted")</f>
        <v>accepted</v>
      </c>
      <c r="O643" s="28"/>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c r="AQ643" s="25"/>
      <c r="AR643" s="25"/>
      <c r="AS643" s="25"/>
      <c r="AT643" s="25"/>
      <c r="AU643" s="25"/>
      <c r="AV643" s="25"/>
      <c r="AW643" s="25"/>
      <c r="AX643" s="25"/>
      <c r="AY643" s="25"/>
      <c r="AZ643" s="25"/>
      <c r="BA643" s="25"/>
      <c r="BB643" s="25"/>
      <c r="BC643" s="25"/>
      <c r="BD643" s="25"/>
      <c r="BE643" s="25"/>
      <c r="BF643" s="25"/>
      <c r="BG643" s="25"/>
      <c r="BH643" s="25"/>
      <c r="BI643" s="25"/>
      <c r="BJ643" s="25"/>
      <c r="BK643" s="25"/>
      <c r="BL643" s="25"/>
      <c r="BM643" s="25"/>
      <c r="BN643" s="25"/>
      <c r="BO643" s="25"/>
      <c r="BP643" s="25"/>
      <c r="BQ643" s="25"/>
      <c r="BR643" s="25"/>
      <c r="BS643" s="25"/>
      <c r="BT643" s="25"/>
      <c r="BU643" s="25"/>
      <c r="BV643" s="25"/>
      <c r="BW643" s="25"/>
      <c r="BX643" s="25"/>
      <c r="BY643" s="25"/>
      <c r="BZ643" s="25"/>
      <c r="CA643" s="25"/>
      <c r="CB643" s="25"/>
    </row>
    <row r="644" spans="1:80" ht="13.5" hidden="1" customHeight="1">
      <c r="A644" s="10">
        <f ca="1">IFERROR(__xludf.DUMMYFUNCTION("""COMPUTED_VALUE"""),2011)</f>
        <v>2011</v>
      </c>
      <c r="B644" s="50">
        <f ca="1">IFERROR(__xludf.DUMMYFUNCTION("""COMPUTED_VALUE"""),41225)</f>
        <v>41225</v>
      </c>
      <c r="C644" s="41">
        <f ca="1">IFERROR(__xludf.DUMMYFUNCTION("""COMPUTED_VALUE"""),41224)</f>
        <v>41224</v>
      </c>
      <c r="D644" s="42" t="str">
        <f ca="1">IFERROR(__xludf.DUMMYFUNCTION("""COMPUTED_VALUE"""),"Alpine Swift")</f>
        <v>Alpine Swift</v>
      </c>
      <c r="E644" s="53">
        <f ca="1">IFERROR(__xludf.DUMMYFUNCTION("""COMPUTED_VALUE"""),1)</f>
        <v>1</v>
      </c>
      <c r="F644" s="15"/>
      <c r="G644" s="44" t="str">
        <f ca="1">IFERROR(__xludf.DUMMYFUNCTION("""COMPUTED_VALUE"""),"Disley (Moorside)")</f>
        <v>Disley (Moorside)</v>
      </c>
      <c r="H644" s="12">
        <f ca="1">IFERROR(__xludf.DUMMYFUNCTION("""COMPUTED_VALUE"""),40611)</f>
        <v>40611</v>
      </c>
      <c r="I644" s="12"/>
      <c r="J644" s="68"/>
      <c r="K644" s="15"/>
      <c r="L644" s="17" t="str">
        <f ca="1">IFERROR(__xludf.DUMMYFUNCTION("""COMPUTED_VALUE"""),"closed")</f>
        <v>closed</v>
      </c>
      <c r="M644" s="17" t="str">
        <f ca="1">IFERROR(__xludf.DUMMYFUNCTION("""COMPUTED_VALUE"""),"1st U")</f>
        <v>1st U</v>
      </c>
      <c r="N644" s="15" t="str">
        <f ca="1">IFERROR(__xludf.DUMMYFUNCTION("""COMPUTED_VALUE"""),"unproven")</f>
        <v>unproven</v>
      </c>
      <c r="O644" s="66"/>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row>
    <row r="645" spans="1:80" ht="13.5" hidden="1" customHeight="1">
      <c r="A645" s="20">
        <f ca="1">IFERROR(__xludf.DUMMYFUNCTION("""COMPUTED_VALUE"""),2011)</f>
        <v>2011</v>
      </c>
      <c r="B645" s="45">
        <f ca="1">IFERROR(__xludf.DUMMYFUNCTION("""COMPUTED_VALUE"""),41221)</f>
        <v>41221</v>
      </c>
      <c r="C645" s="46">
        <f ca="1">IFERROR(__xludf.DUMMYFUNCTION("""COMPUTED_VALUE"""),41143)</f>
        <v>41143</v>
      </c>
      <c r="D645" s="47" t="str">
        <f ca="1">IFERROR(__xludf.DUMMYFUNCTION("""COMPUTED_VALUE"""),"Bee-eater")</f>
        <v>Bee-eater</v>
      </c>
      <c r="E645" s="52">
        <f ca="1">IFERROR(__xludf.DUMMYFUNCTION("""COMPUTED_VALUE"""),1)</f>
        <v>1</v>
      </c>
      <c r="F645" s="25"/>
      <c r="G645" s="48" t="str">
        <f ca="1">IFERROR(__xludf.DUMMYFUNCTION("""COMPUTED_VALUE"""),"Warmingham")</f>
        <v>Warmingham</v>
      </c>
      <c r="H645" s="22">
        <f ca="1">IFERROR(__xludf.DUMMYFUNCTION("""COMPUTED_VALUE"""),40648)</f>
        <v>40648</v>
      </c>
      <c r="I645" s="23"/>
      <c r="J645" s="24" t="str">
        <f ca="1">IFERROR(__xludf.DUMMYFUNCTION("""COMPUTED_VALUE"""),"Marlow, T")</f>
        <v>Marlow, T</v>
      </c>
      <c r="K645" s="25" t="str">
        <f ca="1">IFERROR(__xludf.DUMMYFUNCTION("""COMPUTED_VALUE"""),"Marlow, T")</f>
        <v>Marlow, T</v>
      </c>
      <c r="L645" s="27" t="str">
        <f ca="1">IFERROR(__xludf.DUMMYFUNCTION("""COMPUTED_VALUE"""),"closed")</f>
        <v>closed</v>
      </c>
      <c r="M645" s="27" t="str">
        <f ca="1">IFERROR(__xludf.DUMMYFUNCTION("""COMPUTED_VALUE"""),"2nd M")</f>
        <v>2nd M</v>
      </c>
      <c r="N645" s="25" t="str">
        <f ca="1">IFERROR(__xludf.DUMMYFUNCTION("""COMPUTED_VALUE"""),"accepted")</f>
        <v>accepted</v>
      </c>
      <c r="O645" s="28"/>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c r="AQ645" s="25"/>
      <c r="AR645" s="25"/>
      <c r="AS645" s="25"/>
      <c r="AT645" s="25"/>
      <c r="AU645" s="25"/>
      <c r="AV645" s="25"/>
      <c r="AW645" s="25"/>
      <c r="AX645" s="25"/>
      <c r="AY645" s="25"/>
      <c r="AZ645" s="25"/>
      <c r="BA645" s="25"/>
      <c r="BB645" s="25"/>
      <c r="BC645" s="25"/>
      <c r="BD645" s="25"/>
      <c r="BE645" s="25"/>
      <c r="BF645" s="25"/>
      <c r="BG645" s="25"/>
      <c r="BH645" s="25"/>
      <c r="BI645" s="25"/>
      <c r="BJ645" s="25"/>
      <c r="BK645" s="25"/>
      <c r="BL645" s="25"/>
      <c r="BM645" s="25"/>
      <c r="BN645" s="25"/>
      <c r="BO645" s="25"/>
      <c r="BP645" s="25"/>
      <c r="BQ645" s="25"/>
      <c r="BR645" s="25"/>
      <c r="BS645" s="25"/>
      <c r="BT645" s="25"/>
      <c r="BU645" s="25"/>
      <c r="BV645" s="25"/>
      <c r="BW645" s="25"/>
      <c r="BX645" s="25"/>
      <c r="BY645" s="25"/>
      <c r="BZ645" s="25"/>
      <c r="CA645" s="25"/>
      <c r="CB645" s="25"/>
    </row>
    <row r="646" spans="1:80" ht="13.5" hidden="1" customHeight="1">
      <c r="A646" s="10">
        <f ca="1">IFERROR(__xludf.DUMMYFUNCTION("""COMPUTED_VALUE"""),2011)</f>
        <v>2011</v>
      </c>
      <c r="B646" s="50">
        <f ca="1">IFERROR(__xludf.DUMMYFUNCTION("""COMPUTED_VALUE"""),41216)</f>
        <v>41216</v>
      </c>
      <c r="C646" s="41">
        <f ca="1">IFERROR(__xludf.DUMMYFUNCTION("""COMPUTED_VALUE"""),41026)</f>
        <v>41026</v>
      </c>
      <c r="D646" s="42" t="str">
        <f ca="1">IFERROR(__xludf.DUMMYFUNCTION("""COMPUTED_VALUE"""),"Water Pipit")</f>
        <v>Water Pipit</v>
      </c>
      <c r="E646" s="53">
        <f ca="1">IFERROR(__xludf.DUMMYFUNCTION("""COMPUTED_VALUE"""),1)</f>
        <v>1</v>
      </c>
      <c r="F646" s="15"/>
      <c r="G646" s="44" t="str">
        <f ca="1">IFERROR(__xludf.DUMMYFUNCTION("""COMPUTED_VALUE"""),"Neston Sewage Farm")</f>
        <v>Neston Sewage Farm</v>
      </c>
      <c r="H646" s="12">
        <f ca="1">IFERROR(__xludf.DUMMYFUNCTION("""COMPUTED_VALUE"""),40608)</f>
        <v>40608</v>
      </c>
      <c r="I646" s="13"/>
      <c r="J646" s="14" t="str">
        <f ca="1">IFERROR(__xludf.DUMMYFUNCTION("""COMPUTED_VALUE"""),"Thomas, AF")</f>
        <v>Thomas, AF</v>
      </c>
      <c r="K646" s="15" t="str">
        <f ca="1">IFERROR(__xludf.DUMMYFUNCTION("""COMPUTED_VALUE"""),"Thomas, AF")</f>
        <v>Thomas, AF</v>
      </c>
      <c r="L646" s="17" t="str">
        <f ca="1">IFERROR(__xludf.DUMMYFUNCTION("""COMPUTED_VALUE"""),"closed")</f>
        <v>closed</v>
      </c>
      <c r="M646" s="17"/>
      <c r="N646" s="15" t="str">
        <f ca="1">IFERROR(__xludf.DUMMYFUNCTION("""COMPUTED_VALUE"""),"accepted")</f>
        <v>accepted</v>
      </c>
      <c r="O646" s="18"/>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row>
    <row r="647" spans="1:80" ht="13.5" hidden="1" customHeight="1">
      <c r="A647" s="20">
        <f ca="1">IFERROR(__xludf.DUMMYFUNCTION("""COMPUTED_VALUE"""),2011)</f>
        <v>2011</v>
      </c>
      <c r="B647" s="45">
        <f ca="1">IFERROR(__xludf.DUMMYFUNCTION("""COMPUTED_VALUE"""),41151)</f>
        <v>41151</v>
      </c>
      <c r="C647" s="46">
        <f ca="1">IFERROR(__xludf.DUMMYFUNCTION("""COMPUTED_VALUE"""),41150)</f>
        <v>41150</v>
      </c>
      <c r="D647" s="47" t="str">
        <f ca="1">IFERROR(__xludf.DUMMYFUNCTION("""COMPUTED_VALUE"""),"Water Pipit")</f>
        <v>Water Pipit</v>
      </c>
      <c r="E647" s="52">
        <f ca="1">IFERROR(__xludf.DUMMYFUNCTION("""COMPUTED_VALUE"""),1)</f>
        <v>1</v>
      </c>
      <c r="F647" s="25"/>
      <c r="G647" s="48" t="str">
        <f ca="1">IFERROR(__xludf.DUMMYFUNCTION("""COMPUTED_VALUE"""),"Neston Old Quay, Dee Est NR RSPB")</f>
        <v>Neston Old Quay, Dee Est NR RSPB</v>
      </c>
      <c r="H647" s="22">
        <f ca="1">IFERROR(__xludf.DUMMYFUNCTION("""COMPUTED_VALUE"""),40899)</f>
        <v>40899</v>
      </c>
      <c r="I647" s="23"/>
      <c r="J647" s="24" t="str">
        <f ca="1">IFERROR(__xludf.DUMMYFUNCTION("""COMPUTED_VALUE"""),"Williams, E")</f>
        <v>Williams, E</v>
      </c>
      <c r="K647" s="25" t="str">
        <f ca="1">IFERROR(__xludf.DUMMYFUNCTION("""COMPUTED_VALUE"""),"Williams, E")</f>
        <v>Williams, E</v>
      </c>
      <c r="L647" s="27" t="str">
        <f ca="1">IFERROR(__xludf.DUMMYFUNCTION("""COMPUTED_VALUE"""),"closed")</f>
        <v>closed</v>
      </c>
      <c r="M647" s="27" t="str">
        <f ca="1">IFERROR(__xludf.DUMMYFUNCTION("""COMPUTED_VALUE"""),"1st U")</f>
        <v>1st U</v>
      </c>
      <c r="N647" s="25" t="str">
        <f ca="1">IFERROR(__xludf.DUMMYFUNCTION("""COMPUTED_VALUE"""),"accepted")</f>
        <v>accepted</v>
      </c>
      <c r="O647" s="28"/>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c r="AQ647" s="25"/>
      <c r="AR647" s="25"/>
      <c r="AS647" s="25"/>
      <c r="AT647" s="25"/>
      <c r="AU647" s="25"/>
      <c r="AV647" s="25"/>
      <c r="AW647" s="25"/>
      <c r="AX647" s="25"/>
      <c r="AY647" s="25"/>
      <c r="AZ647" s="25"/>
      <c r="BA647" s="25"/>
      <c r="BB647" s="25"/>
      <c r="BC647" s="25"/>
      <c r="BD647" s="25"/>
      <c r="BE647" s="25"/>
      <c r="BF647" s="25"/>
      <c r="BG647" s="25"/>
      <c r="BH647" s="25"/>
      <c r="BI647" s="25"/>
      <c r="BJ647" s="25"/>
      <c r="BK647" s="25"/>
      <c r="BL647" s="25"/>
      <c r="BM647" s="25"/>
      <c r="BN647" s="25"/>
      <c r="BO647" s="25"/>
      <c r="BP647" s="25"/>
      <c r="BQ647" s="25"/>
      <c r="BR647" s="25"/>
      <c r="BS647" s="25"/>
      <c r="BT647" s="25"/>
      <c r="BU647" s="25"/>
      <c r="BV647" s="25"/>
      <c r="BW647" s="25"/>
      <c r="BX647" s="25"/>
      <c r="BY647" s="25"/>
      <c r="BZ647" s="25"/>
      <c r="CA647" s="25"/>
      <c r="CB647" s="25"/>
    </row>
    <row r="648" spans="1:80" ht="13.5" hidden="1" customHeight="1">
      <c r="A648" s="10">
        <f ca="1">IFERROR(__xludf.DUMMYFUNCTION("""COMPUTED_VALUE"""),2011)</f>
        <v>2011</v>
      </c>
      <c r="B648" s="50">
        <f ca="1">IFERROR(__xludf.DUMMYFUNCTION("""COMPUTED_VALUE"""),41156)</f>
        <v>41156</v>
      </c>
      <c r="C648" s="41">
        <f ca="1">IFERROR(__xludf.DUMMYFUNCTION("""COMPUTED_VALUE"""),41150)</f>
        <v>41150</v>
      </c>
      <c r="D648" s="42" t="str">
        <f ca="1">IFERROR(__xludf.DUMMYFUNCTION("""COMPUTED_VALUE"""),"Spotted Crake")</f>
        <v>Spotted Crake</v>
      </c>
      <c r="E648" s="53">
        <f ca="1">IFERROR(__xludf.DUMMYFUNCTION("""COMPUTED_VALUE"""),1)</f>
        <v>1</v>
      </c>
      <c r="F648" s="15"/>
      <c r="G648" s="44" t="str">
        <f ca="1">IFERROR(__xludf.DUMMYFUNCTION("""COMPUTED_VALUE"""),"Inner Marsh Farm RSPB")</f>
        <v>Inner Marsh Farm RSPB</v>
      </c>
      <c r="H648" s="12">
        <f ca="1">IFERROR(__xludf.DUMMYFUNCTION("""COMPUTED_VALUE"""),40788)</f>
        <v>40788</v>
      </c>
      <c r="I648" s="12"/>
      <c r="J648" s="14" t="str">
        <f ca="1">IFERROR(__xludf.DUMMYFUNCTION("""COMPUTED_VALUE"""),"Davenport, M")</f>
        <v>Davenport, M</v>
      </c>
      <c r="K648" s="15" t="str">
        <f ca="1">IFERROR(__xludf.DUMMYFUNCTION("""COMPUTED_VALUE"""),"?")</f>
        <v>?</v>
      </c>
      <c r="L648" s="17" t="str">
        <f ca="1">IFERROR(__xludf.DUMMYFUNCTION("""COMPUTED_VALUE"""),"closed")</f>
        <v>closed</v>
      </c>
      <c r="M648" s="17" t="str">
        <f ca="1">IFERROR(__xludf.DUMMYFUNCTION("""COMPUTED_VALUE"""),"1st U")</f>
        <v>1st U</v>
      </c>
      <c r="N648" s="15" t="str">
        <f ca="1">IFERROR(__xludf.DUMMYFUNCTION("""COMPUTED_VALUE"""),"accepted")</f>
        <v>accepted</v>
      </c>
      <c r="O648" s="18"/>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row>
    <row r="649" spans="1:80" ht="13.5" hidden="1" customHeight="1">
      <c r="A649" s="20">
        <f ca="1">IFERROR(__xludf.DUMMYFUNCTION("""COMPUTED_VALUE"""),2011)</f>
        <v>2011</v>
      </c>
      <c r="B649" s="45">
        <f ca="1">IFERROR(__xludf.DUMMYFUNCTION("""COMPUTED_VALUE"""),41225)</f>
        <v>41225</v>
      </c>
      <c r="C649" s="46">
        <f ca="1">IFERROR(__xludf.DUMMYFUNCTION("""COMPUTED_VALUE"""),41023)</f>
        <v>41023</v>
      </c>
      <c r="D649" s="47" t="str">
        <f ca="1">IFERROR(__xludf.DUMMYFUNCTION("""COMPUTED_VALUE"""),"Crane")</f>
        <v>Crane</v>
      </c>
      <c r="E649" s="52">
        <f ca="1">IFERROR(__xludf.DUMMYFUNCTION("""COMPUTED_VALUE"""),1)</f>
        <v>1</v>
      </c>
      <c r="F649" s="25"/>
      <c r="G649" s="48" t="str">
        <f ca="1">IFERROR(__xludf.DUMMYFUNCTION("""COMPUTED_VALUE"""),"Crewe")</f>
        <v>Crewe</v>
      </c>
      <c r="H649" s="22">
        <f ca="1">IFERROR(__xludf.DUMMYFUNCTION("""COMPUTED_VALUE"""),40653)</f>
        <v>40653</v>
      </c>
      <c r="I649" s="22"/>
      <c r="J649" s="67" t="str">
        <f ca="1">IFERROR(__xludf.DUMMYFUNCTION("""COMPUTED_VALUE"""),"Lightfoot, T")</f>
        <v>Lightfoot, T</v>
      </c>
      <c r="K649" s="64" t="str">
        <f ca="1">IFERROR(__xludf.DUMMYFUNCTION("""COMPUTED_VALUE"""),"Lightfoot, T")</f>
        <v>Lightfoot, T</v>
      </c>
      <c r="L649" s="27" t="str">
        <f ca="1">IFERROR(__xludf.DUMMYFUNCTION("""COMPUTED_VALUE"""),"closed")</f>
        <v>closed</v>
      </c>
      <c r="M649" s="27" t="str">
        <f ca="1">IFERROR(__xludf.DUMMYFUNCTION("""COMPUTED_VALUE"""),"2nd m")</f>
        <v>2nd m</v>
      </c>
      <c r="N649" s="25" t="str">
        <f ca="1">IFERROR(__xludf.DUMMYFUNCTION("""COMPUTED_VALUE"""),"accepted")</f>
        <v>accepted</v>
      </c>
      <c r="O649" s="6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c r="AQ649" s="25"/>
      <c r="AR649" s="25"/>
      <c r="AS649" s="25"/>
      <c r="AT649" s="25"/>
      <c r="AU649" s="25"/>
      <c r="AV649" s="25"/>
      <c r="AW649" s="25"/>
      <c r="AX649" s="25"/>
      <c r="AY649" s="25"/>
      <c r="AZ649" s="25"/>
      <c r="BA649" s="25"/>
      <c r="BB649" s="25"/>
      <c r="BC649" s="25"/>
      <c r="BD649" s="25"/>
      <c r="BE649" s="25"/>
      <c r="BF649" s="25"/>
      <c r="BG649" s="25"/>
      <c r="BH649" s="25"/>
      <c r="BI649" s="25"/>
      <c r="BJ649" s="25"/>
      <c r="BK649" s="25"/>
      <c r="BL649" s="25"/>
      <c r="BM649" s="25"/>
      <c r="BN649" s="25"/>
      <c r="BO649" s="25"/>
      <c r="BP649" s="25"/>
      <c r="BQ649" s="25"/>
      <c r="BR649" s="25"/>
      <c r="BS649" s="25"/>
      <c r="BT649" s="25"/>
      <c r="BU649" s="25"/>
      <c r="BV649" s="25"/>
      <c r="BW649" s="25"/>
      <c r="BX649" s="25"/>
      <c r="BY649" s="25"/>
      <c r="BZ649" s="25"/>
      <c r="CA649" s="25"/>
      <c r="CB649" s="25"/>
    </row>
    <row r="650" spans="1:80" ht="13.5" hidden="1" customHeight="1">
      <c r="A650" s="10">
        <f ca="1">IFERROR(__xludf.DUMMYFUNCTION("""COMPUTED_VALUE"""),2011)</f>
        <v>2011</v>
      </c>
      <c r="B650" s="50">
        <f ca="1">IFERROR(__xludf.DUMMYFUNCTION("""COMPUTED_VALUE"""),41143)</f>
        <v>41143</v>
      </c>
      <c r="C650" s="41">
        <f ca="1">IFERROR(__xludf.DUMMYFUNCTION("""COMPUTED_VALUE"""),41143)</f>
        <v>41143</v>
      </c>
      <c r="D650" s="42" t="str">
        <f ca="1">IFERROR(__xludf.DUMMYFUNCTION("""COMPUTED_VALUE"""),"Crane")</f>
        <v>Crane</v>
      </c>
      <c r="E650" s="53">
        <f ca="1">IFERROR(__xludf.DUMMYFUNCTION("""COMPUTED_VALUE"""),2)</f>
        <v>2</v>
      </c>
      <c r="F650" s="15" t="str">
        <f ca="1">IFERROR(__xludf.DUMMYFUNCTION("""COMPUTED_VALUE"""),"ad")</f>
        <v>ad</v>
      </c>
      <c r="G650" s="44" t="str">
        <f ca="1">IFERROR(__xludf.DUMMYFUNCTION("""COMPUTED_VALUE"""),"Heswall Riverbank Road")</f>
        <v>Heswall Riverbank Road</v>
      </c>
      <c r="H650" s="12">
        <f ca="1">IFERROR(__xludf.DUMMYFUNCTION("""COMPUTED_VALUE"""),40871)</f>
        <v>40871</v>
      </c>
      <c r="I650" s="12"/>
      <c r="J650" s="14" t="str">
        <f ca="1">IFERROR(__xludf.DUMMYFUNCTION("""COMPUTED_VALUE"""),"Hinde, S")</f>
        <v>Hinde, S</v>
      </c>
      <c r="K650" s="15" t="str">
        <f ca="1">IFERROR(__xludf.DUMMYFUNCTION("""COMPUTED_VALUE"""),"Hinde, S")</f>
        <v>Hinde, S</v>
      </c>
      <c r="L650" s="17" t="str">
        <f ca="1">IFERROR(__xludf.DUMMYFUNCTION("""COMPUTED_VALUE"""),"closed")</f>
        <v>closed</v>
      </c>
      <c r="M650" s="17" t="str">
        <f ca="1">IFERROR(__xludf.DUMMYFUNCTION("""COMPUTED_VALUE"""),"1st U")</f>
        <v>1st U</v>
      </c>
      <c r="N650" s="15" t="str">
        <f ca="1">IFERROR(__xludf.DUMMYFUNCTION("""COMPUTED_VALUE"""),"accepted")</f>
        <v>accepted</v>
      </c>
      <c r="O650" s="18"/>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row>
    <row r="651" spans="1:80" ht="13.5" hidden="1" customHeight="1">
      <c r="A651" s="20">
        <f ca="1">IFERROR(__xludf.DUMMYFUNCTION("""COMPUTED_VALUE"""),2011)</f>
        <v>2011</v>
      </c>
      <c r="B651" s="45">
        <f ca="1">IFERROR(__xludf.DUMMYFUNCTION("""COMPUTED_VALUE"""),41143)</f>
        <v>41143</v>
      </c>
      <c r="C651" s="46">
        <f ca="1">IFERROR(__xludf.DUMMYFUNCTION("""COMPUTED_VALUE"""),41143)</f>
        <v>41143</v>
      </c>
      <c r="D651" s="47" t="str">
        <f ca="1">IFERROR(__xludf.DUMMYFUNCTION("""COMPUTED_VALUE"""),"Crane")</f>
        <v>Crane</v>
      </c>
      <c r="E651" s="52">
        <f ca="1">IFERROR(__xludf.DUMMYFUNCTION("""COMPUTED_VALUE"""),2)</f>
        <v>2</v>
      </c>
      <c r="F651" s="25" t="str">
        <f ca="1">IFERROR(__xludf.DUMMYFUNCTION("""COMPUTED_VALUE"""),"ad")</f>
        <v>ad</v>
      </c>
      <c r="G651" s="48" t="str">
        <f ca="1">IFERROR(__xludf.DUMMYFUNCTION("""COMPUTED_VALUE"""),"Heswall Riverbank Road")</f>
        <v>Heswall Riverbank Road</v>
      </c>
      <c r="H651" s="22">
        <f ca="1">IFERROR(__xludf.DUMMYFUNCTION("""COMPUTED_VALUE"""),40871)</f>
        <v>40871</v>
      </c>
      <c r="I651" s="22"/>
      <c r="J651" s="67" t="str">
        <f ca="1">IFERROR(__xludf.DUMMYFUNCTION("""COMPUTED_VALUE"""),"Woollen, P")</f>
        <v>Woollen, P</v>
      </c>
      <c r="K651" s="64" t="str">
        <f ca="1">IFERROR(__xludf.DUMMYFUNCTION("""COMPUTED_VALUE"""),"Steve Hinde")</f>
        <v>Steve Hinde</v>
      </c>
      <c r="L651" s="27" t="str">
        <f ca="1">IFERROR(__xludf.DUMMYFUNCTION("""COMPUTED_VALUE"""),"closed")</f>
        <v>closed</v>
      </c>
      <c r="M651" s="27" t="str">
        <f ca="1">IFERROR(__xludf.DUMMYFUNCTION("""COMPUTED_VALUE"""),"1st U")</f>
        <v>1st U</v>
      </c>
      <c r="N651" s="25" t="str">
        <f ca="1">IFERROR(__xludf.DUMMYFUNCTION("""COMPUTED_VALUE"""),"accepted")</f>
        <v>accepted</v>
      </c>
      <c r="O651" s="6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c r="AQ651" s="25"/>
      <c r="AR651" s="25"/>
      <c r="AS651" s="25"/>
      <c r="AT651" s="25"/>
      <c r="AU651" s="25"/>
      <c r="AV651" s="25"/>
      <c r="AW651" s="25"/>
      <c r="AX651" s="25"/>
      <c r="AY651" s="25"/>
      <c r="AZ651" s="25"/>
      <c r="BA651" s="25"/>
      <c r="BB651" s="25"/>
      <c r="BC651" s="25"/>
      <c r="BD651" s="25"/>
      <c r="BE651" s="25"/>
      <c r="BF651" s="25"/>
      <c r="BG651" s="25"/>
      <c r="BH651" s="25"/>
      <c r="BI651" s="25"/>
      <c r="BJ651" s="25"/>
      <c r="BK651" s="25"/>
      <c r="BL651" s="25"/>
      <c r="BM651" s="25"/>
      <c r="BN651" s="25"/>
      <c r="BO651" s="25"/>
      <c r="BP651" s="25"/>
      <c r="BQ651" s="25"/>
      <c r="BR651" s="25"/>
      <c r="BS651" s="25"/>
      <c r="BT651" s="25"/>
      <c r="BU651" s="25"/>
      <c r="BV651" s="25"/>
      <c r="BW651" s="25"/>
      <c r="BX651" s="25"/>
      <c r="BY651" s="25"/>
      <c r="BZ651" s="25"/>
      <c r="CA651" s="25"/>
      <c r="CB651" s="25"/>
    </row>
    <row r="652" spans="1:80" ht="13.5" hidden="1" customHeight="1">
      <c r="A652" s="10">
        <f ca="1">IFERROR(__xludf.DUMMYFUNCTION("""COMPUTED_VALUE"""),2011)</f>
        <v>2011</v>
      </c>
      <c r="B652" s="50">
        <f ca="1">IFERROR(__xludf.DUMMYFUNCTION("""COMPUTED_VALUE"""),41225)</f>
        <v>41225</v>
      </c>
      <c r="C652" s="41">
        <f ca="1">IFERROR(__xludf.DUMMYFUNCTION("""COMPUTED_VALUE"""),41151)</f>
        <v>41151</v>
      </c>
      <c r="D652" s="42" t="str">
        <f ca="1">IFERROR(__xludf.DUMMYFUNCTION("""COMPUTED_VALUE"""),"Crane")</f>
        <v>Crane</v>
      </c>
      <c r="E652" s="53">
        <f ca="1">IFERROR(__xludf.DUMMYFUNCTION("""COMPUTED_VALUE"""),1)</f>
        <v>1</v>
      </c>
      <c r="F652" s="15"/>
      <c r="G652" s="44" t="str">
        <f ca="1">IFERROR(__xludf.DUMMYFUNCTION("""COMPUTED_VALUE"""),"Crewe")</f>
        <v>Crewe</v>
      </c>
      <c r="H652" s="12">
        <f ca="1">IFERROR(__xludf.DUMMYFUNCTION("""COMPUTED_VALUE"""),40653)</f>
        <v>40653</v>
      </c>
      <c r="I652" s="12"/>
      <c r="J652" s="14" t="str">
        <f ca="1">IFERROR(__xludf.DUMMYFUNCTION("""COMPUTED_VALUE"""),"Stubbs, M")</f>
        <v>Stubbs, M</v>
      </c>
      <c r="K652" s="15" t="str">
        <f ca="1">IFERROR(__xludf.DUMMYFUNCTION("""COMPUTED_VALUE"""),"Stubbs, M")</f>
        <v>Stubbs, M</v>
      </c>
      <c r="L652" s="17" t="str">
        <f ca="1">IFERROR(__xludf.DUMMYFUNCTION("""COMPUTED_VALUE"""),"closed")</f>
        <v>closed</v>
      </c>
      <c r="M652" s="17" t="str">
        <f ca="1">IFERROR(__xludf.DUMMYFUNCTION("""COMPUTED_VALUE"""),"1st M")</f>
        <v>1st M</v>
      </c>
      <c r="N652" s="15" t="str">
        <f ca="1">IFERROR(__xludf.DUMMYFUNCTION("""COMPUTED_VALUE"""),"accepted")</f>
        <v>accepted</v>
      </c>
      <c r="O652" s="18"/>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row>
    <row r="653" spans="1:80" ht="13.5" hidden="1" customHeight="1">
      <c r="A653" s="20">
        <f ca="1">IFERROR(__xludf.DUMMYFUNCTION("""COMPUTED_VALUE"""),2011)</f>
        <v>2011</v>
      </c>
      <c r="B653" s="45">
        <f ca="1">IFERROR(__xludf.DUMMYFUNCTION("""COMPUTED_VALUE"""),41143)</f>
        <v>41143</v>
      </c>
      <c r="C653" s="46">
        <f ca="1">IFERROR(__xludf.DUMMYFUNCTION("""COMPUTED_VALUE"""),41150)</f>
        <v>41150</v>
      </c>
      <c r="D653" s="47" t="str">
        <f ca="1">IFERROR(__xludf.DUMMYFUNCTION("""COMPUTED_VALUE"""),"Slavonian Grebe")</f>
        <v>Slavonian Grebe</v>
      </c>
      <c r="E653" s="52">
        <f ca="1">IFERROR(__xludf.DUMMYFUNCTION("""COMPUTED_VALUE"""),1)</f>
        <v>1</v>
      </c>
      <c r="F653" s="25"/>
      <c r="G653" s="48" t="str">
        <f ca="1">IFERROR(__xludf.DUMMYFUNCTION("""COMPUTED_VALUE"""),"Chelford SQs, Lapwing HallPool")</f>
        <v>Chelford SQs, Lapwing HallPool</v>
      </c>
      <c r="H653" s="22">
        <f ca="1">IFERROR(__xludf.DUMMYFUNCTION("""COMPUTED_VALUE"""),40859)</f>
        <v>40859</v>
      </c>
      <c r="I653" s="23"/>
      <c r="J653" s="24" t="str">
        <f ca="1">IFERROR(__xludf.DUMMYFUNCTION("""COMPUTED_VALUE"""),"Barber S&amp;G")</f>
        <v>Barber S&amp;G</v>
      </c>
      <c r="K653" s="25" t="str">
        <f ca="1">IFERROR(__xludf.DUMMYFUNCTION("""COMPUTED_VALUE"""),"Gill Barber")</f>
        <v>Gill Barber</v>
      </c>
      <c r="L653" s="27" t="str">
        <f ca="1">IFERROR(__xludf.DUMMYFUNCTION("""COMPUTED_VALUE"""),"closed")</f>
        <v>closed</v>
      </c>
      <c r="M653" s="27" t="str">
        <f ca="1">IFERROR(__xludf.DUMMYFUNCTION("""COMPUTED_VALUE"""),"1st U")</f>
        <v>1st U</v>
      </c>
      <c r="N653" s="25" t="str">
        <f ca="1">IFERROR(__xludf.DUMMYFUNCTION("""COMPUTED_VALUE"""),"accepted")</f>
        <v>accepted</v>
      </c>
      <c r="O653" s="28"/>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c r="AQ653" s="25"/>
      <c r="AR653" s="25"/>
      <c r="AS653" s="25"/>
      <c r="AT653" s="25"/>
      <c r="AU653" s="25"/>
      <c r="AV653" s="25"/>
      <c r="AW653" s="25"/>
      <c r="AX653" s="25"/>
      <c r="AY653" s="25"/>
      <c r="AZ653" s="25"/>
      <c r="BA653" s="25"/>
      <c r="BB653" s="25"/>
      <c r="BC653" s="25"/>
      <c r="BD653" s="25"/>
      <c r="BE653" s="25"/>
      <c r="BF653" s="25"/>
      <c r="BG653" s="25"/>
      <c r="BH653" s="25"/>
      <c r="BI653" s="25"/>
      <c r="BJ653" s="25"/>
      <c r="BK653" s="25"/>
      <c r="BL653" s="25"/>
      <c r="BM653" s="25"/>
      <c r="BN653" s="25"/>
      <c r="BO653" s="25"/>
      <c r="BP653" s="25"/>
      <c r="BQ653" s="25"/>
      <c r="BR653" s="25"/>
      <c r="BS653" s="25"/>
      <c r="BT653" s="25"/>
      <c r="BU653" s="25"/>
      <c r="BV653" s="25"/>
      <c r="BW653" s="25"/>
      <c r="BX653" s="25"/>
      <c r="BY653" s="25"/>
      <c r="BZ653" s="25"/>
      <c r="CA653" s="25"/>
      <c r="CB653" s="25"/>
    </row>
    <row r="654" spans="1:80" ht="13.5" hidden="1" customHeight="1">
      <c r="A654" s="10">
        <f ca="1">IFERROR(__xludf.DUMMYFUNCTION("""COMPUTED_VALUE"""),2011)</f>
        <v>2011</v>
      </c>
      <c r="B654" s="50">
        <f ca="1">IFERROR(__xludf.DUMMYFUNCTION("""COMPUTED_VALUE"""),44568)</f>
        <v>44568</v>
      </c>
      <c r="C654" s="41"/>
      <c r="D654" s="42" t="str">
        <f ca="1">IFERROR(__xludf.DUMMYFUNCTION("""COMPUTED_VALUE"""),"Broad-billed Sandpiper")</f>
        <v>Broad-billed Sandpiper</v>
      </c>
      <c r="E654" s="53"/>
      <c r="F654" s="15"/>
      <c r="G654" s="44" t="str">
        <f ca="1">IFERROR(__xludf.DUMMYFUNCTION("""COMPUTED_VALUE"""),"Hoylake and Meols")</f>
        <v>Hoylake and Meols</v>
      </c>
      <c r="H654" s="12">
        <f ca="1">IFERROR(__xludf.DUMMYFUNCTION("""COMPUTED_VALUE"""),40678)</f>
        <v>40678</v>
      </c>
      <c r="I654" s="12"/>
      <c r="J654" s="68"/>
      <c r="K654" s="43"/>
      <c r="L654" s="17" t="str">
        <f ca="1">IFERROR(__xludf.DUMMYFUNCTION("""COMPUTED_VALUE"""),"closed")</f>
        <v>closed</v>
      </c>
      <c r="M654" s="17"/>
      <c r="N654" s="15" t="str">
        <f ca="1">IFERROR(__xludf.DUMMYFUNCTION("""COMPUTED_VALUE"""),"BBRC-OK")</f>
        <v>BBRC-OK</v>
      </c>
      <c r="O654" s="66" t="str">
        <f ca="1">IFERROR(__xludf.DUMMYFUNCTION("""COMPUTED_VALUE"""),"Meols, Hoylake, 15th to 20th May, photo.")</f>
        <v>Meols, Hoylake, 15th to 20th May, photo.</v>
      </c>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row>
    <row r="655" spans="1:80" ht="13.5" hidden="1" customHeight="1">
      <c r="A655" s="20">
        <f ca="1">IFERROR(__xludf.DUMMYFUNCTION("""COMPUTED_VALUE"""),2011)</f>
        <v>2011</v>
      </c>
      <c r="B655" s="45">
        <f ca="1">IFERROR(__xludf.DUMMYFUNCTION("""COMPUTED_VALUE"""),41151)</f>
        <v>41151</v>
      </c>
      <c r="C655" s="46">
        <f ca="1">IFERROR(__xludf.DUMMYFUNCTION("""COMPUTED_VALUE"""),41150)</f>
        <v>41150</v>
      </c>
      <c r="D655" s="47" t="str">
        <f ca="1">IFERROR(__xludf.DUMMYFUNCTION("""COMPUTED_VALUE"""),"White-rumped sandpiper")</f>
        <v>White-rumped sandpiper</v>
      </c>
      <c r="E655" s="52">
        <f ca="1">IFERROR(__xludf.DUMMYFUNCTION("""COMPUTED_VALUE"""),1)</f>
        <v>1</v>
      </c>
      <c r="F655" s="25" t="str">
        <f ca="1">IFERROR(__xludf.DUMMYFUNCTION("""COMPUTED_VALUE"""),"ad")</f>
        <v>ad</v>
      </c>
      <c r="G655" s="48" t="str">
        <f ca="1">IFERROR(__xludf.DUMMYFUNCTION("""COMPUTED_VALUE"""),"Hoylake")</f>
        <v>Hoylake</v>
      </c>
      <c r="H655" s="22">
        <f ca="1">IFERROR(__xludf.DUMMYFUNCTION("""COMPUTED_VALUE"""),40786)</f>
        <v>40786</v>
      </c>
      <c r="I655" s="23"/>
      <c r="J655" s="24" t="str">
        <f ca="1">IFERROR(__xludf.DUMMYFUNCTION("""COMPUTED_VALUE"""),"Turner, JE")</f>
        <v>Turner, JE</v>
      </c>
      <c r="K655" s="25" t="str">
        <f ca="1">IFERROR(__xludf.DUMMYFUNCTION("""COMPUTED_VALUE"""),"Turner, JE")</f>
        <v>Turner, JE</v>
      </c>
      <c r="L655" s="27" t="str">
        <f ca="1">IFERROR(__xludf.DUMMYFUNCTION("""COMPUTED_VALUE"""),"closed")</f>
        <v>closed</v>
      </c>
      <c r="M655" s="27" t="str">
        <f ca="1">IFERROR(__xludf.DUMMYFUNCTION("""COMPUTED_VALUE"""),"1st U")</f>
        <v>1st U</v>
      </c>
      <c r="N655" s="25" t="str">
        <f ca="1">IFERROR(__xludf.DUMMYFUNCTION("""COMPUTED_VALUE"""),"accepted")</f>
        <v>accepted</v>
      </c>
      <c r="O655" s="28"/>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c r="AQ655" s="25"/>
      <c r="AR655" s="25"/>
      <c r="AS655" s="25"/>
      <c r="AT655" s="25"/>
      <c r="AU655" s="25"/>
      <c r="AV655" s="25"/>
      <c r="AW655" s="25"/>
      <c r="AX655" s="25"/>
      <c r="AY655" s="25"/>
      <c r="AZ655" s="25"/>
      <c r="BA655" s="25"/>
      <c r="BB655" s="25"/>
      <c r="BC655" s="25"/>
      <c r="BD655" s="25"/>
      <c r="BE655" s="25"/>
      <c r="BF655" s="25"/>
      <c r="BG655" s="25"/>
      <c r="BH655" s="25"/>
      <c r="BI655" s="25"/>
      <c r="BJ655" s="25"/>
      <c r="BK655" s="25"/>
      <c r="BL655" s="25"/>
      <c r="BM655" s="25"/>
      <c r="BN655" s="25"/>
      <c r="BO655" s="25"/>
      <c r="BP655" s="25"/>
      <c r="BQ655" s="25"/>
      <c r="BR655" s="25"/>
      <c r="BS655" s="25"/>
      <c r="BT655" s="25"/>
      <c r="BU655" s="25"/>
      <c r="BV655" s="25"/>
      <c r="BW655" s="25"/>
      <c r="BX655" s="25"/>
      <c r="BY655" s="25"/>
      <c r="BZ655" s="25"/>
      <c r="CA655" s="25"/>
      <c r="CB655" s="25"/>
    </row>
    <row r="656" spans="1:80" ht="13.5" hidden="1" customHeight="1">
      <c r="A656" s="10">
        <f ca="1">IFERROR(__xludf.DUMMYFUNCTION("""COMPUTED_VALUE"""),2011)</f>
        <v>2011</v>
      </c>
      <c r="B656" s="50">
        <f ca="1">IFERROR(__xludf.DUMMYFUNCTION("""COMPUTED_VALUE"""),41143)</f>
        <v>41143</v>
      </c>
      <c r="C656" s="41">
        <f ca="1">IFERROR(__xludf.DUMMYFUNCTION("""COMPUTED_VALUE"""),41143)</f>
        <v>41143</v>
      </c>
      <c r="D656" s="42" t="str">
        <f ca="1">IFERROR(__xludf.DUMMYFUNCTION("""COMPUTED_VALUE"""),"Buff-breasted Sandpiper")</f>
        <v>Buff-breasted Sandpiper</v>
      </c>
      <c r="E656" s="53">
        <f ca="1">IFERROR(__xludf.DUMMYFUNCTION("""COMPUTED_VALUE"""),1)</f>
        <v>1</v>
      </c>
      <c r="F656" s="15" t="str">
        <f ca="1">IFERROR(__xludf.DUMMYFUNCTION("""COMPUTED_VALUE"""),"ad  ")</f>
        <v xml:space="preserve">ad  </v>
      </c>
      <c r="G656" s="44" t="str">
        <f ca="1">IFERROR(__xludf.DUMMYFUNCTION("""COMPUTED_VALUE"""),"Frodsham")</f>
        <v>Frodsham</v>
      </c>
      <c r="H656" s="12">
        <f ca="1">IFERROR(__xludf.DUMMYFUNCTION("""COMPUTED_VALUE"""),40678)</f>
        <v>40678</v>
      </c>
      <c r="I656" s="12"/>
      <c r="J656" s="68" t="str">
        <f ca="1">IFERROR(__xludf.DUMMYFUNCTION("""COMPUTED_VALUE"""),"Duff, F")</f>
        <v>Duff, F</v>
      </c>
      <c r="K656" s="43" t="str">
        <f ca="1">IFERROR(__xludf.DUMMYFUNCTION("""COMPUTED_VALUE"""),"Duff, F")</f>
        <v>Duff, F</v>
      </c>
      <c r="L656" s="17" t="str">
        <f ca="1">IFERROR(__xludf.DUMMYFUNCTION("""COMPUTED_VALUE"""),"closed")</f>
        <v>closed</v>
      </c>
      <c r="M656" s="17" t="str">
        <f ca="1">IFERROR(__xludf.DUMMYFUNCTION("""COMPUTED_VALUE"""),"1st U")</f>
        <v>1st U</v>
      </c>
      <c r="N656" s="15" t="str">
        <f ca="1">IFERROR(__xludf.DUMMYFUNCTION("""COMPUTED_VALUE"""),"accepted")</f>
        <v>accepted</v>
      </c>
      <c r="O656" s="66"/>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row>
    <row r="657" spans="1:80" ht="13.5" hidden="1" customHeight="1">
      <c r="A657" s="20">
        <f ca="1">IFERROR(__xludf.DUMMYFUNCTION("""COMPUTED_VALUE"""),2011)</f>
        <v>2011</v>
      </c>
      <c r="B657" s="45" t="str">
        <f ca="1">IFERROR(__xludf.DUMMYFUNCTION("""COMPUTED_VALUE"""),"24/8/212")</f>
        <v>24/8/212</v>
      </c>
      <c r="C657" s="46">
        <f ca="1">IFERROR(__xludf.DUMMYFUNCTION("""COMPUTED_VALUE"""),41151)</f>
        <v>41151</v>
      </c>
      <c r="D657" s="47" t="str">
        <f ca="1">IFERROR(__xludf.DUMMYFUNCTION("""COMPUTED_VALUE"""),"Pectoral Sandpiper")</f>
        <v>Pectoral Sandpiper</v>
      </c>
      <c r="E657" s="52">
        <f ca="1">IFERROR(__xludf.DUMMYFUNCTION("""COMPUTED_VALUE"""),1)</f>
        <v>1</v>
      </c>
      <c r="F657" s="25"/>
      <c r="G657" s="48" t="str">
        <f ca="1">IFERROR(__xludf.DUMMYFUNCTION("""COMPUTED_VALUE"""),"Burton Mere Wetlands RSPB")</f>
        <v>Burton Mere Wetlands RSPB</v>
      </c>
      <c r="H657" s="22">
        <f ca="1">IFERROR(__xludf.DUMMYFUNCTION("""COMPUTED_VALUE"""),40813)</f>
        <v>40813</v>
      </c>
      <c r="I657" s="23"/>
      <c r="J657" s="24" t="str">
        <f ca="1">IFERROR(__xludf.DUMMYFUNCTION("""COMPUTED_VALUE"""),"Wright, N")</f>
        <v>Wright, N</v>
      </c>
      <c r="K657" s="25" t="str">
        <f ca="1">IFERROR(__xludf.DUMMYFUNCTION("""COMPUTED_VALUE"""),"A.Thomas")</f>
        <v>A.Thomas</v>
      </c>
      <c r="L657" s="27" t="str">
        <f ca="1">IFERROR(__xludf.DUMMYFUNCTION("""COMPUTED_VALUE"""),"closed")</f>
        <v>closed</v>
      </c>
      <c r="M657" s="27" t="str">
        <f ca="1">IFERROR(__xludf.DUMMYFUNCTION("""COMPUTED_VALUE"""),"1st U")</f>
        <v>1st U</v>
      </c>
      <c r="N657" s="25" t="str">
        <f ca="1">IFERROR(__xludf.DUMMYFUNCTION("""COMPUTED_VALUE"""),"Accepted")</f>
        <v>Accepted</v>
      </c>
      <c r="O657" s="28"/>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c r="AQ657" s="25"/>
      <c r="AR657" s="25"/>
      <c r="AS657" s="25"/>
      <c r="AT657" s="25"/>
      <c r="AU657" s="25"/>
      <c r="AV657" s="25"/>
      <c r="AW657" s="25"/>
      <c r="AX657" s="25"/>
      <c r="AY657" s="25"/>
      <c r="AZ657" s="25"/>
      <c r="BA657" s="25"/>
      <c r="BB657" s="25"/>
      <c r="BC657" s="25"/>
      <c r="BD657" s="25"/>
      <c r="BE657" s="25"/>
      <c r="BF657" s="25"/>
      <c r="BG657" s="25"/>
      <c r="BH657" s="25"/>
      <c r="BI657" s="25"/>
      <c r="BJ657" s="25"/>
      <c r="BK657" s="25"/>
      <c r="BL657" s="25"/>
      <c r="BM657" s="25"/>
      <c r="BN657" s="25"/>
      <c r="BO657" s="25"/>
      <c r="BP657" s="25"/>
      <c r="BQ657" s="25"/>
      <c r="BR657" s="25"/>
      <c r="BS657" s="25"/>
      <c r="BT657" s="25"/>
      <c r="BU657" s="25"/>
      <c r="BV657" s="25"/>
      <c r="BW657" s="25"/>
      <c r="BX657" s="25"/>
      <c r="BY657" s="25"/>
      <c r="BZ657" s="25"/>
      <c r="CA657" s="25"/>
      <c r="CB657" s="25"/>
    </row>
    <row r="658" spans="1:80" ht="13.5" hidden="1" customHeight="1">
      <c r="A658" s="10">
        <f ca="1">IFERROR(__xludf.DUMMYFUNCTION("""COMPUTED_VALUE"""),2011)</f>
        <v>2011</v>
      </c>
      <c r="B658" s="50">
        <f ca="1">IFERROR(__xludf.DUMMYFUNCTION("""COMPUTED_VALUE"""),41157)</f>
        <v>41157</v>
      </c>
      <c r="C658" s="41">
        <f ca="1">IFERROR(__xludf.DUMMYFUNCTION("""COMPUTED_VALUE"""),41156)</f>
        <v>41156</v>
      </c>
      <c r="D658" s="42" t="str">
        <f ca="1">IFERROR(__xludf.DUMMYFUNCTION("""COMPUTED_VALUE"""),"Pectoral Sandpiper")</f>
        <v>Pectoral Sandpiper</v>
      </c>
      <c r="E658" s="53">
        <f ca="1">IFERROR(__xludf.DUMMYFUNCTION("""COMPUTED_VALUE"""),1)</f>
        <v>1</v>
      </c>
      <c r="F658" s="15"/>
      <c r="G658" s="44" t="str">
        <f ca="1">IFERROR(__xludf.DUMMYFUNCTION("""COMPUTED_VALUE"""),"Inner Marsh Farm RSPB")</f>
        <v>Inner Marsh Farm RSPB</v>
      </c>
      <c r="H658" s="12">
        <f ca="1">IFERROR(__xludf.DUMMYFUNCTION("""COMPUTED_VALUE"""),40699)</f>
        <v>40699</v>
      </c>
      <c r="I658" s="12">
        <f ca="1">IFERROR(__xludf.DUMMYFUNCTION("""COMPUTED_VALUE"""),40703)</f>
        <v>40703</v>
      </c>
      <c r="J658" s="14" t="str">
        <f ca="1">IFERROR(__xludf.DUMMYFUNCTION("""COMPUTED_VALUE"""),"M Baron")</f>
        <v>M Baron</v>
      </c>
      <c r="K658" s="15" t="str">
        <f ca="1">IFERROR(__xludf.DUMMYFUNCTION("""COMPUTED_VALUE"""),"Unknown")</f>
        <v>Unknown</v>
      </c>
      <c r="L658" s="17" t="str">
        <f ca="1">IFERROR(__xludf.DUMMYFUNCTION("""COMPUTED_VALUE"""),"closed")</f>
        <v>closed</v>
      </c>
      <c r="M658" s="17" t="str">
        <f ca="1">IFERROR(__xludf.DUMMYFUNCTION("""COMPUTED_VALUE"""),"1st U")</f>
        <v>1st U</v>
      </c>
      <c r="N658" s="43" t="str">
        <f ca="1">IFERROR(__xludf.DUMMYFUNCTION("""COMPUTED_VALUE"""),"accepted")</f>
        <v>accepted</v>
      </c>
      <c r="O658" s="18"/>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row>
    <row r="659" spans="1:80" ht="13.5" hidden="1" customHeight="1">
      <c r="A659" s="20">
        <f ca="1">IFERROR(__xludf.DUMMYFUNCTION("""COMPUTED_VALUE"""),2011)</f>
        <v>2011</v>
      </c>
      <c r="B659" s="45">
        <f ca="1">IFERROR(__xludf.DUMMYFUNCTION("""COMPUTED_VALUE"""),41151)</f>
        <v>41151</v>
      </c>
      <c r="C659" s="46">
        <f ca="1">IFERROR(__xludf.DUMMYFUNCTION("""COMPUTED_VALUE"""),41151)</f>
        <v>41151</v>
      </c>
      <c r="D659" s="47" t="str">
        <f ca="1">IFERROR(__xludf.DUMMYFUNCTION("""COMPUTED_VALUE"""),"Red-necked Phalarope")</f>
        <v>Red-necked Phalarope</v>
      </c>
      <c r="E659" s="52">
        <f ca="1">IFERROR(__xludf.DUMMYFUNCTION("""COMPUTED_VALUE"""),1)</f>
        <v>1</v>
      </c>
      <c r="F659" s="25" t="str">
        <f ca="1">IFERROR(__xludf.DUMMYFUNCTION("""COMPUTED_VALUE"""),"f")</f>
        <v>f</v>
      </c>
      <c r="G659" s="48" t="str">
        <f ca="1">IFERROR(__xludf.DUMMYFUNCTION("""COMPUTED_VALUE"""),"No. 6 Tank, Frodsham Marsh")</f>
        <v>No. 6 Tank, Frodsham Marsh</v>
      </c>
      <c r="H659" s="22">
        <f ca="1">IFERROR(__xludf.DUMMYFUNCTION("""COMPUTED_VALUE"""),40707)</f>
        <v>40707</v>
      </c>
      <c r="I659" s="22"/>
      <c r="J659" s="67" t="str">
        <f ca="1">IFERROR(__xludf.DUMMYFUNCTION("""COMPUTED_VALUE"""),"Woollen, P")</f>
        <v>Woollen, P</v>
      </c>
      <c r="K659" s="64" t="str">
        <f ca="1">IFERROR(__xludf.DUMMYFUNCTION("""COMPUTED_VALUE"""),"Mark Gibson")</f>
        <v>Mark Gibson</v>
      </c>
      <c r="L659" s="27" t="str">
        <f ca="1">IFERROR(__xludf.DUMMYFUNCTION("""COMPUTED_VALUE"""),"closed")</f>
        <v>closed</v>
      </c>
      <c r="M659" s="27" t="str">
        <f ca="1">IFERROR(__xludf.DUMMYFUNCTION("""COMPUTED_VALUE"""),"1st U")</f>
        <v>1st U</v>
      </c>
      <c r="N659" s="25" t="str">
        <f ca="1">IFERROR(__xludf.DUMMYFUNCTION("""COMPUTED_VALUE"""),"accepted")</f>
        <v>accepted</v>
      </c>
      <c r="O659" s="6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c r="AQ659" s="25"/>
      <c r="AR659" s="25"/>
      <c r="AS659" s="25"/>
      <c r="AT659" s="25"/>
      <c r="AU659" s="25"/>
      <c r="AV659" s="25"/>
      <c r="AW659" s="25"/>
      <c r="AX659" s="25"/>
      <c r="AY659" s="25"/>
      <c r="AZ659" s="25"/>
      <c r="BA659" s="25"/>
      <c r="BB659" s="25"/>
      <c r="BC659" s="25"/>
      <c r="BD659" s="25"/>
      <c r="BE659" s="25"/>
      <c r="BF659" s="25"/>
      <c r="BG659" s="25"/>
      <c r="BH659" s="25"/>
      <c r="BI659" s="25"/>
      <c r="BJ659" s="25"/>
      <c r="BK659" s="25"/>
      <c r="BL659" s="25"/>
      <c r="BM659" s="25"/>
      <c r="BN659" s="25"/>
      <c r="BO659" s="25"/>
      <c r="BP659" s="25"/>
      <c r="BQ659" s="25"/>
      <c r="BR659" s="25"/>
      <c r="BS659" s="25"/>
      <c r="BT659" s="25"/>
      <c r="BU659" s="25"/>
      <c r="BV659" s="25"/>
      <c r="BW659" s="25"/>
      <c r="BX659" s="25"/>
      <c r="BY659" s="25"/>
      <c r="BZ659" s="25"/>
      <c r="CA659" s="25"/>
      <c r="CB659" s="25"/>
    </row>
    <row r="660" spans="1:80" ht="13.5" hidden="1" customHeight="1">
      <c r="A660" s="10">
        <f ca="1">IFERROR(__xludf.DUMMYFUNCTION("""COMPUTED_VALUE"""),2011)</f>
        <v>2011</v>
      </c>
      <c r="B660" s="50">
        <f ca="1">IFERROR(__xludf.DUMMYFUNCTION("""COMPUTED_VALUE"""),41151)</f>
        <v>41151</v>
      </c>
      <c r="C660" s="41">
        <f ca="1">IFERROR(__xludf.DUMMYFUNCTION("""COMPUTED_VALUE"""),41143)</f>
        <v>41143</v>
      </c>
      <c r="D660" s="42" t="str">
        <f ca="1">IFERROR(__xludf.DUMMYFUNCTION("""COMPUTED_VALUE"""),"Grey Phalarope")</f>
        <v>Grey Phalarope</v>
      </c>
      <c r="E660" s="53">
        <f ca="1">IFERROR(__xludf.DUMMYFUNCTION("""COMPUTED_VALUE"""),3)</f>
        <v>3</v>
      </c>
      <c r="F660" s="15"/>
      <c r="G660" s="44" t="str">
        <f ca="1">IFERROR(__xludf.DUMMYFUNCTION("""COMPUTED_VALUE"""),"Hoylake")</f>
        <v>Hoylake</v>
      </c>
      <c r="H660" s="12">
        <f ca="1">IFERROR(__xludf.DUMMYFUNCTION("""COMPUTED_VALUE"""),40808)</f>
        <v>40808</v>
      </c>
      <c r="I660" s="12"/>
      <c r="J660" s="14" t="str">
        <f ca="1">IFERROR(__xludf.DUMMYFUNCTION("""COMPUTED_VALUE"""),"Turner, JE")</f>
        <v>Turner, JE</v>
      </c>
      <c r="K660" s="15" t="str">
        <f ca="1">IFERROR(__xludf.DUMMYFUNCTION("""COMPUTED_VALUE"""),"Turner, JE")</f>
        <v>Turner, JE</v>
      </c>
      <c r="L660" s="17" t="str">
        <f ca="1">IFERROR(__xludf.DUMMYFUNCTION("""COMPUTED_VALUE"""),"closed")</f>
        <v>closed</v>
      </c>
      <c r="M660" s="17" t="str">
        <f ca="1">IFERROR(__xludf.DUMMYFUNCTION("""COMPUTED_VALUE"""),"1st U")</f>
        <v>1st U</v>
      </c>
      <c r="N660" s="43" t="str">
        <f ca="1">IFERROR(__xludf.DUMMYFUNCTION("""COMPUTED_VALUE"""),"accepted")</f>
        <v>accepted</v>
      </c>
      <c r="O660" s="18"/>
      <c r="P660" s="43"/>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row>
    <row r="661" spans="1:80" ht="13.5" hidden="1" customHeight="1">
      <c r="A661" s="20">
        <f ca="1">IFERROR(__xludf.DUMMYFUNCTION("""COMPUTED_VALUE"""),2011)</f>
        <v>2011</v>
      </c>
      <c r="B661" s="45">
        <f ca="1">IFERROR(__xludf.DUMMYFUNCTION("""COMPUTED_VALUE"""),41151)</f>
        <v>41151</v>
      </c>
      <c r="C661" s="46">
        <f ca="1">IFERROR(__xludf.DUMMYFUNCTION("""COMPUTED_VALUE"""),41143)</f>
        <v>41143</v>
      </c>
      <c r="D661" s="47" t="str">
        <f ca="1">IFERROR(__xludf.DUMMYFUNCTION("""COMPUTED_VALUE"""),"Grey Phalarope")</f>
        <v>Grey Phalarope</v>
      </c>
      <c r="E661" s="52">
        <f ca="1">IFERROR(__xludf.DUMMYFUNCTION("""COMPUTED_VALUE"""),1)</f>
        <v>1</v>
      </c>
      <c r="F661" s="25"/>
      <c r="G661" s="48" t="str">
        <f ca="1">IFERROR(__xludf.DUMMYFUNCTION("""COMPUTED_VALUE"""),"Hoylake")</f>
        <v>Hoylake</v>
      </c>
      <c r="H661" s="22">
        <f ca="1">IFERROR(__xludf.DUMMYFUNCTION("""COMPUTED_VALUE"""),40822)</f>
        <v>40822</v>
      </c>
      <c r="I661" s="22"/>
      <c r="J661" s="67" t="str">
        <f ca="1">IFERROR(__xludf.DUMMYFUNCTION("""COMPUTED_VALUE"""),"Turner, JE")</f>
        <v>Turner, JE</v>
      </c>
      <c r="K661" s="64" t="str">
        <f ca="1">IFERROR(__xludf.DUMMYFUNCTION("""COMPUTED_VALUE"""),"Turner, JE")</f>
        <v>Turner, JE</v>
      </c>
      <c r="L661" s="27" t="str">
        <f ca="1">IFERROR(__xludf.DUMMYFUNCTION("""COMPUTED_VALUE"""),"closed")</f>
        <v>closed</v>
      </c>
      <c r="M661" s="27" t="str">
        <f ca="1">IFERROR(__xludf.DUMMYFUNCTION("""COMPUTED_VALUE"""),"1st U")</f>
        <v>1st U</v>
      </c>
      <c r="N661" s="64" t="str">
        <f ca="1">IFERROR(__xludf.DUMMYFUNCTION("""COMPUTED_VALUE"""),"accepted")</f>
        <v>accepted</v>
      </c>
      <c r="O661" s="65"/>
      <c r="P661" s="64"/>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c r="AQ661" s="25"/>
      <c r="AR661" s="25"/>
      <c r="AS661" s="25"/>
      <c r="AT661" s="25"/>
      <c r="AU661" s="25"/>
      <c r="AV661" s="25"/>
      <c r="AW661" s="25"/>
      <c r="AX661" s="25"/>
      <c r="AY661" s="25"/>
      <c r="AZ661" s="25"/>
      <c r="BA661" s="25"/>
      <c r="BB661" s="25"/>
      <c r="BC661" s="25"/>
      <c r="BD661" s="25"/>
      <c r="BE661" s="25"/>
      <c r="BF661" s="25"/>
      <c r="BG661" s="25"/>
      <c r="BH661" s="25"/>
      <c r="BI661" s="25"/>
      <c r="BJ661" s="25"/>
      <c r="BK661" s="25"/>
      <c r="BL661" s="25"/>
      <c r="BM661" s="25"/>
      <c r="BN661" s="25"/>
      <c r="BO661" s="25"/>
      <c r="BP661" s="25"/>
      <c r="BQ661" s="25"/>
      <c r="BR661" s="25"/>
      <c r="BS661" s="25"/>
      <c r="BT661" s="25"/>
      <c r="BU661" s="25"/>
      <c r="BV661" s="25"/>
      <c r="BW661" s="25"/>
      <c r="BX661" s="25"/>
      <c r="BY661" s="25"/>
      <c r="BZ661" s="25"/>
      <c r="CA661" s="25"/>
      <c r="CB661" s="25"/>
    </row>
    <row r="662" spans="1:80" ht="13.5" hidden="1" customHeight="1">
      <c r="A662" s="10">
        <f ca="1">IFERROR(__xludf.DUMMYFUNCTION("""COMPUTED_VALUE"""),2011)</f>
        <v>2011</v>
      </c>
      <c r="B662" s="50">
        <f ca="1">IFERROR(__xludf.DUMMYFUNCTION("""COMPUTED_VALUE"""),41151)</f>
        <v>41151</v>
      </c>
      <c r="C662" s="41">
        <f ca="1">IFERROR(__xludf.DUMMYFUNCTION("""COMPUTED_VALUE"""),41151)</f>
        <v>41151</v>
      </c>
      <c r="D662" s="42" t="str">
        <f ca="1">IFERROR(__xludf.DUMMYFUNCTION("""COMPUTED_VALUE"""),"Grey Phalarope")</f>
        <v>Grey Phalarope</v>
      </c>
      <c r="E662" s="53">
        <f ca="1">IFERROR(__xludf.DUMMYFUNCTION("""COMPUTED_VALUE"""),1)</f>
        <v>1</v>
      </c>
      <c r="F662" s="15"/>
      <c r="G662" s="44" t="str">
        <f ca="1">IFERROR(__xludf.DUMMYFUNCTION("""COMPUTED_VALUE"""),"Acre Nook SQ, Chelford SQ")</f>
        <v>Acre Nook SQ, Chelford SQ</v>
      </c>
      <c r="H662" s="12">
        <f ca="1">IFERROR(__xludf.DUMMYFUNCTION("""COMPUTED_VALUE"""),40799)</f>
        <v>40799</v>
      </c>
      <c r="I662" s="12"/>
      <c r="J662" s="14" t="str">
        <f ca="1">IFERROR(__xludf.DUMMYFUNCTION("""COMPUTED_VALUE"""),"Barber S&amp;G")</f>
        <v>Barber S&amp;G</v>
      </c>
      <c r="K662" s="15"/>
      <c r="L662" s="17" t="str">
        <f ca="1">IFERROR(__xludf.DUMMYFUNCTION("""COMPUTED_VALUE"""),"closed")</f>
        <v>closed</v>
      </c>
      <c r="M662" s="17" t="str">
        <f ca="1">IFERROR(__xludf.DUMMYFUNCTION("""COMPUTED_VALUE"""),"1st U")</f>
        <v>1st U</v>
      </c>
      <c r="N662" s="15" t="str">
        <f ca="1">IFERROR(__xludf.DUMMYFUNCTION("""COMPUTED_VALUE"""),"accepted")</f>
        <v>accepted</v>
      </c>
      <c r="O662" s="18"/>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row>
    <row r="663" spans="1:80" ht="13.5" hidden="1" customHeight="1">
      <c r="A663" s="20">
        <f ca="1">IFERROR(__xludf.DUMMYFUNCTION("""COMPUTED_VALUE"""),2011)</f>
        <v>2011</v>
      </c>
      <c r="B663" s="45">
        <f ca="1">IFERROR(__xludf.DUMMYFUNCTION("""COMPUTED_VALUE"""),41328)</f>
        <v>41328</v>
      </c>
      <c r="C663" s="46"/>
      <c r="D663" s="47" t="str">
        <f ca="1">IFERROR(__xludf.DUMMYFUNCTION("""COMPUTED_VALUE"""),"Sabine's Gull")</f>
        <v>Sabine's Gull</v>
      </c>
      <c r="E663" s="52">
        <f ca="1">IFERROR(__xludf.DUMMYFUNCTION("""COMPUTED_VALUE"""),1)</f>
        <v>1</v>
      </c>
      <c r="F663" s="25" t="str">
        <f ca="1">IFERROR(__xludf.DUMMYFUNCTION("""COMPUTED_VALUE"""),"juv")</f>
        <v>juv</v>
      </c>
      <c r="G663" s="48" t="str">
        <f ca="1">IFERROR(__xludf.DUMMYFUNCTION("""COMPUTED_VALUE"""),"Leasowe")</f>
        <v>Leasowe</v>
      </c>
      <c r="H663" s="22">
        <f ca="1">IFERROR(__xludf.DUMMYFUNCTION("""COMPUTED_VALUE"""),40823)</f>
        <v>40823</v>
      </c>
      <c r="I663" s="23"/>
      <c r="J663" s="24" t="str">
        <f ca="1">IFERROR(__xludf.DUMMYFUNCTION("""COMPUTED_VALUE"""),"Bagnall, B")</f>
        <v>Bagnall, B</v>
      </c>
      <c r="K663" s="25"/>
      <c r="L663" s="27" t="str">
        <f ca="1">IFERROR(__xludf.DUMMYFUNCTION("""COMPUTED_VALUE"""),"closed")</f>
        <v>closed</v>
      </c>
      <c r="M663" s="27" t="str">
        <f ca="1">IFERROR(__xludf.DUMMYFUNCTION("""COMPUTED_VALUE"""),"1st U")</f>
        <v>1st U</v>
      </c>
      <c r="N663" s="25" t="str">
        <f ca="1">IFERROR(__xludf.DUMMYFUNCTION("""COMPUTED_VALUE"""),"accepted")</f>
        <v>accepted</v>
      </c>
      <c r="O663" s="28"/>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c r="AQ663" s="25"/>
      <c r="AR663" s="25"/>
      <c r="AS663" s="25"/>
      <c r="AT663" s="25"/>
      <c r="AU663" s="25"/>
      <c r="AV663" s="25"/>
      <c r="AW663" s="25"/>
      <c r="AX663" s="25"/>
      <c r="AY663" s="25"/>
      <c r="AZ663" s="25"/>
      <c r="BA663" s="25"/>
      <c r="BB663" s="25"/>
      <c r="BC663" s="25"/>
      <c r="BD663" s="25"/>
      <c r="BE663" s="25"/>
      <c r="BF663" s="25"/>
      <c r="BG663" s="25"/>
      <c r="BH663" s="25"/>
      <c r="BI663" s="25"/>
      <c r="BJ663" s="25"/>
      <c r="BK663" s="25"/>
      <c r="BL663" s="25"/>
      <c r="BM663" s="25"/>
      <c r="BN663" s="25"/>
      <c r="BO663" s="25"/>
      <c r="BP663" s="25"/>
      <c r="BQ663" s="25"/>
      <c r="BR663" s="25"/>
      <c r="BS663" s="25"/>
      <c r="BT663" s="25"/>
      <c r="BU663" s="25"/>
      <c r="BV663" s="25"/>
      <c r="BW663" s="25"/>
      <c r="BX663" s="25"/>
      <c r="BY663" s="25"/>
      <c r="BZ663" s="25"/>
      <c r="CA663" s="25"/>
      <c r="CB663" s="25"/>
    </row>
    <row r="664" spans="1:80" ht="13.5" hidden="1" customHeight="1">
      <c r="A664" s="10">
        <f ca="1">IFERROR(__xludf.DUMMYFUNCTION("""COMPUTED_VALUE"""),2011)</f>
        <v>2011</v>
      </c>
      <c r="B664" s="50">
        <f ca="1">IFERROR(__xludf.DUMMYFUNCTION("""COMPUTED_VALUE"""),41151)</f>
        <v>41151</v>
      </c>
      <c r="C664" s="41">
        <f ca="1">IFERROR(__xludf.DUMMYFUNCTION("""COMPUTED_VALUE"""),41150)</f>
        <v>41150</v>
      </c>
      <c r="D664" s="42" t="str">
        <f ca="1">IFERROR(__xludf.DUMMYFUNCTION("""COMPUTED_VALUE"""),"Sabine's Gull")</f>
        <v>Sabine's Gull</v>
      </c>
      <c r="E664" s="53">
        <f ca="1">IFERROR(__xludf.DUMMYFUNCTION("""COMPUTED_VALUE"""),1)</f>
        <v>1</v>
      </c>
      <c r="F664" s="15" t="str">
        <f ca="1">IFERROR(__xludf.DUMMYFUNCTION("""COMPUTED_VALUE"""),"juv")</f>
        <v>juv</v>
      </c>
      <c r="G664" s="44" t="str">
        <f ca="1">IFERROR(__xludf.DUMMYFUNCTION("""COMPUTED_VALUE"""),"Hoylake")</f>
        <v>Hoylake</v>
      </c>
      <c r="H664" s="12">
        <f ca="1">IFERROR(__xludf.DUMMYFUNCTION("""COMPUTED_VALUE"""),40822)</f>
        <v>40822</v>
      </c>
      <c r="I664" s="12"/>
      <c r="J664" s="14" t="str">
        <f ca="1">IFERROR(__xludf.DUMMYFUNCTION("""COMPUTED_VALUE"""),"Turner, JE")</f>
        <v>Turner, JE</v>
      </c>
      <c r="K664" s="15" t="str">
        <f ca="1">IFERROR(__xludf.DUMMYFUNCTION("""COMPUTED_VALUE"""),"Turner, JE")</f>
        <v>Turner, JE</v>
      </c>
      <c r="L664" s="17" t="str">
        <f ca="1">IFERROR(__xludf.DUMMYFUNCTION("""COMPUTED_VALUE"""),"closed")</f>
        <v>closed</v>
      </c>
      <c r="M664" s="17" t="str">
        <f ca="1">IFERROR(__xludf.DUMMYFUNCTION("""COMPUTED_VALUE"""),"1st U")</f>
        <v>1st U</v>
      </c>
      <c r="N664" s="43" t="str">
        <f ca="1">IFERROR(__xludf.DUMMYFUNCTION("""COMPUTED_VALUE"""),"accepted")</f>
        <v>accepted</v>
      </c>
      <c r="O664" s="18"/>
      <c r="P664" s="43"/>
      <c r="Q664" s="58"/>
      <c r="R664" s="58"/>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row>
    <row r="665" spans="1:80" ht="13.5" hidden="1" customHeight="1">
      <c r="A665" s="20">
        <f ca="1">IFERROR(__xludf.DUMMYFUNCTION("""COMPUTED_VALUE"""),2011)</f>
        <v>2011</v>
      </c>
      <c r="B665" s="45">
        <f ca="1">IFERROR(__xludf.DUMMYFUNCTION("""COMPUTED_VALUE"""),41150)</f>
        <v>41150</v>
      </c>
      <c r="C665" s="46">
        <f ca="1">IFERROR(__xludf.DUMMYFUNCTION("""COMPUTED_VALUE"""),41150)</f>
        <v>41150</v>
      </c>
      <c r="D665" s="47" t="str">
        <f ca="1">IFERROR(__xludf.DUMMYFUNCTION("""COMPUTED_VALUE"""),"Sabine's Gull")</f>
        <v>Sabine's Gull</v>
      </c>
      <c r="E665" s="52">
        <f ca="1">IFERROR(__xludf.DUMMYFUNCTION("""COMPUTED_VALUE"""),1)</f>
        <v>1</v>
      </c>
      <c r="F665" s="25"/>
      <c r="G665" s="48" t="str">
        <f ca="1">IFERROR(__xludf.DUMMYFUNCTION("""COMPUTED_VALUE"""),"Hoylake")</f>
        <v>Hoylake</v>
      </c>
      <c r="H665" s="22">
        <f ca="1">IFERROR(__xludf.DUMMYFUNCTION("""COMPUTED_VALUE"""),40827)</f>
        <v>40827</v>
      </c>
      <c r="I665" s="22"/>
      <c r="J665" s="24" t="str">
        <f ca="1">IFERROR(__xludf.DUMMYFUNCTION("""COMPUTED_VALUE"""),"Turner, JE")</f>
        <v>Turner, JE</v>
      </c>
      <c r="K665" s="64" t="str">
        <f ca="1">IFERROR(__xludf.DUMMYFUNCTION("""COMPUTED_VALUE"""),"Turner, JE")</f>
        <v>Turner, JE</v>
      </c>
      <c r="L665" s="27" t="str">
        <f ca="1">IFERROR(__xludf.DUMMYFUNCTION("""COMPUTED_VALUE"""),"closed")</f>
        <v>closed</v>
      </c>
      <c r="M665" s="27" t="str">
        <f ca="1">IFERROR(__xludf.DUMMYFUNCTION("""COMPUTED_VALUE"""),"1st U")</f>
        <v>1st U</v>
      </c>
      <c r="N665" s="64" t="str">
        <f ca="1">IFERROR(__xludf.DUMMYFUNCTION("""COMPUTED_VALUE"""),"accepted")</f>
        <v>accepted</v>
      </c>
      <c r="O665" s="65"/>
      <c r="P665" s="64"/>
      <c r="Q665" s="40"/>
      <c r="R665" s="40"/>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c r="AQ665" s="25"/>
      <c r="AR665" s="25"/>
      <c r="AS665" s="25"/>
      <c r="AT665" s="25"/>
      <c r="AU665" s="25"/>
      <c r="AV665" s="25"/>
      <c r="AW665" s="25"/>
      <c r="AX665" s="25"/>
      <c r="AY665" s="25"/>
      <c r="AZ665" s="25"/>
      <c r="BA665" s="25"/>
      <c r="BB665" s="25"/>
      <c r="BC665" s="25"/>
      <c r="BD665" s="25"/>
      <c r="BE665" s="25"/>
      <c r="BF665" s="25"/>
      <c r="BG665" s="25"/>
      <c r="BH665" s="25"/>
      <c r="BI665" s="25"/>
      <c r="BJ665" s="25"/>
      <c r="BK665" s="25"/>
      <c r="BL665" s="25"/>
      <c r="BM665" s="25"/>
      <c r="BN665" s="25"/>
      <c r="BO665" s="25"/>
      <c r="BP665" s="25"/>
      <c r="BQ665" s="25"/>
      <c r="BR665" s="25"/>
      <c r="BS665" s="25"/>
      <c r="BT665" s="25"/>
      <c r="BU665" s="25"/>
      <c r="BV665" s="25"/>
      <c r="BW665" s="25"/>
      <c r="BX665" s="25"/>
      <c r="BY665" s="25"/>
      <c r="BZ665" s="25"/>
      <c r="CA665" s="25"/>
      <c r="CB665" s="25"/>
    </row>
    <row r="666" spans="1:80" ht="13.5" hidden="1" customHeight="1">
      <c r="A666" s="10">
        <f ca="1">IFERROR(__xludf.DUMMYFUNCTION("""COMPUTED_VALUE"""),2011)</f>
        <v>2011</v>
      </c>
      <c r="B666" s="50">
        <f ca="1">IFERROR(__xludf.DUMMYFUNCTION("""COMPUTED_VALUE"""),41150)</f>
        <v>41150</v>
      </c>
      <c r="C666" s="41">
        <f ca="1">IFERROR(__xludf.DUMMYFUNCTION("""COMPUTED_VALUE"""),41150)</f>
        <v>41150</v>
      </c>
      <c r="D666" s="42" t="str">
        <f ca="1">IFERROR(__xludf.DUMMYFUNCTION("""COMPUTED_VALUE"""),"Sabine's Gull")</f>
        <v>Sabine's Gull</v>
      </c>
      <c r="E666" s="53">
        <f ca="1">IFERROR(__xludf.DUMMYFUNCTION("""COMPUTED_VALUE"""),1)</f>
        <v>1</v>
      </c>
      <c r="F666" s="15"/>
      <c r="G666" s="44" t="str">
        <f ca="1">IFERROR(__xludf.DUMMYFUNCTION("""COMPUTED_VALUE"""),"Eaton Hall Quarry, Congleton")</f>
        <v>Eaton Hall Quarry, Congleton</v>
      </c>
      <c r="H666" s="12">
        <f ca="1">IFERROR(__xludf.DUMMYFUNCTION("""COMPUTED_VALUE"""),40825)</f>
        <v>40825</v>
      </c>
      <c r="I666" s="12"/>
      <c r="J666" s="14" t="str">
        <f ca="1">IFERROR(__xludf.DUMMYFUNCTION("""COMPUTED_VALUE"""),"Capps, K")</f>
        <v>Capps, K</v>
      </c>
      <c r="K666" s="15"/>
      <c r="L666" s="17" t="str">
        <f ca="1">IFERROR(__xludf.DUMMYFUNCTION("""COMPUTED_VALUE"""),"closed")</f>
        <v>closed</v>
      </c>
      <c r="M666" s="17" t="str">
        <f ca="1">IFERROR(__xludf.DUMMYFUNCTION("""COMPUTED_VALUE"""),"1st U")</f>
        <v>1st U</v>
      </c>
      <c r="N666" s="15" t="str">
        <f ca="1">IFERROR(__xludf.DUMMYFUNCTION("""COMPUTED_VALUE"""),"accepted")</f>
        <v>accepted</v>
      </c>
      <c r="O666" s="18"/>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row>
    <row r="667" spans="1:80" ht="13.5" hidden="1" customHeight="1">
      <c r="A667" s="20">
        <f ca="1">IFERROR(__xludf.DUMMYFUNCTION("""COMPUTED_VALUE"""),2011)</f>
        <v>2011</v>
      </c>
      <c r="B667" s="45">
        <f ca="1">IFERROR(__xludf.DUMMYFUNCTION("""COMPUTED_VALUE"""),41150)</f>
        <v>41150</v>
      </c>
      <c r="C667" s="46">
        <f ca="1">IFERROR(__xludf.DUMMYFUNCTION("""COMPUTED_VALUE"""),41162)</f>
        <v>41162</v>
      </c>
      <c r="D667" s="47" t="str">
        <f ca="1">IFERROR(__xludf.DUMMYFUNCTION("""COMPUTED_VALUE"""),"Sabine's Gull")</f>
        <v>Sabine's Gull</v>
      </c>
      <c r="E667" s="52">
        <f ca="1">IFERROR(__xludf.DUMMYFUNCTION("""COMPUTED_VALUE"""),1)</f>
        <v>1</v>
      </c>
      <c r="F667" s="25" t="str">
        <f ca="1">IFERROR(__xludf.DUMMYFUNCTION("""COMPUTED_VALUE"""),"juv")</f>
        <v>juv</v>
      </c>
      <c r="G667" s="48" t="str">
        <f ca="1">IFERROR(__xludf.DUMMYFUNCTION("""COMPUTED_VALUE"""),"Hilbre")</f>
        <v>Hilbre</v>
      </c>
      <c r="H667" s="22">
        <f ca="1">IFERROR(__xludf.DUMMYFUNCTION("""COMPUTED_VALUE"""),40823)</f>
        <v>40823</v>
      </c>
      <c r="I667" s="22"/>
      <c r="J667" s="67" t="str">
        <f ca="1">IFERROR(__xludf.DUMMYFUNCTION("""COMPUTED_VALUE"""),"HiBO")</f>
        <v>HiBO</v>
      </c>
      <c r="K667" s="64" t="str">
        <f ca="1">IFERROR(__xludf.DUMMYFUNCTION("""COMPUTED_VALUE"""),"SRW, DB et al")</f>
        <v>SRW, DB et al</v>
      </c>
      <c r="L667" s="27" t="str">
        <f ca="1">IFERROR(__xludf.DUMMYFUNCTION("""COMPUTED_VALUE"""),"closed")</f>
        <v>closed</v>
      </c>
      <c r="M667" s="27" t="str">
        <f ca="1">IFERROR(__xludf.DUMMYFUNCTION("""COMPUTED_VALUE"""),"1st U")</f>
        <v>1st U</v>
      </c>
      <c r="N667" s="25" t="str">
        <f ca="1">IFERROR(__xludf.DUMMYFUNCTION("""COMPUTED_VALUE"""),"accepted")</f>
        <v>accepted</v>
      </c>
      <c r="O667" s="65" t="str">
        <f ca="1">IFERROR(__xludf.DUMMYFUNCTION("""COMPUTED_VALUE"""),"likely the same as the Hoylake bird of the 6th based on descriptions")</f>
        <v>likely the same as the Hoylake bird of the 6th based on descriptions</v>
      </c>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c r="AQ667" s="25"/>
      <c r="AR667" s="25"/>
      <c r="AS667" s="25"/>
      <c r="AT667" s="25"/>
      <c r="AU667" s="25"/>
      <c r="AV667" s="25"/>
      <c r="AW667" s="25"/>
      <c r="AX667" s="25"/>
      <c r="AY667" s="25"/>
      <c r="AZ667" s="25"/>
      <c r="BA667" s="25"/>
      <c r="BB667" s="25"/>
      <c r="BC667" s="25"/>
      <c r="BD667" s="25"/>
      <c r="BE667" s="25"/>
      <c r="BF667" s="25"/>
      <c r="BG667" s="25"/>
      <c r="BH667" s="25"/>
      <c r="BI667" s="25"/>
      <c r="BJ667" s="25"/>
      <c r="BK667" s="25"/>
      <c r="BL667" s="25"/>
      <c r="BM667" s="25"/>
      <c r="BN667" s="25"/>
      <c r="BO667" s="25"/>
      <c r="BP667" s="25"/>
      <c r="BQ667" s="25"/>
      <c r="BR667" s="25"/>
      <c r="BS667" s="25"/>
      <c r="BT667" s="25"/>
      <c r="BU667" s="25"/>
      <c r="BV667" s="25"/>
      <c r="BW667" s="25"/>
      <c r="BX667" s="25"/>
      <c r="BY667" s="25"/>
      <c r="BZ667" s="25"/>
      <c r="CA667" s="25"/>
      <c r="CB667" s="25"/>
    </row>
    <row r="668" spans="1:80" ht="13.5" hidden="1" customHeight="1">
      <c r="A668" s="10">
        <f ca="1">IFERROR(__xludf.DUMMYFUNCTION("""COMPUTED_VALUE"""),2011)</f>
        <v>2011</v>
      </c>
      <c r="B668" s="50">
        <f ca="1">IFERROR(__xludf.DUMMYFUNCTION("""COMPUTED_VALUE"""),41225)</f>
        <v>41225</v>
      </c>
      <c r="C668" s="41"/>
      <c r="D668" s="42" t="str">
        <f ca="1">IFERROR(__xludf.DUMMYFUNCTION("""COMPUTED_VALUE"""),"Sabine's Gull")</f>
        <v>Sabine's Gull</v>
      </c>
      <c r="E668" s="53">
        <f ca="1">IFERROR(__xludf.DUMMYFUNCTION("""COMPUTED_VALUE"""),1)</f>
        <v>1</v>
      </c>
      <c r="F668" s="15" t="str">
        <f ca="1">IFERROR(__xludf.DUMMYFUNCTION("""COMPUTED_VALUE"""),"juv")</f>
        <v>juv</v>
      </c>
      <c r="G668" s="44" t="str">
        <f ca="1">IFERROR(__xludf.DUMMYFUNCTION("""COMPUTED_VALUE"""),"Leasowe")</f>
        <v>Leasowe</v>
      </c>
      <c r="H668" s="12">
        <f ca="1">IFERROR(__xludf.DUMMYFUNCTION("""COMPUTED_VALUE"""),40799)</f>
        <v>40799</v>
      </c>
      <c r="I668" s="12"/>
      <c r="J668" s="14" t="str">
        <f ca="1">IFERROR(__xludf.DUMMYFUNCTION("""COMPUTED_VALUE"""),"Conlin, A")</f>
        <v>Conlin, A</v>
      </c>
      <c r="K668" s="15" t="str">
        <f ca="1">IFERROR(__xludf.DUMMYFUNCTION("""COMPUTED_VALUE"""),"Allan Conlin")</f>
        <v>Allan Conlin</v>
      </c>
      <c r="L668" s="17" t="str">
        <f ca="1">IFERROR(__xludf.DUMMYFUNCTION("""COMPUTED_VALUE"""),"closed")</f>
        <v>closed</v>
      </c>
      <c r="M668" s="17" t="str">
        <f ca="1">IFERROR(__xludf.DUMMYFUNCTION("""COMPUTED_VALUE"""),"1st U")</f>
        <v>1st U</v>
      </c>
      <c r="N668" s="15" t="str">
        <f ca="1">IFERROR(__xludf.DUMMYFUNCTION("""COMPUTED_VALUE"""),"accepted")</f>
        <v>accepted</v>
      </c>
      <c r="O668" s="18"/>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row>
    <row r="669" spans="1:80" ht="13.5" hidden="1" customHeight="1">
      <c r="A669" s="20">
        <f ca="1">IFERROR(__xludf.DUMMYFUNCTION("""COMPUTED_VALUE"""),2011)</f>
        <v>2011</v>
      </c>
      <c r="B669" s="45">
        <f ca="1">IFERROR(__xludf.DUMMYFUNCTION("""COMPUTED_VALUE"""),41225)</f>
        <v>41225</v>
      </c>
      <c r="C669" s="46">
        <f ca="1">IFERROR(__xludf.DUMMYFUNCTION("""COMPUTED_VALUE"""),41225)</f>
        <v>41225</v>
      </c>
      <c r="D669" s="47" t="str">
        <f ca="1">IFERROR(__xludf.DUMMYFUNCTION("""COMPUTED_VALUE"""),"Sabine's Gull")</f>
        <v>Sabine's Gull</v>
      </c>
      <c r="E669" s="52">
        <f ca="1">IFERROR(__xludf.DUMMYFUNCTION("""COMPUTED_VALUE"""),1)</f>
        <v>1</v>
      </c>
      <c r="F669" s="25"/>
      <c r="G669" s="48" t="str">
        <f ca="1">IFERROR(__xludf.DUMMYFUNCTION("""COMPUTED_VALUE"""),"Perch Rock, New Brighton")</f>
        <v>Perch Rock, New Brighton</v>
      </c>
      <c r="H669" s="22">
        <f ca="1">IFERROR(__xludf.DUMMYFUNCTION("""COMPUTED_VALUE"""),40823)</f>
        <v>40823</v>
      </c>
      <c r="I669" s="22"/>
      <c r="J669" s="24" t="str">
        <f ca="1">IFERROR(__xludf.DUMMYFUNCTION("""COMPUTED_VALUE"""),"M Baron")</f>
        <v>M Baron</v>
      </c>
      <c r="K669" s="25"/>
      <c r="L669" s="27" t="str">
        <f ca="1">IFERROR(__xludf.DUMMYFUNCTION("""COMPUTED_VALUE"""),"closed")</f>
        <v>closed</v>
      </c>
      <c r="M669" s="27" t="str">
        <f ca="1">IFERROR(__xludf.DUMMYFUNCTION("""COMPUTED_VALUE"""),"1st U")</f>
        <v>1st U</v>
      </c>
      <c r="N669" s="25" t="str">
        <f ca="1">IFERROR(__xludf.DUMMYFUNCTION("""COMPUTED_VALUE"""),"accepted")</f>
        <v>accepted</v>
      </c>
      <c r="O669" s="28"/>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c r="AQ669" s="25"/>
      <c r="AR669" s="25"/>
      <c r="AS669" s="25"/>
      <c r="AT669" s="25"/>
      <c r="AU669" s="25"/>
      <c r="AV669" s="25"/>
      <c r="AW669" s="25"/>
      <c r="AX669" s="25"/>
      <c r="AY669" s="25"/>
      <c r="AZ669" s="25"/>
      <c r="BA669" s="25"/>
      <c r="BB669" s="25"/>
      <c r="BC669" s="25"/>
      <c r="BD669" s="25"/>
      <c r="BE669" s="25"/>
      <c r="BF669" s="25"/>
      <c r="BG669" s="25"/>
      <c r="BH669" s="25"/>
      <c r="BI669" s="25"/>
      <c r="BJ669" s="25"/>
      <c r="BK669" s="25"/>
      <c r="BL669" s="25"/>
      <c r="BM669" s="25"/>
      <c r="BN669" s="25"/>
      <c r="BO669" s="25"/>
      <c r="BP669" s="25"/>
      <c r="BQ669" s="25"/>
      <c r="BR669" s="25"/>
      <c r="BS669" s="25"/>
      <c r="BT669" s="25"/>
      <c r="BU669" s="25"/>
      <c r="BV669" s="25"/>
      <c r="BW669" s="25"/>
      <c r="BX669" s="25"/>
      <c r="BY669" s="25"/>
      <c r="BZ669" s="25"/>
      <c r="CA669" s="25"/>
      <c r="CB669" s="25"/>
    </row>
    <row r="670" spans="1:80" ht="13.5" hidden="1" customHeight="1">
      <c r="A670" s="10">
        <f ca="1">IFERROR(__xludf.DUMMYFUNCTION("""COMPUTED_VALUE"""),2011)</f>
        <v>2011</v>
      </c>
      <c r="B670" s="50">
        <f ca="1">IFERROR(__xludf.DUMMYFUNCTION("""COMPUTED_VALUE"""),41225)</f>
        <v>41225</v>
      </c>
      <c r="C670" s="41">
        <f ca="1">IFERROR(__xludf.DUMMYFUNCTION("""COMPUTED_VALUE"""),41151)</f>
        <v>41151</v>
      </c>
      <c r="D670" s="42" t="str">
        <f ca="1">IFERROR(__xludf.DUMMYFUNCTION("""COMPUTED_VALUE"""),"Ring-billed Gull")</f>
        <v>Ring-billed Gull</v>
      </c>
      <c r="E670" s="53">
        <f ca="1">IFERROR(__xludf.DUMMYFUNCTION("""COMPUTED_VALUE"""),1)</f>
        <v>1</v>
      </c>
      <c r="F670" s="15" t="str">
        <f ca="1">IFERROR(__xludf.DUMMYFUNCTION("""COMPUTED_VALUE"""),"adult")</f>
        <v>adult</v>
      </c>
      <c r="G670" s="44" t="str">
        <f ca="1">IFERROR(__xludf.DUMMYFUNCTION("""COMPUTED_VALUE"""),"Pickering's Pasture LNR, Widnes")</f>
        <v>Pickering's Pasture LNR, Widnes</v>
      </c>
      <c r="H670" s="12">
        <f ca="1">IFERROR(__xludf.DUMMYFUNCTION("""COMPUTED_VALUE"""),40852)</f>
        <v>40852</v>
      </c>
      <c r="I670" s="12"/>
      <c r="J670" s="14"/>
      <c r="K670" s="15"/>
      <c r="L670" s="17" t="str">
        <f ca="1">IFERROR(__xludf.DUMMYFUNCTION("""COMPUTED_VALUE"""),"closed")</f>
        <v>closed</v>
      </c>
      <c r="M670" s="17" t="str">
        <f ca="1">IFERROR(__xludf.DUMMYFUNCTION("""COMPUTED_VALUE"""),"2nd M")</f>
        <v>2nd M</v>
      </c>
      <c r="N670" s="43" t="str">
        <f ca="1">IFERROR(__xludf.DUMMYFUNCTION("""COMPUTED_VALUE"""),"unproven")</f>
        <v>unproven</v>
      </c>
      <c r="O670" s="18"/>
      <c r="P670" s="43"/>
      <c r="Q670" s="58"/>
      <c r="R670" s="58"/>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row>
    <row r="671" spans="1:80" ht="13.5" hidden="1" customHeight="1">
      <c r="A671" s="20">
        <f ca="1">IFERROR(__xludf.DUMMYFUNCTION("""COMPUTED_VALUE"""),2011)</f>
        <v>2011</v>
      </c>
      <c r="B671" s="45">
        <f ca="1">IFERROR(__xludf.DUMMYFUNCTION("""COMPUTED_VALUE"""),40775)</f>
        <v>40775</v>
      </c>
      <c r="C671" s="46">
        <f ca="1">IFERROR(__xludf.DUMMYFUNCTION("""COMPUTED_VALUE"""),40336)</f>
        <v>40336</v>
      </c>
      <c r="D671" s="47" t="str">
        <f ca="1">IFERROR(__xludf.DUMMYFUNCTION("""COMPUTED_VALUE"""),"Caspian Gull")</f>
        <v>Caspian Gull</v>
      </c>
      <c r="E671" s="52">
        <f ca="1">IFERROR(__xludf.DUMMYFUNCTION("""COMPUTED_VALUE"""),2)</f>
        <v>2</v>
      </c>
      <c r="F671" s="25" t="str">
        <f ca="1">IFERROR(__xludf.DUMMYFUNCTION("""COMPUTED_VALUE"""),"1st W")</f>
        <v>1st W</v>
      </c>
      <c r="G671" s="48" t="str">
        <f ca="1">IFERROR(__xludf.DUMMYFUNCTION("""COMPUTED_VALUE"""),"Richmond Bank")</f>
        <v>Richmond Bank</v>
      </c>
      <c r="H671" s="22">
        <f ca="1">IFERROR(__xludf.DUMMYFUNCTION("""COMPUTED_VALUE"""),40619)</f>
        <v>40619</v>
      </c>
      <c r="I671" s="22">
        <f ca="1">IFERROR(__xludf.DUMMYFUNCTION("""COMPUTED_VALUE"""),40260)</f>
        <v>40260</v>
      </c>
      <c r="J671" s="24" t="str">
        <f ca="1">IFERROR(__xludf.DUMMYFUNCTION("""COMPUTED_VALUE"""),"Kinsella, P")</f>
        <v>Kinsella, P</v>
      </c>
      <c r="K671" s="25" t="str">
        <f ca="1">IFERROR(__xludf.DUMMYFUNCTION("""COMPUTED_VALUE"""),"same &amp; Steve Tomlinson")</f>
        <v>same &amp; Steve Tomlinson</v>
      </c>
      <c r="L671" s="27" t="str">
        <f ca="1">IFERROR(__xludf.DUMMYFUNCTION("""COMPUTED_VALUE"""),"closed")</f>
        <v>closed</v>
      </c>
      <c r="M671" s="27" t="str">
        <f ca="1">IFERROR(__xludf.DUMMYFUNCTION("""COMPUTED_VALUE"""),"1st M")</f>
        <v>1st M</v>
      </c>
      <c r="N671" s="64" t="str">
        <f ca="1">IFERROR(__xludf.DUMMYFUNCTION("""COMPUTED_VALUE"""),"accepted")</f>
        <v>accepted</v>
      </c>
      <c r="O671" s="28" t="str">
        <f ca="1">IFERROR(__xludf.DUMMYFUNCTION("""COMPUTED_VALUE"""),"from 17th March")</f>
        <v>from 17th March</v>
      </c>
      <c r="P671" s="64"/>
      <c r="Q671" s="40"/>
      <c r="R671" s="40"/>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c r="AQ671" s="25"/>
      <c r="AR671" s="25"/>
      <c r="AS671" s="25"/>
      <c r="AT671" s="25"/>
      <c r="AU671" s="25"/>
      <c r="AV671" s="25"/>
      <c r="AW671" s="25"/>
      <c r="AX671" s="25"/>
      <c r="AY671" s="25"/>
      <c r="AZ671" s="25"/>
      <c r="BA671" s="25"/>
      <c r="BB671" s="25"/>
      <c r="BC671" s="25"/>
      <c r="BD671" s="25"/>
      <c r="BE671" s="25"/>
      <c r="BF671" s="25"/>
      <c r="BG671" s="25"/>
      <c r="BH671" s="25"/>
      <c r="BI671" s="25"/>
      <c r="BJ671" s="25"/>
      <c r="BK671" s="25"/>
      <c r="BL671" s="25"/>
      <c r="BM671" s="25"/>
      <c r="BN671" s="25"/>
      <c r="BO671" s="25"/>
      <c r="BP671" s="25"/>
      <c r="BQ671" s="25"/>
      <c r="BR671" s="25"/>
      <c r="BS671" s="25"/>
      <c r="BT671" s="25"/>
      <c r="BU671" s="25"/>
      <c r="BV671" s="25"/>
      <c r="BW671" s="25"/>
      <c r="BX671" s="25"/>
      <c r="BY671" s="25"/>
      <c r="BZ671" s="25"/>
      <c r="CA671" s="25"/>
      <c r="CB671" s="25"/>
    </row>
    <row r="672" spans="1:80" ht="13.5" hidden="1" customHeight="1">
      <c r="A672" s="10">
        <f ca="1">IFERROR(__xludf.DUMMYFUNCTION("""COMPUTED_VALUE"""),2011)</f>
        <v>2011</v>
      </c>
      <c r="B672" s="50">
        <f ca="1">IFERROR(__xludf.DUMMYFUNCTION("""COMPUTED_VALUE"""),41026)</f>
        <v>41026</v>
      </c>
      <c r="C672" s="41"/>
      <c r="D672" s="42" t="str">
        <f ca="1">IFERROR(__xludf.DUMMYFUNCTION("""COMPUTED_VALUE"""),"Caspian Gull")</f>
        <v>Caspian Gull</v>
      </c>
      <c r="E672" s="53">
        <f ca="1">IFERROR(__xludf.DUMMYFUNCTION("""COMPUTED_VALUE"""),1)</f>
        <v>1</v>
      </c>
      <c r="F672" s="15" t="str">
        <f ca="1">IFERROR(__xludf.DUMMYFUNCTION("""COMPUTED_VALUE"""),"1st w")</f>
        <v>1st w</v>
      </c>
      <c r="G672" s="44" t="str">
        <f ca="1">IFERROR(__xludf.DUMMYFUNCTION("""COMPUTED_VALUE"""),"Richmond Bank")</f>
        <v>Richmond Bank</v>
      </c>
      <c r="H672" s="12">
        <f ca="1">IFERROR(__xludf.DUMMYFUNCTION("""COMPUTED_VALUE"""),40554)</f>
        <v>40554</v>
      </c>
      <c r="I672" s="12"/>
      <c r="J672" s="14" t="str">
        <f ca="1">IFERROR(__xludf.DUMMYFUNCTION("""COMPUTED_VALUE"""),"Kinsella, P")</f>
        <v>Kinsella, P</v>
      </c>
      <c r="K672" s="15" t="str">
        <f ca="1">IFERROR(__xludf.DUMMYFUNCTION("""COMPUTED_VALUE"""),"Kinsella, P")</f>
        <v>Kinsella, P</v>
      </c>
      <c r="L672" s="17" t="str">
        <f ca="1">IFERROR(__xludf.DUMMYFUNCTION("""COMPUTED_VALUE"""),"closed")</f>
        <v>closed</v>
      </c>
      <c r="M672" s="17" t="str">
        <f ca="1">IFERROR(__xludf.DUMMYFUNCTION("""COMPUTED_VALUE"""),"panel")</f>
        <v>panel</v>
      </c>
      <c r="N672" s="15" t="str">
        <f ca="1">IFERROR(__xludf.DUMMYFUNCTION("""COMPUTED_VALUE"""),"accepted")</f>
        <v>accepted</v>
      </c>
      <c r="O672" s="18"/>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row>
    <row r="673" spans="1:80" ht="13.5" hidden="1" customHeight="1">
      <c r="A673" s="20">
        <f ca="1">IFERROR(__xludf.DUMMYFUNCTION("""COMPUTED_VALUE"""),2011)</f>
        <v>2011</v>
      </c>
      <c r="B673" s="45">
        <f ca="1">IFERROR(__xludf.DUMMYFUNCTION("""COMPUTED_VALUE"""),40587)</f>
        <v>40587</v>
      </c>
      <c r="C673" s="46">
        <f ca="1">IFERROR(__xludf.DUMMYFUNCTION("""COMPUTED_VALUE"""),41023)</f>
        <v>41023</v>
      </c>
      <c r="D673" s="47" t="str">
        <f ca="1">IFERROR(__xludf.DUMMYFUNCTION("""COMPUTED_VALUE"""),"Caspian Gull")</f>
        <v>Caspian Gull</v>
      </c>
      <c r="E673" s="52">
        <f ca="1">IFERROR(__xludf.DUMMYFUNCTION("""COMPUTED_VALUE"""),1)</f>
        <v>1</v>
      </c>
      <c r="F673" s="25" t="str">
        <f ca="1">IFERROR(__xludf.DUMMYFUNCTION("""COMPUTED_VALUE"""),"ad")</f>
        <v>ad</v>
      </c>
      <c r="G673" s="48" t="str">
        <f ca="1">IFERROR(__xludf.DUMMYFUNCTION("""COMPUTED_VALUE"""),"Richmond Bank")</f>
        <v>Richmond Bank</v>
      </c>
      <c r="H673" s="22">
        <f ca="1">IFERROR(__xludf.DUMMYFUNCTION("""COMPUTED_VALUE"""),40579)</f>
        <v>40579</v>
      </c>
      <c r="I673" s="22"/>
      <c r="J673" s="24" t="str">
        <f ca="1">IFERROR(__xludf.DUMMYFUNCTION("""COMPUTED_VALUE"""),"Kinsella, P")</f>
        <v>Kinsella, P</v>
      </c>
      <c r="K673" s="25" t="str">
        <f ca="1">IFERROR(__xludf.DUMMYFUNCTION("""COMPUTED_VALUE"""),"Tim Vaughan &amp; Pete Kinsella")</f>
        <v>Tim Vaughan &amp; Pete Kinsella</v>
      </c>
      <c r="L673" s="27" t="str">
        <f ca="1">IFERROR(__xludf.DUMMYFUNCTION("""COMPUTED_VALUE"""),"closed")</f>
        <v>closed</v>
      </c>
      <c r="M673" s="27" t="str">
        <f ca="1">IFERROR(__xludf.DUMMYFUNCTION("""COMPUTED_VALUE"""),"panel")</f>
        <v>panel</v>
      </c>
      <c r="N673" s="25" t="str">
        <f ca="1">IFERROR(__xludf.DUMMYFUNCTION("""COMPUTED_VALUE"""),"accepted")</f>
        <v>accepted</v>
      </c>
      <c r="O673" s="28" t="str">
        <f ca="1">IFERROR(__xludf.DUMMYFUNCTION("""COMPUTED_VALUE"""),"So, as far as I can work out, the running total for Casps at Richmond Bank so far is; 4x adults, 1x 2ndw, 3x 1stw.")</f>
        <v>So, as far as I can work out, the running total for Casps at Richmond Bank so far is; 4x adults, 1x 2ndw, 3x 1stw.</v>
      </c>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c r="AQ673" s="25"/>
      <c r="AR673" s="25"/>
      <c r="AS673" s="25"/>
      <c r="AT673" s="25"/>
      <c r="AU673" s="25"/>
      <c r="AV673" s="25"/>
      <c r="AW673" s="25"/>
      <c r="AX673" s="25"/>
      <c r="AY673" s="25"/>
      <c r="AZ673" s="25"/>
      <c r="BA673" s="25"/>
      <c r="BB673" s="25"/>
      <c r="BC673" s="25"/>
      <c r="BD673" s="25"/>
      <c r="BE673" s="25"/>
      <c r="BF673" s="25"/>
      <c r="BG673" s="25"/>
      <c r="BH673" s="25"/>
      <c r="BI673" s="25"/>
      <c r="BJ673" s="25"/>
      <c r="BK673" s="25"/>
      <c r="BL673" s="25"/>
      <c r="BM673" s="25"/>
      <c r="BN673" s="25"/>
      <c r="BO673" s="25"/>
      <c r="BP673" s="25"/>
      <c r="BQ673" s="25"/>
      <c r="BR673" s="25"/>
      <c r="BS673" s="25"/>
      <c r="BT673" s="25"/>
      <c r="BU673" s="25"/>
      <c r="BV673" s="25"/>
      <c r="BW673" s="25"/>
      <c r="BX673" s="25"/>
      <c r="BY673" s="25"/>
      <c r="BZ673" s="25"/>
      <c r="CA673" s="25"/>
      <c r="CB673" s="25"/>
    </row>
    <row r="674" spans="1:80" ht="13.5" hidden="1" customHeight="1">
      <c r="A674" s="10">
        <f ca="1">IFERROR(__xludf.DUMMYFUNCTION("""COMPUTED_VALUE"""),2011)</f>
        <v>2011</v>
      </c>
      <c r="B674" s="50">
        <f ca="1">IFERROR(__xludf.DUMMYFUNCTION("""COMPUTED_VALUE"""),40587)</f>
        <v>40587</v>
      </c>
      <c r="C674" s="41">
        <f ca="1">IFERROR(__xludf.DUMMYFUNCTION("""COMPUTED_VALUE"""),41026)</f>
        <v>41026</v>
      </c>
      <c r="D674" s="42" t="str">
        <f ca="1">IFERROR(__xludf.DUMMYFUNCTION("""COMPUTED_VALUE"""),"Caspian Gull")</f>
        <v>Caspian Gull</v>
      </c>
      <c r="E674" s="53">
        <f ca="1">IFERROR(__xludf.DUMMYFUNCTION("""COMPUTED_VALUE"""),1)</f>
        <v>1</v>
      </c>
      <c r="F674" s="15" t="str">
        <f ca="1">IFERROR(__xludf.DUMMYFUNCTION("""COMPUTED_VALUE"""),"1st w")</f>
        <v>1st w</v>
      </c>
      <c r="G674" s="44" t="str">
        <f ca="1">IFERROR(__xludf.DUMMYFUNCTION("""COMPUTED_VALUE"""),"Richmond Bank")</f>
        <v>Richmond Bank</v>
      </c>
      <c r="H674" s="12">
        <f ca="1">IFERROR(__xludf.DUMMYFUNCTION("""COMPUTED_VALUE"""),40547)</f>
        <v>40547</v>
      </c>
      <c r="I674" s="13"/>
      <c r="J674" s="14" t="str">
        <f ca="1">IFERROR(__xludf.DUMMYFUNCTION("""COMPUTED_VALUE"""),"Kinsella, P")</f>
        <v>Kinsella, P</v>
      </c>
      <c r="K674" s="15" t="str">
        <f ca="1">IFERROR(__xludf.DUMMYFUNCTION("""COMPUTED_VALUE"""),"Pete Kinsella")</f>
        <v>Pete Kinsella</v>
      </c>
      <c r="L674" s="17" t="str">
        <f ca="1">IFERROR(__xludf.DUMMYFUNCTION("""COMPUTED_VALUE"""),"closed")</f>
        <v>closed</v>
      </c>
      <c r="M674" s="17" t="str">
        <f ca="1">IFERROR(__xludf.DUMMYFUNCTION("""COMPUTED_VALUE"""),"panel")</f>
        <v>panel</v>
      </c>
      <c r="N674" s="15" t="str">
        <f ca="1">IFERROR(__xludf.DUMMYFUNCTION("""COMPUTED_VALUE"""),"accepted")</f>
        <v>accepted</v>
      </c>
      <c r="O674" s="18"/>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row>
    <row r="675" spans="1:80" ht="13.5" hidden="1" customHeight="1">
      <c r="A675" s="20">
        <f ca="1">IFERROR(__xludf.DUMMYFUNCTION("""COMPUTED_VALUE"""),2011)</f>
        <v>2011</v>
      </c>
      <c r="B675" s="45">
        <f ca="1">IFERROR(__xludf.DUMMYFUNCTION("""COMPUTED_VALUE"""),40602)</f>
        <v>40602</v>
      </c>
      <c r="C675" s="46"/>
      <c r="D675" s="47" t="str">
        <f ca="1">IFERROR(__xludf.DUMMYFUNCTION("""COMPUTED_VALUE"""),"Caspian Gull")</f>
        <v>Caspian Gull</v>
      </c>
      <c r="E675" s="52">
        <f ca="1">IFERROR(__xludf.DUMMYFUNCTION("""COMPUTED_VALUE"""),1)</f>
        <v>1</v>
      </c>
      <c r="F675" s="25" t="str">
        <f ca="1">IFERROR(__xludf.DUMMYFUNCTION("""COMPUTED_VALUE"""),"1st w")</f>
        <v>1st w</v>
      </c>
      <c r="G675" s="48" t="str">
        <f ca="1">IFERROR(__xludf.DUMMYFUNCTION("""COMPUTED_VALUE"""),"Richmond Bank")</f>
        <v>Richmond Bank</v>
      </c>
      <c r="H675" s="22">
        <f ca="1">IFERROR(__xludf.DUMMYFUNCTION("""COMPUTED_VALUE"""),40599)</f>
        <v>40599</v>
      </c>
      <c r="I675" s="22"/>
      <c r="J675" s="24" t="str">
        <f ca="1">IFERROR(__xludf.DUMMYFUNCTION("""COMPUTED_VALUE"""),"Kinsella, P")</f>
        <v>Kinsella, P</v>
      </c>
      <c r="K675" s="25" t="str">
        <f ca="1">IFERROR(__xludf.DUMMYFUNCTION("""COMPUTED_VALUE"""),"Tim Vaughan and Pete Kinsella")</f>
        <v>Tim Vaughan and Pete Kinsella</v>
      </c>
      <c r="L675" s="27" t="str">
        <f ca="1">IFERROR(__xludf.DUMMYFUNCTION("""COMPUTED_VALUE"""),"closed")</f>
        <v>closed</v>
      </c>
      <c r="M675" s="27" t="str">
        <f ca="1">IFERROR(__xludf.DUMMYFUNCTION("""COMPUTED_VALUE"""),"panel")</f>
        <v>panel</v>
      </c>
      <c r="N675" s="25" t="str">
        <f ca="1">IFERROR(__xludf.DUMMYFUNCTION("""COMPUTED_VALUE"""),"accepted")</f>
        <v>accepted</v>
      </c>
      <c r="O675" s="28"/>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c r="AQ675" s="25"/>
      <c r="AR675" s="25"/>
      <c r="AS675" s="25"/>
      <c r="AT675" s="25"/>
      <c r="AU675" s="25"/>
      <c r="AV675" s="25"/>
      <c r="AW675" s="25"/>
      <c r="AX675" s="25"/>
      <c r="AY675" s="25"/>
      <c r="AZ675" s="25"/>
      <c r="BA675" s="25"/>
      <c r="BB675" s="25"/>
      <c r="BC675" s="25"/>
      <c r="BD675" s="25"/>
      <c r="BE675" s="25"/>
      <c r="BF675" s="25"/>
      <c r="BG675" s="25"/>
      <c r="BH675" s="25"/>
      <c r="BI675" s="25"/>
      <c r="BJ675" s="25"/>
      <c r="BK675" s="25"/>
      <c r="BL675" s="25"/>
      <c r="BM675" s="25"/>
      <c r="BN675" s="25"/>
      <c r="BO675" s="25"/>
      <c r="BP675" s="25"/>
      <c r="BQ675" s="25"/>
      <c r="BR675" s="25"/>
      <c r="BS675" s="25"/>
      <c r="BT675" s="25"/>
      <c r="BU675" s="25"/>
      <c r="BV675" s="25"/>
      <c r="BW675" s="25"/>
      <c r="BX675" s="25"/>
      <c r="BY675" s="25"/>
      <c r="BZ675" s="25"/>
      <c r="CA675" s="25"/>
      <c r="CB675" s="25"/>
    </row>
    <row r="676" spans="1:80" ht="13.5" hidden="1" customHeight="1">
      <c r="A676" s="10">
        <f ca="1">IFERROR(__xludf.DUMMYFUNCTION("""COMPUTED_VALUE"""),2011)</f>
        <v>2011</v>
      </c>
      <c r="B676" s="50">
        <f ca="1">IFERROR(__xludf.DUMMYFUNCTION("""COMPUTED_VALUE"""),40605)</f>
        <v>40605</v>
      </c>
      <c r="C676" s="41"/>
      <c r="D676" s="42" t="str">
        <f ca="1">IFERROR(__xludf.DUMMYFUNCTION("""COMPUTED_VALUE"""),"Caspian Gull")</f>
        <v>Caspian Gull</v>
      </c>
      <c r="E676" s="53">
        <f ca="1">IFERROR(__xludf.DUMMYFUNCTION("""COMPUTED_VALUE"""),1)</f>
        <v>1</v>
      </c>
      <c r="F676" s="15" t="str">
        <f ca="1">IFERROR(__xludf.DUMMYFUNCTION("""COMPUTED_VALUE"""),"adult")</f>
        <v>adult</v>
      </c>
      <c r="G676" s="44" t="str">
        <f ca="1">IFERROR(__xludf.DUMMYFUNCTION("""COMPUTED_VALUE"""),"Sandbach [Elton Hall Flash]")</f>
        <v>Sandbach [Elton Hall Flash]</v>
      </c>
      <c r="H676" s="12">
        <f ca="1">IFERROR(__xludf.DUMMYFUNCTION("""COMPUTED_VALUE"""),40577)</f>
        <v>40577</v>
      </c>
      <c r="I676" s="12">
        <f ca="1">IFERROR(__xludf.DUMMYFUNCTION("""COMPUTED_VALUE"""),40580)</f>
        <v>40580</v>
      </c>
      <c r="J676" s="14" t="str">
        <f ca="1">IFERROR(__xludf.DUMMYFUNCTION("""COMPUTED_VALUE"""),"Perkins, B")</f>
        <v>Perkins, B</v>
      </c>
      <c r="K676" s="15" t="str">
        <f ca="1">IFERROR(__xludf.DUMMYFUNCTION("""COMPUTED_VALUE"""),"Dave Norbury")</f>
        <v>Dave Norbury</v>
      </c>
      <c r="L676" s="17" t="str">
        <f ca="1">IFERROR(__xludf.DUMMYFUNCTION("""COMPUTED_VALUE"""),"closed")</f>
        <v>closed</v>
      </c>
      <c r="M676" s="17" t="str">
        <f ca="1">IFERROR(__xludf.DUMMYFUNCTION("""COMPUTED_VALUE"""),"panel")</f>
        <v>panel</v>
      </c>
      <c r="N676" s="15" t="str">
        <f ca="1">IFERROR(__xludf.DUMMYFUNCTION("""COMPUTED_VALUE"""),"accepted")</f>
        <v>accepted</v>
      </c>
      <c r="O676" s="18"/>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row>
    <row r="677" spans="1:80" ht="13.5" hidden="1" customHeight="1">
      <c r="A677" s="20">
        <f ca="1">IFERROR(__xludf.DUMMYFUNCTION("""COMPUTED_VALUE"""),2011)</f>
        <v>2011</v>
      </c>
      <c r="B677" s="45">
        <f ca="1">IFERROR(__xludf.DUMMYFUNCTION("""COMPUTED_VALUE"""),40608)</f>
        <v>40608</v>
      </c>
      <c r="C677" s="46"/>
      <c r="D677" s="47" t="str">
        <f ca="1">IFERROR(__xludf.DUMMYFUNCTION("""COMPUTED_VALUE"""),"Caspian Gull")</f>
        <v>Caspian Gull</v>
      </c>
      <c r="E677" s="52">
        <f ca="1">IFERROR(__xludf.DUMMYFUNCTION("""COMPUTED_VALUE"""),1)</f>
        <v>1</v>
      </c>
      <c r="F677" s="25" t="str">
        <f ca="1">IFERROR(__xludf.DUMMYFUNCTION("""COMPUTED_VALUE"""),"4th W")</f>
        <v>4th W</v>
      </c>
      <c r="G677" s="48" t="str">
        <f ca="1">IFERROR(__xludf.DUMMYFUNCTION("""COMPUTED_VALUE"""),"Moore")</f>
        <v>Moore</v>
      </c>
      <c r="H677" s="22">
        <f ca="1">IFERROR(__xludf.DUMMYFUNCTION("""COMPUTED_VALUE"""),40607)</f>
        <v>40607</v>
      </c>
      <c r="I677" s="23"/>
      <c r="J677" s="24" t="str">
        <f ca="1">IFERROR(__xludf.DUMMYFUNCTION("""COMPUTED_VALUE"""),"Kinsella, P")</f>
        <v>Kinsella, P</v>
      </c>
      <c r="K677" s="25" t="str">
        <f ca="1">IFERROR(__xludf.DUMMYFUNCTION("""COMPUTED_VALUE"""),"?")</f>
        <v>?</v>
      </c>
      <c r="L677" s="27" t="str">
        <f ca="1">IFERROR(__xludf.DUMMYFUNCTION("""COMPUTED_VALUE"""),"closed")</f>
        <v>closed</v>
      </c>
      <c r="M677" s="27" t="str">
        <f ca="1">IFERROR(__xludf.DUMMYFUNCTION("""COMPUTED_VALUE"""),"panel")</f>
        <v>panel</v>
      </c>
      <c r="N677" s="25" t="str">
        <f ca="1">IFERROR(__xludf.DUMMYFUNCTION("""COMPUTED_VALUE"""),"accepted")</f>
        <v>accepted</v>
      </c>
      <c r="O677" s="28"/>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c r="AQ677" s="25"/>
      <c r="AR677" s="25"/>
      <c r="AS677" s="25"/>
      <c r="AT677" s="25"/>
      <c r="AU677" s="25"/>
      <c r="AV677" s="25"/>
      <c r="AW677" s="25"/>
      <c r="AX677" s="25"/>
      <c r="AY677" s="25"/>
      <c r="AZ677" s="25"/>
      <c r="BA677" s="25"/>
      <c r="BB677" s="25"/>
      <c r="BC677" s="25"/>
      <c r="BD677" s="25"/>
      <c r="BE677" s="25"/>
      <c r="BF677" s="25"/>
      <c r="BG677" s="25"/>
      <c r="BH677" s="25"/>
      <c r="BI677" s="25"/>
      <c r="BJ677" s="25"/>
      <c r="BK677" s="25"/>
      <c r="BL677" s="25"/>
      <c r="BM677" s="25"/>
      <c r="BN677" s="25"/>
      <c r="BO677" s="25"/>
      <c r="BP677" s="25"/>
      <c r="BQ677" s="25"/>
      <c r="BR677" s="25"/>
      <c r="BS677" s="25"/>
      <c r="BT677" s="25"/>
      <c r="BU677" s="25"/>
      <c r="BV677" s="25"/>
      <c r="BW677" s="25"/>
      <c r="BX677" s="25"/>
      <c r="BY677" s="25"/>
      <c r="BZ677" s="25"/>
      <c r="CA677" s="25"/>
      <c r="CB677" s="25"/>
    </row>
    <row r="678" spans="1:80" ht="13.5" hidden="1" customHeight="1">
      <c r="A678" s="10">
        <f ca="1">IFERROR(__xludf.DUMMYFUNCTION("""COMPUTED_VALUE"""),2011)</f>
        <v>2011</v>
      </c>
      <c r="B678" s="50">
        <f ca="1">IFERROR(__xludf.DUMMYFUNCTION("""COMPUTED_VALUE"""),40608)</f>
        <v>40608</v>
      </c>
      <c r="C678" s="41"/>
      <c r="D678" s="42" t="str">
        <f ca="1">IFERROR(__xludf.DUMMYFUNCTION("""COMPUTED_VALUE"""),"Caspian Gull")</f>
        <v>Caspian Gull</v>
      </c>
      <c r="E678" s="53">
        <f ca="1">IFERROR(__xludf.DUMMYFUNCTION("""COMPUTED_VALUE"""),1)</f>
        <v>1</v>
      </c>
      <c r="F678" s="15" t="str">
        <f ca="1">IFERROR(__xludf.DUMMYFUNCTION("""COMPUTED_VALUE"""),"1st w")</f>
        <v>1st w</v>
      </c>
      <c r="G678" s="44" t="str">
        <f ca="1">IFERROR(__xludf.DUMMYFUNCTION("""COMPUTED_VALUE"""),"Richmond Bank")</f>
        <v>Richmond Bank</v>
      </c>
      <c r="H678" s="12">
        <f ca="1">IFERROR(__xludf.DUMMYFUNCTION("""COMPUTED_VALUE"""),40607)</f>
        <v>40607</v>
      </c>
      <c r="I678" s="13"/>
      <c r="J678" s="14" t="str">
        <f ca="1">IFERROR(__xludf.DUMMYFUNCTION("""COMPUTED_VALUE"""),"Kinsella, P")</f>
        <v>Kinsella, P</v>
      </c>
      <c r="K678" s="15" t="str">
        <f ca="1">IFERROR(__xludf.DUMMYFUNCTION("""COMPUTED_VALUE"""),"Gavin Thomas")</f>
        <v>Gavin Thomas</v>
      </c>
      <c r="L678" s="17" t="str">
        <f ca="1">IFERROR(__xludf.DUMMYFUNCTION("""COMPUTED_VALUE"""),"closed")</f>
        <v>closed</v>
      </c>
      <c r="M678" s="17" t="str">
        <f ca="1">IFERROR(__xludf.DUMMYFUNCTION("""COMPUTED_VALUE"""),"panel")</f>
        <v>panel</v>
      </c>
      <c r="N678" s="15" t="str">
        <f ca="1">IFERROR(__xludf.DUMMYFUNCTION("""COMPUTED_VALUE"""),"accepted")</f>
        <v>accepted</v>
      </c>
      <c r="O678" s="18" t="str">
        <f ca="1">IFERROR(__xludf.DUMMYFUNCTION("""COMPUTED_VALUE"""),"new bird")</f>
        <v>new bird</v>
      </c>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row>
    <row r="679" spans="1:80" ht="13.5" hidden="1" customHeight="1">
      <c r="A679" s="20">
        <f ca="1">IFERROR(__xludf.DUMMYFUNCTION("""COMPUTED_VALUE"""),2011)</f>
        <v>2011</v>
      </c>
      <c r="B679" s="45">
        <f ca="1">IFERROR(__xludf.DUMMYFUNCTION("""COMPUTED_VALUE"""),40608)</f>
        <v>40608</v>
      </c>
      <c r="C679" s="46"/>
      <c r="D679" s="47" t="str">
        <f ca="1">IFERROR(__xludf.DUMMYFUNCTION("""COMPUTED_VALUE"""),"Caspian Gull")</f>
        <v>Caspian Gull</v>
      </c>
      <c r="E679" s="52">
        <f ca="1">IFERROR(__xludf.DUMMYFUNCTION("""COMPUTED_VALUE"""),1)</f>
        <v>1</v>
      </c>
      <c r="F679" s="25" t="str">
        <f ca="1">IFERROR(__xludf.DUMMYFUNCTION("""COMPUTED_VALUE"""),"Ad W")</f>
        <v>Ad W</v>
      </c>
      <c r="G679" s="48" t="str">
        <f ca="1">IFERROR(__xludf.DUMMYFUNCTION("""COMPUTED_VALUE"""),"Richmond Bank")</f>
        <v>Richmond Bank</v>
      </c>
      <c r="H679" s="22">
        <f ca="1">IFERROR(__xludf.DUMMYFUNCTION("""COMPUTED_VALUE"""),40599)</f>
        <v>40599</v>
      </c>
      <c r="I679" s="23"/>
      <c r="J679" s="24" t="str">
        <f ca="1">IFERROR(__xludf.DUMMYFUNCTION("""COMPUTED_VALUE"""),"Kinsella, P")</f>
        <v>Kinsella, P</v>
      </c>
      <c r="K679" s="25" t="str">
        <f ca="1">IFERROR(__xludf.DUMMYFUNCTION("""COMPUTED_VALUE"""),"Tim Vaughan and Pete Kinsella")</f>
        <v>Tim Vaughan and Pete Kinsella</v>
      </c>
      <c r="L679" s="27" t="str">
        <f ca="1">IFERROR(__xludf.DUMMYFUNCTION("""COMPUTED_VALUE"""),"closed")</f>
        <v>closed</v>
      </c>
      <c r="M679" s="27" t="str">
        <f ca="1">IFERROR(__xludf.DUMMYFUNCTION("""COMPUTED_VALUE"""),"panel")</f>
        <v>panel</v>
      </c>
      <c r="N679" s="25" t="str">
        <f ca="1">IFERROR(__xludf.DUMMYFUNCTION("""COMPUTED_VALUE"""),"accepted")</f>
        <v>accepted</v>
      </c>
      <c r="O679" s="28"/>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c r="AQ679" s="25"/>
      <c r="AR679" s="25"/>
      <c r="AS679" s="25"/>
      <c r="AT679" s="25"/>
      <c r="AU679" s="25"/>
      <c r="AV679" s="25"/>
      <c r="AW679" s="25"/>
      <c r="AX679" s="25"/>
      <c r="AY679" s="25"/>
      <c r="AZ679" s="25"/>
      <c r="BA679" s="25"/>
      <c r="BB679" s="25"/>
      <c r="BC679" s="25"/>
      <c r="BD679" s="25"/>
      <c r="BE679" s="25"/>
      <c r="BF679" s="25"/>
      <c r="BG679" s="25"/>
      <c r="BH679" s="25"/>
      <c r="BI679" s="25"/>
      <c r="BJ679" s="25"/>
      <c r="BK679" s="25"/>
      <c r="BL679" s="25"/>
      <c r="BM679" s="25"/>
      <c r="BN679" s="25"/>
      <c r="BO679" s="25"/>
      <c r="BP679" s="25"/>
      <c r="BQ679" s="25"/>
      <c r="BR679" s="25"/>
      <c r="BS679" s="25"/>
      <c r="BT679" s="25"/>
      <c r="BU679" s="25"/>
      <c r="BV679" s="25"/>
      <c r="BW679" s="25"/>
      <c r="BX679" s="25"/>
      <c r="BY679" s="25"/>
      <c r="BZ679" s="25"/>
      <c r="CA679" s="25"/>
      <c r="CB679" s="25"/>
    </row>
    <row r="680" spans="1:80" ht="13.5" hidden="1" customHeight="1">
      <c r="A680" s="10">
        <f ca="1">IFERROR(__xludf.DUMMYFUNCTION("""COMPUTED_VALUE"""),2011)</f>
        <v>2011</v>
      </c>
      <c r="B680" s="50">
        <f ca="1">IFERROR(__xludf.DUMMYFUNCTION("""COMPUTED_VALUE"""),40615)</f>
        <v>40615</v>
      </c>
      <c r="C680" s="41"/>
      <c r="D680" s="42" t="str">
        <f ca="1">IFERROR(__xludf.DUMMYFUNCTION("""COMPUTED_VALUE"""),"Caspian Gull")</f>
        <v>Caspian Gull</v>
      </c>
      <c r="E680" s="53">
        <f ca="1">IFERROR(__xludf.DUMMYFUNCTION("""COMPUTED_VALUE"""),1)</f>
        <v>1</v>
      </c>
      <c r="F680" s="15" t="str">
        <f ca="1">IFERROR(__xludf.DUMMYFUNCTION("""COMPUTED_VALUE"""),"1st w")</f>
        <v>1st w</v>
      </c>
      <c r="G680" s="44" t="str">
        <f ca="1">IFERROR(__xludf.DUMMYFUNCTION("""COMPUTED_VALUE"""),"Richmond Bank")</f>
        <v>Richmond Bank</v>
      </c>
      <c r="H680" s="12">
        <f ca="1">IFERROR(__xludf.DUMMYFUNCTION("""COMPUTED_VALUE"""),40614)</f>
        <v>40614</v>
      </c>
      <c r="I680" s="12"/>
      <c r="J680" s="14" t="str">
        <f ca="1">IFERROR(__xludf.DUMMYFUNCTION("""COMPUTED_VALUE"""),"Kinsella, P")</f>
        <v>Kinsella, P</v>
      </c>
      <c r="K680" s="15" t="str">
        <f ca="1">IFERROR(__xludf.DUMMYFUNCTION("""COMPUTED_VALUE"""),"Tim Vaughan and Pete Kinsella")</f>
        <v>Tim Vaughan and Pete Kinsella</v>
      </c>
      <c r="L680" s="17" t="str">
        <f ca="1">IFERROR(__xludf.DUMMYFUNCTION("""COMPUTED_VALUE"""),"closed")</f>
        <v>closed</v>
      </c>
      <c r="M680" s="17" t="str">
        <f ca="1">IFERROR(__xludf.DUMMYFUNCTION("""COMPUTED_VALUE"""),"panel")</f>
        <v>panel</v>
      </c>
      <c r="N680" s="15" t="str">
        <f ca="1">IFERROR(__xludf.DUMMYFUNCTION("""COMPUTED_VALUE"""),"accepted")</f>
        <v>accepted</v>
      </c>
      <c r="O680" s="18"/>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row>
    <row r="681" spans="1:80" ht="13.5" hidden="1" customHeight="1">
      <c r="A681" s="20">
        <f ca="1">IFERROR(__xludf.DUMMYFUNCTION("""COMPUTED_VALUE"""),2011)</f>
        <v>2011</v>
      </c>
      <c r="B681" s="45">
        <f ca="1">IFERROR(__xludf.DUMMYFUNCTION("""COMPUTED_VALUE"""),40615)</f>
        <v>40615</v>
      </c>
      <c r="C681" s="46"/>
      <c r="D681" s="47" t="str">
        <f ca="1">IFERROR(__xludf.DUMMYFUNCTION("""COMPUTED_VALUE"""),"Caspian Gull")</f>
        <v>Caspian Gull</v>
      </c>
      <c r="E681" s="52">
        <f ca="1">IFERROR(__xludf.DUMMYFUNCTION("""COMPUTED_VALUE"""),1)</f>
        <v>1</v>
      </c>
      <c r="F681" s="25" t="str">
        <f ca="1">IFERROR(__xludf.DUMMYFUNCTION("""COMPUTED_VALUE"""),"2nd w")</f>
        <v>2nd w</v>
      </c>
      <c r="G681" s="48" t="str">
        <f ca="1">IFERROR(__xludf.DUMMYFUNCTION("""COMPUTED_VALUE"""),"Richmond Bank")</f>
        <v>Richmond Bank</v>
      </c>
      <c r="H681" s="22">
        <f ca="1">IFERROR(__xludf.DUMMYFUNCTION("""COMPUTED_VALUE"""),40614)</f>
        <v>40614</v>
      </c>
      <c r="I681" s="23"/>
      <c r="J681" s="24" t="str">
        <f ca="1">IFERROR(__xludf.DUMMYFUNCTION("""COMPUTED_VALUE"""),"Kinsella, P")</f>
        <v>Kinsella, P</v>
      </c>
      <c r="K681" s="25" t="str">
        <f ca="1">IFERROR(__xludf.DUMMYFUNCTION("""COMPUTED_VALUE"""),"Tim Vaughan and Pete Kinsella")</f>
        <v>Tim Vaughan and Pete Kinsella</v>
      </c>
      <c r="L681" s="27" t="str">
        <f ca="1">IFERROR(__xludf.DUMMYFUNCTION("""COMPUTED_VALUE"""),"closed")</f>
        <v>closed</v>
      </c>
      <c r="M681" s="27" t="str">
        <f ca="1">IFERROR(__xludf.DUMMYFUNCTION("""COMPUTED_VALUE"""),"panel")</f>
        <v>panel</v>
      </c>
      <c r="N681" s="25" t="str">
        <f ca="1">IFERROR(__xludf.DUMMYFUNCTION("""COMPUTED_VALUE"""),"accepted")</f>
        <v>accepted</v>
      </c>
      <c r="O681" s="28" t="str">
        <f ca="1">IFERROR(__xludf.DUMMYFUNCTION("""COMPUTED_VALUE"""),"Photo to follow fromTim")</f>
        <v>Photo to follow fromTim</v>
      </c>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c r="AQ681" s="25"/>
      <c r="AR681" s="25"/>
      <c r="AS681" s="25"/>
      <c r="AT681" s="25"/>
      <c r="AU681" s="25"/>
      <c r="AV681" s="25"/>
      <c r="AW681" s="25"/>
      <c r="AX681" s="25"/>
      <c r="AY681" s="25"/>
      <c r="AZ681" s="25"/>
      <c r="BA681" s="25"/>
      <c r="BB681" s="25"/>
      <c r="BC681" s="25"/>
      <c r="BD681" s="25"/>
      <c r="BE681" s="25"/>
      <c r="BF681" s="25"/>
      <c r="BG681" s="25"/>
      <c r="BH681" s="25"/>
      <c r="BI681" s="25"/>
      <c r="BJ681" s="25"/>
      <c r="BK681" s="25"/>
      <c r="BL681" s="25"/>
      <c r="BM681" s="25"/>
      <c r="BN681" s="25"/>
      <c r="BO681" s="25"/>
      <c r="BP681" s="25"/>
      <c r="BQ681" s="25"/>
      <c r="BR681" s="25"/>
      <c r="BS681" s="25"/>
      <c r="BT681" s="25"/>
      <c r="BU681" s="25"/>
      <c r="BV681" s="25"/>
      <c r="BW681" s="25"/>
      <c r="BX681" s="25"/>
      <c r="BY681" s="25"/>
      <c r="BZ681" s="25"/>
      <c r="CA681" s="25"/>
      <c r="CB681" s="25"/>
    </row>
    <row r="682" spans="1:80" ht="13.5" hidden="1" customHeight="1">
      <c r="A682" s="10">
        <f ca="1">IFERROR(__xludf.DUMMYFUNCTION("""COMPUTED_VALUE"""),2011)</f>
        <v>2011</v>
      </c>
      <c r="B682" s="50">
        <f ca="1">IFERROR(__xludf.DUMMYFUNCTION("""COMPUTED_VALUE"""),40656)</f>
        <v>40656</v>
      </c>
      <c r="C682" s="41"/>
      <c r="D682" s="42" t="str">
        <f ca="1">IFERROR(__xludf.DUMMYFUNCTION("""COMPUTED_VALUE"""),"Caspian Gull")</f>
        <v>Caspian Gull</v>
      </c>
      <c r="E682" s="53">
        <f ca="1">IFERROR(__xludf.DUMMYFUNCTION("""COMPUTED_VALUE"""),1)</f>
        <v>1</v>
      </c>
      <c r="F682" s="15" t="str">
        <f ca="1">IFERROR(__xludf.DUMMYFUNCTION("""COMPUTED_VALUE"""),"1st w")</f>
        <v>1st w</v>
      </c>
      <c r="G682" s="44" t="str">
        <f ca="1">IFERROR(__xludf.DUMMYFUNCTION("""COMPUTED_VALUE"""),"Richmond Bank")</f>
        <v>Richmond Bank</v>
      </c>
      <c r="H682" s="12">
        <f ca="1">IFERROR(__xludf.DUMMYFUNCTION("""COMPUTED_VALUE"""),40551)</f>
        <v>40551</v>
      </c>
      <c r="I682" s="12"/>
      <c r="J682" s="14" t="str">
        <f ca="1">IFERROR(__xludf.DUMMYFUNCTION("""COMPUTED_VALUE"""),"Vaughan, T")</f>
        <v>Vaughan, T</v>
      </c>
      <c r="K682" s="15" t="str">
        <f ca="1">IFERROR(__xludf.DUMMYFUNCTION("""COMPUTED_VALUE"""),"Vaughan, T")</f>
        <v>Vaughan, T</v>
      </c>
      <c r="L682" s="17" t="str">
        <f ca="1">IFERROR(__xludf.DUMMYFUNCTION("""COMPUTED_VALUE"""),"closed")</f>
        <v>closed</v>
      </c>
      <c r="M682" s="17" t="str">
        <f ca="1">IFERROR(__xludf.DUMMYFUNCTION("""COMPUTED_VALUE"""),"panel")</f>
        <v>panel</v>
      </c>
      <c r="N682" s="15" t="str">
        <f ca="1">IFERROR(__xludf.DUMMYFUNCTION("""COMPUTED_VALUE"""),"accepted")</f>
        <v>accepted</v>
      </c>
      <c r="O682" s="18"/>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row>
    <row r="683" spans="1:80" ht="13.5" hidden="1" customHeight="1">
      <c r="A683" s="20">
        <f ca="1">IFERROR(__xludf.DUMMYFUNCTION("""COMPUTED_VALUE"""),2011)</f>
        <v>2011</v>
      </c>
      <c r="B683" s="45">
        <f ca="1">IFERROR(__xludf.DUMMYFUNCTION("""COMPUTED_VALUE"""),41022)</f>
        <v>41022</v>
      </c>
      <c r="C683" s="46"/>
      <c r="D683" s="47" t="str">
        <f ca="1">IFERROR(__xludf.DUMMYFUNCTION("""COMPUTED_VALUE"""),"Caspian Gull")</f>
        <v>Caspian Gull</v>
      </c>
      <c r="E683" s="52">
        <f ca="1">IFERROR(__xludf.DUMMYFUNCTION("""COMPUTED_VALUE"""),1)</f>
        <v>1</v>
      </c>
      <c r="F683" s="25" t="str">
        <f ca="1">IFERROR(__xludf.DUMMYFUNCTION("""COMPUTED_VALUE"""),"1st w")</f>
        <v>1st w</v>
      </c>
      <c r="G683" s="48" t="str">
        <f ca="1">IFERROR(__xludf.DUMMYFUNCTION("""COMPUTED_VALUE"""),"Richmond Bank")</f>
        <v>Richmond Bank</v>
      </c>
      <c r="H683" s="22">
        <f ca="1">IFERROR(__xludf.DUMMYFUNCTION("""COMPUTED_VALUE"""),40599)</f>
        <v>40599</v>
      </c>
      <c r="I683" s="22"/>
      <c r="J683" s="24" t="str">
        <f ca="1">IFERROR(__xludf.DUMMYFUNCTION("""COMPUTED_VALUE"""),"Vaughan, T")</f>
        <v>Vaughan, T</v>
      </c>
      <c r="K683" s="25" t="str">
        <f ca="1">IFERROR(__xludf.DUMMYFUNCTION("""COMPUTED_VALUE"""),"Vaughan, T")</f>
        <v>Vaughan, T</v>
      </c>
      <c r="L683" s="27" t="str">
        <f ca="1">IFERROR(__xludf.DUMMYFUNCTION("""COMPUTED_VALUE"""),"closed")</f>
        <v>closed</v>
      </c>
      <c r="M683" s="27" t="str">
        <f ca="1">IFERROR(__xludf.DUMMYFUNCTION("""COMPUTED_VALUE"""),"panel")</f>
        <v>panel</v>
      </c>
      <c r="N683" s="25" t="str">
        <f ca="1">IFERROR(__xludf.DUMMYFUNCTION("""COMPUTED_VALUE"""),"accepted")</f>
        <v>accepted</v>
      </c>
      <c r="O683" s="28"/>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c r="AQ683" s="25"/>
      <c r="AR683" s="25"/>
      <c r="AS683" s="25"/>
      <c r="AT683" s="25"/>
      <c r="AU683" s="25"/>
      <c r="AV683" s="25"/>
      <c r="AW683" s="25"/>
      <c r="AX683" s="25"/>
      <c r="AY683" s="25"/>
      <c r="AZ683" s="25"/>
      <c r="BA683" s="25"/>
      <c r="BB683" s="25"/>
      <c r="BC683" s="25"/>
      <c r="BD683" s="25"/>
      <c r="BE683" s="25"/>
      <c r="BF683" s="25"/>
      <c r="BG683" s="25"/>
      <c r="BH683" s="25"/>
      <c r="BI683" s="25"/>
      <c r="BJ683" s="25"/>
      <c r="BK683" s="25"/>
      <c r="BL683" s="25"/>
      <c r="BM683" s="25"/>
      <c r="BN683" s="25"/>
      <c r="BO683" s="25"/>
      <c r="BP683" s="25"/>
      <c r="BQ683" s="25"/>
      <c r="BR683" s="25"/>
      <c r="BS683" s="25"/>
      <c r="BT683" s="25"/>
      <c r="BU683" s="25"/>
      <c r="BV683" s="25"/>
      <c r="BW683" s="25"/>
      <c r="BX683" s="25"/>
      <c r="BY683" s="25"/>
      <c r="BZ683" s="25"/>
      <c r="CA683" s="25"/>
      <c r="CB683" s="25"/>
    </row>
    <row r="684" spans="1:80" ht="13.5" hidden="1" customHeight="1">
      <c r="A684" s="10">
        <f ca="1">IFERROR(__xludf.DUMMYFUNCTION("""COMPUTED_VALUE"""),2011)</f>
        <v>2011</v>
      </c>
      <c r="B684" s="50">
        <f ca="1">IFERROR(__xludf.DUMMYFUNCTION("""COMPUTED_VALUE"""),41022)</f>
        <v>41022</v>
      </c>
      <c r="C684" s="41"/>
      <c r="D684" s="42" t="str">
        <f ca="1">IFERROR(__xludf.DUMMYFUNCTION("""COMPUTED_VALUE"""),"Caspian Gull")</f>
        <v>Caspian Gull</v>
      </c>
      <c r="E684" s="53">
        <f ca="1">IFERROR(__xludf.DUMMYFUNCTION("""COMPUTED_VALUE"""),1)</f>
        <v>1</v>
      </c>
      <c r="F684" s="15" t="str">
        <f ca="1">IFERROR(__xludf.DUMMYFUNCTION("""COMPUTED_VALUE"""),"1st w")</f>
        <v>1st w</v>
      </c>
      <c r="G684" s="44" t="str">
        <f ca="1">IFERROR(__xludf.DUMMYFUNCTION("""COMPUTED_VALUE"""),"Richmond Bank")</f>
        <v>Richmond Bank</v>
      </c>
      <c r="H684" s="12">
        <f ca="1">IFERROR(__xludf.DUMMYFUNCTION("""COMPUTED_VALUE"""),40575)</f>
        <v>40575</v>
      </c>
      <c r="I684" s="12"/>
      <c r="J684" s="14" t="str">
        <f ca="1">IFERROR(__xludf.DUMMYFUNCTION("""COMPUTED_VALUE"""),"McKerchar, I")</f>
        <v>McKerchar, I</v>
      </c>
      <c r="K684" s="15" t="str">
        <f ca="1">IFERROR(__xludf.DUMMYFUNCTION("""COMPUTED_VALUE"""),"Phil Rhodes")</f>
        <v>Phil Rhodes</v>
      </c>
      <c r="L684" s="17" t="str">
        <f ca="1">IFERROR(__xludf.DUMMYFUNCTION("""COMPUTED_VALUE"""),"closed")</f>
        <v>closed</v>
      </c>
      <c r="M684" s="17" t="str">
        <f ca="1">IFERROR(__xludf.DUMMYFUNCTION("""COMPUTED_VALUE"""),"panel")</f>
        <v>panel</v>
      </c>
      <c r="N684" s="15" t="str">
        <f ca="1">IFERROR(__xludf.DUMMYFUNCTION("""COMPUTED_VALUE"""),"accepted")</f>
        <v>accepted</v>
      </c>
      <c r="O684" s="18" t="str">
        <f ca="1">IFERROR(__xludf.DUMMYFUNCTION("""COMPUTED_VALUE"""),"same as 1123 or 1173?")</f>
        <v>same as 1123 or 1173?</v>
      </c>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row>
    <row r="685" spans="1:80" ht="13.5" hidden="1" customHeight="1">
      <c r="A685" s="20">
        <f ca="1">IFERROR(__xludf.DUMMYFUNCTION("""COMPUTED_VALUE"""),2011)</f>
        <v>2011</v>
      </c>
      <c r="B685" s="45">
        <f ca="1">IFERROR(__xludf.DUMMYFUNCTION("""COMPUTED_VALUE"""),41022)</f>
        <v>41022</v>
      </c>
      <c r="C685" s="46"/>
      <c r="D685" s="47" t="str">
        <f ca="1">IFERROR(__xludf.DUMMYFUNCTION("""COMPUTED_VALUE"""),"Caspian Gull")</f>
        <v>Caspian Gull</v>
      </c>
      <c r="E685" s="52">
        <f ca="1">IFERROR(__xludf.DUMMYFUNCTION("""COMPUTED_VALUE"""),1)</f>
        <v>1</v>
      </c>
      <c r="F685" s="25" t="str">
        <f ca="1">IFERROR(__xludf.DUMMYFUNCTION("""COMPUTED_VALUE"""),"2nd S")</f>
        <v>2nd S</v>
      </c>
      <c r="G685" s="48" t="str">
        <f ca="1">IFERROR(__xludf.DUMMYFUNCTION("""COMPUTED_VALUE"""),"Richmond Bank")</f>
        <v>Richmond Bank</v>
      </c>
      <c r="H685" s="22">
        <f ca="1">IFERROR(__xludf.DUMMYFUNCTION("""COMPUTED_VALUE"""),40640)</f>
        <v>40640</v>
      </c>
      <c r="I685" s="23"/>
      <c r="J685" s="24" t="str">
        <f ca="1">IFERROR(__xludf.DUMMYFUNCTION("""COMPUTED_VALUE"""),"McKerchar, I")</f>
        <v>McKerchar, I</v>
      </c>
      <c r="K685" s="25" t="str">
        <f ca="1">IFERROR(__xludf.DUMMYFUNCTION("""COMPUTED_VALUE"""),"McKerchar, I")</f>
        <v>McKerchar, I</v>
      </c>
      <c r="L685" s="27" t="str">
        <f ca="1">IFERROR(__xludf.DUMMYFUNCTION("""COMPUTED_VALUE"""),"closed")</f>
        <v>closed</v>
      </c>
      <c r="M685" s="27" t="str">
        <f ca="1">IFERROR(__xludf.DUMMYFUNCTION("""COMPUTED_VALUE"""),"panel")</f>
        <v>panel</v>
      </c>
      <c r="N685" s="25" t="str">
        <f ca="1">IFERROR(__xludf.DUMMYFUNCTION("""COMPUTED_VALUE"""),"accepted")</f>
        <v>accepted</v>
      </c>
      <c r="O685" s="28"/>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c r="AQ685" s="25"/>
      <c r="AR685" s="25"/>
      <c r="AS685" s="25"/>
      <c r="AT685" s="25"/>
      <c r="AU685" s="25"/>
      <c r="AV685" s="25"/>
      <c r="AW685" s="25"/>
      <c r="AX685" s="25"/>
      <c r="AY685" s="25"/>
      <c r="AZ685" s="25"/>
      <c r="BA685" s="25"/>
      <c r="BB685" s="25"/>
      <c r="BC685" s="25"/>
      <c r="BD685" s="25"/>
      <c r="BE685" s="25"/>
      <c r="BF685" s="25"/>
      <c r="BG685" s="25"/>
      <c r="BH685" s="25"/>
      <c r="BI685" s="25"/>
      <c r="BJ685" s="25"/>
      <c r="BK685" s="25"/>
      <c r="BL685" s="25"/>
      <c r="BM685" s="25"/>
      <c r="BN685" s="25"/>
      <c r="BO685" s="25"/>
      <c r="BP685" s="25"/>
      <c r="BQ685" s="25"/>
      <c r="BR685" s="25"/>
      <c r="BS685" s="25"/>
      <c r="BT685" s="25"/>
      <c r="BU685" s="25"/>
      <c r="BV685" s="25"/>
      <c r="BW685" s="25"/>
      <c r="BX685" s="25"/>
      <c r="BY685" s="25"/>
      <c r="BZ685" s="25"/>
      <c r="CA685" s="25"/>
      <c r="CB685" s="25"/>
    </row>
    <row r="686" spans="1:80" ht="13.5" hidden="1" customHeight="1">
      <c r="A686" s="10">
        <f ca="1">IFERROR(__xludf.DUMMYFUNCTION("""COMPUTED_VALUE"""),2011)</f>
        <v>2011</v>
      </c>
      <c r="B686" s="50">
        <f ca="1">IFERROR(__xludf.DUMMYFUNCTION("""COMPUTED_VALUE"""),41022)</f>
        <v>41022</v>
      </c>
      <c r="C686" s="41"/>
      <c r="D686" s="42" t="str">
        <f ca="1">IFERROR(__xludf.DUMMYFUNCTION("""COMPUTED_VALUE"""),"Caspian Gull")</f>
        <v>Caspian Gull</v>
      </c>
      <c r="E686" s="53">
        <f ca="1">IFERROR(__xludf.DUMMYFUNCTION("""COMPUTED_VALUE"""),1)</f>
        <v>1</v>
      </c>
      <c r="F686" s="15" t="str">
        <f ca="1">IFERROR(__xludf.DUMMYFUNCTION("""COMPUTED_VALUE"""),"Ad ")</f>
        <v xml:space="preserve">Ad </v>
      </c>
      <c r="G686" s="44" t="str">
        <f ca="1">IFERROR(__xludf.DUMMYFUNCTION("""COMPUTED_VALUE"""),"Richmond Bank")</f>
        <v>Richmond Bank</v>
      </c>
      <c r="H686" s="12">
        <f ca="1">IFERROR(__xludf.DUMMYFUNCTION("""COMPUTED_VALUE"""),40850)</f>
        <v>40850</v>
      </c>
      <c r="I686" s="12"/>
      <c r="J686" s="14" t="str">
        <f ca="1">IFERROR(__xludf.DUMMYFUNCTION("""COMPUTED_VALUE"""),"McKerchar, I")</f>
        <v>McKerchar, I</v>
      </c>
      <c r="K686" s="15" t="str">
        <f ca="1">IFERROR(__xludf.DUMMYFUNCTION("""COMPUTED_VALUE"""),"McKerchar, I")</f>
        <v>McKerchar, I</v>
      </c>
      <c r="L686" s="17" t="str">
        <f ca="1">IFERROR(__xludf.DUMMYFUNCTION("""COMPUTED_VALUE"""),"closed")</f>
        <v>closed</v>
      </c>
      <c r="M686" s="17" t="str">
        <f ca="1">IFERROR(__xludf.DUMMYFUNCTION("""COMPUTED_VALUE"""),"panel")</f>
        <v>panel</v>
      </c>
      <c r="N686" s="15" t="str">
        <f ca="1">IFERROR(__xludf.DUMMYFUNCTION("""COMPUTED_VALUE"""),"accepted")</f>
        <v>accepted</v>
      </c>
      <c r="O686" s="18"/>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row>
    <row r="687" spans="1:80" ht="13.5" hidden="1" customHeight="1">
      <c r="A687" s="20">
        <f ca="1">IFERROR(__xludf.DUMMYFUNCTION("""COMPUTED_VALUE"""),2011)</f>
        <v>2011</v>
      </c>
      <c r="B687" s="45">
        <f ca="1">IFERROR(__xludf.DUMMYFUNCTION("""COMPUTED_VALUE"""),41022)</f>
        <v>41022</v>
      </c>
      <c r="C687" s="46"/>
      <c r="D687" s="47" t="str">
        <f ca="1">IFERROR(__xludf.DUMMYFUNCTION("""COMPUTED_VALUE"""),"Caspian Gull")</f>
        <v>Caspian Gull</v>
      </c>
      <c r="E687" s="52">
        <f ca="1">IFERROR(__xludf.DUMMYFUNCTION("""COMPUTED_VALUE"""),1)</f>
        <v>1</v>
      </c>
      <c r="F687" s="25" t="str">
        <f ca="1">IFERROR(__xludf.DUMMYFUNCTION("""COMPUTED_VALUE"""),"4th W")</f>
        <v>4th W</v>
      </c>
      <c r="G687" s="48" t="str">
        <f ca="1">IFERROR(__xludf.DUMMYFUNCTION("""COMPUTED_VALUE"""),"Richmond Bank")</f>
        <v>Richmond Bank</v>
      </c>
      <c r="H687" s="22">
        <f ca="1">IFERROR(__xludf.DUMMYFUNCTION("""COMPUTED_VALUE"""),40582)</f>
        <v>40582</v>
      </c>
      <c r="I687" s="22">
        <f ca="1">IFERROR(__xludf.DUMMYFUNCTION("""COMPUTED_VALUE"""),40584)</f>
        <v>40584</v>
      </c>
      <c r="J687" s="24" t="str">
        <f ca="1">IFERROR(__xludf.DUMMYFUNCTION("""COMPUTED_VALUE"""),"McKerchar, I")</f>
        <v>McKerchar, I</v>
      </c>
      <c r="K687" s="25" t="str">
        <f ca="1">IFERROR(__xludf.DUMMYFUNCTION("""COMPUTED_VALUE"""),"McKerchar, I")</f>
        <v>McKerchar, I</v>
      </c>
      <c r="L687" s="27" t="str">
        <f ca="1">IFERROR(__xludf.DUMMYFUNCTION("""COMPUTED_VALUE"""),"closed")</f>
        <v>closed</v>
      </c>
      <c r="M687" s="27" t="str">
        <f ca="1">IFERROR(__xludf.DUMMYFUNCTION("""COMPUTED_VALUE"""),"panel")</f>
        <v>panel</v>
      </c>
      <c r="N687" s="25" t="str">
        <f ca="1">IFERROR(__xludf.DUMMYFUNCTION("""COMPUTED_VALUE"""),"accepted")</f>
        <v>accepted</v>
      </c>
      <c r="O687" s="28"/>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c r="AQ687" s="25"/>
      <c r="AR687" s="25"/>
      <c r="AS687" s="25"/>
      <c r="AT687" s="25"/>
      <c r="AU687" s="25"/>
      <c r="AV687" s="25"/>
      <c r="AW687" s="25"/>
      <c r="AX687" s="25"/>
      <c r="AY687" s="25"/>
      <c r="AZ687" s="25"/>
      <c r="BA687" s="25"/>
      <c r="BB687" s="25"/>
      <c r="BC687" s="25"/>
      <c r="BD687" s="25"/>
      <c r="BE687" s="25"/>
      <c r="BF687" s="25"/>
      <c r="BG687" s="25"/>
      <c r="BH687" s="25"/>
      <c r="BI687" s="25"/>
      <c r="BJ687" s="25"/>
      <c r="BK687" s="25"/>
      <c r="BL687" s="25"/>
      <c r="BM687" s="25"/>
      <c r="BN687" s="25"/>
      <c r="BO687" s="25"/>
      <c r="BP687" s="25"/>
      <c r="BQ687" s="25"/>
      <c r="BR687" s="25"/>
      <c r="BS687" s="25"/>
      <c r="BT687" s="25"/>
      <c r="BU687" s="25"/>
      <c r="BV687" s="25"/>
      <c r="BW687" s="25"/>
      <c r="BX687" s="25"/>
      <c r="BY687" s="25"/>
      <c r="BZ687" s="25"/>
      <c r="CA687" s="25"/>
      <c r="CB687" s="25"/>
    </row>
    <row r="688" spans="1:80" ht="13.5" hidden="1" customHeight="1">
      <c r="A688" s="10">
        <f ca="1">IFERROR(__xludf.DUMMYFUNCTION("""COMPUTED_VALUE"""),2011)</f>
        <v>2011</v>
      </c>
      <c r="B688" s="50">
        <f ca="1">IFERROR(__xludf.DUMMYFUNCTION("""COMPUTED_VALUE"""),41144)</f>
        <v>41144</v>
      </c>
      <c r="C688" s="41">
        <f ca="1">IFERROR(__xludf.DUMMYFUNCTION("""COMPUTED_VALUE"""),41144)</f>
        <v>41144</v>
      </c>
      <c r="D688" s="42" t="str">
        <f ca="1">IFERROR(__xludf.DUMMYFUNCTION("""COMPUTED_VALUE"""),"Pomarine Skua")</f>
        <v>Pomarine Skua</v>
      </c>
      <c r="E688" s="53">
        <f ca="1">IFERROR(__xludf.DUMMYFUNCTION("""COMPUTED_VALUE"""),3)</f>
        <v>3</v>
      </c>
      <c r="F688" s="15" t="str">
        <f ca="1">IFERROR(__xludf.DUMMYFUNCTION("""COMPUTED_VALUE"""),"2 juv 1 Ad")</f>
        <v>2 juv 1 Ad</v>
      </c>
      <c r="G688" s="44" t="str">
        <f ca="1">IFERROR(__xludf.DUMMYFUNCTION("""COMPUTED_VALUE"""),"Hoylake")</f>
        <v>Hoylake</v>
      </c>
      <c r="H688" s="12">
        <f ca="1">IFERROR(__xludf.DUMMYFUNCTION("""COMPUTED_VALUE"""),40822)</f>
        <v>40822</v>
      </c>
      <c r="I688" s="13"/>
      <c r="J688" s="14" t="str">
        <f ca="1">IFERROR(__xludf.DUMMYFUNCTION("""COMPUTED_VALUE"""),"Turner, JE")</f>
        <v>Turner, JE</v>
      </c>
      <c r="K688" s="15" t="str">
        <f ca="1">IFERROR(__xludf.DUMMYFUNCTION("""COMPUTED_VALUE"""),"Turner, JE")</f>
        <v>Turner, JE</v>
      </c>
      <c r="L688" s="17" t="str">
        <f ca="1">IFERROR(__xludf.DUMMYFUNCTION("""COMPUTED_VALUE"""),"closed")</f>
        <v>closed</v>
      </c>
      <c r="M688" s="17" t="str">
        <f ca="1">IFERROR(__xludf.DUMMYFUNCTION("""COMPUTED_VALUE"""),"1st U")</f>
        <v>1st U</v>
      </c>
      <c r="N688" s="15" t="str">
        <f ca="1">IFERROR(__xludf.DUMMYFUNCTION("""COMPUTED_VALUE"""),"accepted")</f>
        <v>accepted</v>
      </c>
      <c r="O688" s="18"/>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row>
    <row r="689" spans="1:80" ht="13.5" hidden="1" customHeight="1">
      <c r="A689" s="20">
        <f ca="1">IFERROR(__xludf.DUMMYFUNCTION("""COMPUTED_VALUE"""),2011)</f>
        <v>2011</v>
      </c>
      <c r="B689" s="45">
        <f ca="1">IFERROR(__xludf.DUMMYFUNCTION("""COMPUTED_VALUE"""),41150)</f>
        <v>41150</v>
      </c>
      <c r="C689" s="46"/>
      <c r="D689" s="47" t="str">
        <f ca="1">IFERROR(__xludf.DUMMYFUNCTION("""COMPUTED_VALUE"""),"Pomarine Skua")</f>
        <v>Pomarine Skua</v>
      </c>
      <c r="E689" s="52">
        <f ca="1">IFERROR(__xludf.DUMMYFUNCTION("""COMPUTED_VALUE"""),1)</f>
        <v>1</v>
      </c>
      <c r="F689" s="25" t="str">
        <f ca="1">IFERROR(__xludf.DUMMYFUNCTION("""COMPUTED_VALUE"""),"Juv")</f>
        <v>Juv</v>
      </c>
      <c r="G689" s="48" t="str">
        <f ca="1">IFERROR(__xludf.DUMMYFUNCTION("""COMPUTED_VALUE"""),"Hilbre")</f>
        <v>Hilbre</v>
      </c>
      <c r="H689" s="22">
        <f ca="1">IFERROR(__xludf.DUMMYFUNCTION("""COMPUTED_VALUE"""),40829)</f>
        <v>40829</v>
      </c>
      <c r="I689" s="22"/>
      <c r="J689" s="24" t="str">
        <f ca="1">IFERROR(__xludf.DUMMYFUNCTION("""COMPUTED_VALUE"""),"Scholfield, CC")</f>
        <v>Scholfield, CC</v>
      </c>
      <c r="K689" s="25"/>
      <c r="L689" s="27" t="str">
        <f ca="1">IFERROR(__xludf.DUMMYFUNCTION("""COMPUTED_VALUE"""),"closed")</f>
        <v>closed</v>
      </c>
      <c r="M689" s="27" t="str">
        <f ca="1">IFERROR(__xludf.DUMMYFUNCTION("""COMPUTED_VALUE"""),"1st U")</f>
        <v>1st U</v>
      </c>
      <c r="N689" s="25" t="str">
        <f ca="1">IFERROR(__xludf.DUMMYFUNCTION("""COMPUTED_VALUE"""),"accepted")</f>
        <v>accepted</v>
      </c>
      <c r="O689" s="28" t="str">
        <f ca="1">IFERROR(__xludf.DUMMYFUNCTION("""COMPUTED_VALUE"""),"dark phase juvenile; &lt;same_as_v2: 1&gt;")</f>
        <v>dark phase juvenile; &lt;same_as_v2: 1&gt;</v>
      </c>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c r="AQ689" s="25"/>
      <c r="AR689" s="25"/>
      <c r="AS689" s="25"/>
      <c r="AT689" s="25"/>
      <c r="AU689" s="25"/>
      <c r="AV689" s="25"/>
      <c r="AW689" s="25"/>
      <c r="AX689" s="25"/>
      <c r="AY689" s="25"/>
      <c r="AZ689" s="25"/>
      <c r="BA689" s="25"/>
      <c r="BB689" s="25"/>
      <c r="BC689" s="25"/>
      <c r="BD689" s="25"/>
      <c r="BE689" s="25"/>
      <c r="BF689" s="25"/>
      <c r="BG689" s="25"/>
      <c r="BH689" s="25"/>
      <c r="BI689" s="25"/>
      <c r="BJ689" s="25"/>
      <c r="BK689" s="25"/>
      <c r="BL689" s="25"/>
      <c r="BM689" s="25"/>
      <c r="BN689" s="25"/>
      <c r="BO689" s="25"/>
      <c r="BP689" s="25"/>
      <c r="BQ689" s="25"/>
      <c r="BR689" s="25"/>
      <c r="BS689" s="25"/>
      <c r="BT689" s="25"/>
      <c r="BU689" s="25"/>
      <c r="BV689" s="25"/>
      <c r="BW689" s="25"/>
      <c r="BX689" s="25"/>
      <c r="BY689" s="25"/>
      <c r="BZ689" s="25"/>
      <c r="CA689" s="25"/>
      <c r="CB689" s="25"/>
    </row>
    <row r="690" spans="1:80" ht="13.5" hidden="1" customHeight="1">
      <c r="A690" s="10">
        <f ca="1">IFERROR(__xludf.DUMMYFUNCTION("""COMPUTED_VALUE"""),2011)</f>
        <v>2011</v>
      </c>
      <c r="B690" s="50">
        <f ca="1">IFERROR(__xludf.DUMMYFUNCTION("""COMPUTED_VALUE"""),41225)</f>
        <v>41225</v>
      </c>
      <c r="C690" s="41">
        <f ca="1">IFERROR(__xludf.DUMMYFUNCTION("""COMPUTED_VALUE"""),41224)</f>
        <v>41224</v>
      </c>
      <c r="D690" s="42" t="str">
        <f ca="1">IFERROR(__xludf.DUMMYFUNCTION("""COMPUTED_VALUE"""),"Pomarine Skua")</f>
        <v>Pomarine Skua</v>
      </c>
      <c r="E690" s="53">
        <f ca="1">IFERROR(__xludf.DUMMYFUNCTION("""COMPUTED_VALUE"""),1)</f>
        <v>1</v>
      </c>
      <c r="F690" s="15"/>
      <c r="G690" s="44" t="str">
        <f ca="1">IFERROR(__xludf.DUMMYFUNCTION("""COMPUTED_VALUE"""),"Red Rocks, Hoylake")</f>
        <v>Red Rocks, Hoylake</v>
      </c>
      <c r="H690" s="12">
        <f ca="1">IFERROR(__xludf.DUMMYFUNCTION("""COMPUTED_VALUE"""),40856)</f>
        <v>40856</v>
      </c>
      <c r="I690" s="12"/>
      <c r="J690" s="14" t="str">
        <f ca="1">IFERROR(__xludf.DUMMYFUNCTION("""COMPUTED_VALUE"""),"Turner, MG")</f>
        <v>Turner, MG</v>
      </c>
      <c r="K690" s="15" t="str">
        <f ca="1">IFERROR(__xludf.DUMMYFUNCTION("""COMPUTED_VALUE"""),"Turner, MG")</f>
        <v>Turner, MG</v>
      </c>
      <c r="L690" s="17" t="str">
        <f ca="1">IFERROR(__xludf.DUMMYFUNCTION("""COMPUTED_VALUE"""),"closed")</f>
        <v>closed</v>
      </c>
      <c r="M690" s="17" t="str">
        <f ca="1">IFERROR(__xludf.DUMMYFUNCTION("""COMPUTED_VALUE"""),"1st U")</f>
        <v>1st U</v>
      </c>
      <c r="N690" s="15" t="str">
        <f ca="1">IFERROR(__xludf.DUMMYFUNCTION("""COMPUTED_VALUE"""),"accepted")</f>
        <v>accepted</v>
      </c>
      <c r="O690" s="18" t="str">
        <f ca="1">IFERROR(__xludf.DUMMYFUNCTION("""COMPUTED_VALUE"""),"On sea off Red Rocks (also seen from Hilbre). Heavy build, barred upper tail coverts.  Looked almost Bonxie sized (against LBBG) but was long rumped and tailed.  Original ID'd by Derek Bates")</f>
        <v>On sea off Red Rocks (also seen from Hilbre). Heavy build, barred upper tail coverts.  Looked almost Bonxie sized (against LBBG) but was long rumped and tailed.  Original ID'd by Derek Bates</v>
      </c>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row>
    <row r="691" spans="1:80" ht="13.5" hidden="1" customHeight="1">
      <c r="A691" s="20">
        <f ca="1">IFERROR(__xludf.DUMMYFUNCTION("""COMPUTED_VALUE"""),2011)</f>
        <v>2011</v>
      </c>
      <c r="B691" s="45">
        <f ca="1">IFERROR(__xludf.DUMMYFUNCTION("""COMPUTED_VALUE"""),41225)</f>
        <v>41225</v>
      </c>
      <c r="C691" s="46"/>
      <c r="D691" s="47" t="str">
        <f ca="1">IFERROR(__xludf.DUMMYFUNCTION("""COMPUTED_VALUE"""),"Pomarine Skua")</f>
        <v>Pomarine Skua</v>
      </c>
      <c r="E691" s="52">
        <f ca="1">IFERROR(__xludf.DUMMYFUNCTION("""COMPUTED_VALUE"""),1)</f>
        <v>1</v>
      </c>
      <c r="F691" s="25" t="str">
        <f ca="1">IFERROR(__xludf.DUMMYFUNCTION("""COMPUTED_VALUE"""),"juv")</f>
        <v>juv</v>
      </c>
      <c r="G691" s="48" t="str">
        <f ca="1">IFERROR(__xludf.DUMMYFUNCTION("""COMPUTED_VALUE"""),"Hilbre")</f>
        <v>Hilbre</v>
      </c>
      <c r="H691" s="22">
        <f ca="1">IFERROR(__xludf.DUMMYFUNCTION("""COMPUTED_VALUE"""),40856)</f>
        <v>40856</v>
      </c>
      <c r="I691" s="22"/>
      <c r="J691" s="24" t="str">
        <f ca="1">IFERROR(__xludf.DUMMYFUNCTION("""COMPUTED_VALUE"""),"Woollen, P")</f>
        <v>Woollen, P</v>
      </c>
      <c r="K691" s="25"/>
      <c r="L691" s="27" t="str">
        <f ca="1">IFERROR(__xludf.DUMMYFUNCTION("""COMPUTED_VALUE"""),"closed")</f>
        <v>closed</v>
      </c>
      <c r="M691" s="27" t="str">
        <f ca="1">IFERROR(__xludf.DUMMYFUNCTION("""COMPUTED_VALUE"""),"proxy")</f>
        <v>proxy</v>
      </c>
      <c r="N691" s="25" t="str">
        <f ca="1">IFERROR(__xludf.DUMMYFUNCTION("""COMPUTED_VALUE"""),"accepted")</f>
        <v>accepted</v>
      </c>
      <c r="O691" s="28" t="str">
        <f ca="1">IFERROR(__xludf.DUMMYFUNCTION("""COMPUTED_VALUE"""),"Juvenile seen on sea eating dead auk.")</f>
        <v>Juvenile seen on sea eating dead auk.</v>
      </c>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c r="AQ691" s="25"/>
      <c r="AR691" s="25"/>
      <c r="AS691" s="25"/>
      <c r="AT691" s="25"/>
      <c r="AU691" s="25"/>
      <c r="AV691" s="25"/>
      <c r="AW691" s="25"/>
      <c r="AX691" s="25"/>
      <c r="AY691" s="25"/>
      <c r="AZ691" s="25"/>
      <c r="BA691" s="25"/>
      <c r="BB691" s="25"/>
      <c r="BC691" s="25"/>
      <c r="BD691" s="25"/>
      <c r="BE691" s="25"/>
      <c r="BF691" s="25"/>
      <c r="BG691" s="25"/>
      <c r="BH691" s="25"/>
      <c r="BI691" s="25"/>
      <c r="BJ691" s="25"/>
      <c r="BK691" s="25"/>
      <c r="BL691" s="25"/>
      <c r="BM691" s="25"/>
      <c r="BN691" s="25"/>
      <c r="BO691" s="25"/>
      <c r="BP691" s="25"/>
      <c r="BQ691" s="25"/>
      <c r="BR691" s="25"/>
      <c r="BS691" s="25"/>
      <c r="BT691" s="25"/>
      <c r="BU691" s="25"/>
      <c r="BV691" s="25"/>
      <c r="BW691" s="25"/>
      <c r="BX691" s="25"/>
      <c r="BY691" s="25"/>
      <c r="BZ691" s="25"/>
      <c r="CA691" s="25"/>
      <c r="CB691" s="25"/>
    </row>
    <row r="692" spans="1:80" ht="13.5" hidden="1" customHeight="1">
      <c r="A692" s="10">
        <f ca="1">IFERROR(__xludf.DUMMYFUNCTION("""COMPUTED_VALUE"""),2011)</f>
        <v>2011</v>
      </c>
      <c r="B692" s="50">
        <f ca="1">IFERROR(__xludf.DUMMYFUNCTION("""COMPUTED_VALUE"""),41225)</f>
        <v>41225</v>
      </c>
      <c r="C692" s="41"/>
      <c r="D692" s="42" t="str">
        <f ca="1">IFERROR(__xludf.DUMMYFUNCTION("""COMPUTED_VALUE"""),"Pomarine Skua")</f>
        <v>Pomarine Skua</v>
      </c>
      <c r="E692" s="53">
        <f ca="1">IFERROR(__xludf.DUMMYFUNCTION("""COMPUTED_VALUE"""),1)</f>
        <v>1</v>
      </c>
      <c r="F692" s="15"/>
      <c r="G692" s="44" t="str">
        <f ca="1">IFERROR(__xludf.DUMMYFUNCTION("""COMPUTED_VALUE"""),"Hilbre")</f>
        <v>Hilbre</v>
      </c>
      <c r="H692" s="12">
        <f ca="1">IFERROR(__xludf.DUMMYFUNCTION("""COMPUTED_VALUE"""),40856)</f>
        <v>40856</v>
      </c>
      <c r="I692" s="13"/>
      <c r="J692" s="14" t="str">
        <f ca="1">IFERROR(__xludf.DUMMYFUNCTION("""COMPUTED_VALUE"""),"Hilbre Bird Observatory")</f>
        <v>Hilbre Bird Observatory</v>
      </c>
      <c r="K692" s="15"/>
      <c r="L692" s="17" t="str">
        <f ca="1">IFERROR(__xludf.DUMMYFUNCTION("""COMPUTED_VALUE"""),"closed")</f>
        <v>closed</v>
      </c>
      <c r="M692" s="17" t="str">
        <f ca="1">IFERROR(__xludf.DUMMYFUNCTION("""COMPUTED_VALUE"""),"proxy")</f>
        <v>proxy</v>
      </c>
      <c r="N692" s="15" t="str">
        <f ca="1">IFERROR(__xludf.DUMMYFUNCTION("""COMPUTED_VALUE"""),"accepted")</f>
        <v>accepted</v>
      </c>
      <c r="O692" s="18" t="str">
        <f ca="1">IFERROR(__xludf.DUMMYFUNCTION("""COMPUTED_VALUE"""),"juv")</f>
        <v>juv</v>
      </c>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row>
    <row r="693" spans="1:80" ht="13.5" hidden="1" customHeight="1">
      <c r="A693" s="20">
        <f ca="1">IFERROR(__xludf.DUMMYFUNCTION("""COMPUTED_VALUE"""),2011)</f>
        <v>2011</v>
      </c>
      <c r="B693" s="45">
        <f ca="1">IFERROR(__xludf.DUMMYFUNCTION("""COMPUTED_VALUE"""),41143)</f>
        <v>41143</v>
      </c>
      <c r="C693" s="46">
        <f ca="1">IFERROR(__xludf.DUMMYFUNCTION("""COMPUTED_VALUE"""),41144)</f>
        <v>41144</v>
      </c>
      <c r="D693" s="47" t="str">
        <f ca="1">IFERROR(__xludf.DUMMYFUNCTION("""COMPUTED_VALUE"""),"Long-tailed Skua")</f>
        <v>Long-tailed Skua</v>
      </c>
      <c r="E693" s="52">
        <f ca="1">IFERROR(__xludf.DUMMYFUNCTION("""COMPUTED_VALUE"""),1)</f>
        <v>1</v>
      </c>
      <c r="F693" s="25"/>
      <c r="G693" s="48" t="str">
        <f ca="1">IFERROR(__xludf.DUMMYFUNCTION("""COMPUTED_VALUE"""),"Hoylake")</f>
        <v>Hoylake</v>
      </c>
      <c r="H693" s="22">
        <f ca="1">IFERROR(__xludf.DUMMYFUNCTION("""COMPUTED_VALUE"""),40793)</f>
        <v>40793</v>
      </c>
      <c r="I693" s="23"/>
      <c r="J693" s="24" t="str">
        <f ca="1">IFERROR(__xludf.DUMMYFUNCTION("""COMPUTED_VALUE"""),"Turner, JE")</f>
        <v>Turner, JE</v>
      </c>
      <c r="K693" s="25" t="str">
        <f ca="1">IFERROR(__xludf.DUMMYFUNCTION("""COMPUTED_VALUE"""),"Turner, JE")</f>
        <v>Turner, JE</v>
      </c>
      <c r="L693" s="27" t="str">
        <f ca="1">IFERROR(__xludf.DUMMYFUNCTION("""COMPUTED_VALUE"""),"closed")</f>
        <v>closed</v>
      </c>
      <c r="M693" s="27" t="str">
        <f ca="1">IFERROR(__xludf.DUMMYFUNCTION("""COMPUTED_VALUE"""),"1st U")</f>
        <v>1st U</v>
      </c>
      <c r="N693" s="25" t="str">
        <f ca="1">IFERROR(__xludf.DUMMYFUNCTION("""COMPUTED_VALUE"""),"accepted")</f>
        <v>accepted</v>
      </c>
      <c r="O693" s="28"/>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c r="AQ693" s="25"/>
      <c r="AR693" s="25"/>
      <c r="AS693" s="25"/>
      <c r="AT693" s="25"/>
      <c r="AU693" s="25"/>
      <c r="AV693" s="25"/>
      <c r="AW693" s="25"/>
      <c r="AX693" s="25"/>
      <c r="AY693" s="25"/>
      <c r="AZ693" s="25"/>
      <c r="BA693" s="25"/>
      <c r="BB693" s="25"/>
      <c r="BC693" s="25"/>
      <c r="BD693" s="25"/>
      <c r="BE693" s="25"/>
      <c r="BF693" s="25"/>
      <c r="BG693" s="25"/>
      <c r="BH693" s="25"/>
      <c r="BI693" s="25"/>
      <c r="BJ693" s="25"/>
      <c r="BK693" s="25"/>
      <c r="BL693" s="25"/>
      <c r="BM693" s="25"/>
      <c r="BN693" s="25"/>
      <c r="BO693" s="25"/>
      <c r="BP693" s="25"/>
      <c r="BQ693" s="25"/>
      <c r="BR693" s="25"/>
      <c r="BS693" s="25"/>
      <c r="BT693" s="25"/>
      <c r="BU693" s="25"/>
      <c r="BV693" s="25"/>
      <c r="BW693" s="25"/>
      <c r="BX693" s="25"/>
      <c r="BY693" s="25"/>
      <c r="BZ693" s="25"/>
      <c r="CA693" s="25"/>
      <c r="CB693" s="25"/>
    </row>
    <row r="694" spans="1:80" ht="13.5" hidden="1" customHeight="1">
      <c r="A694" s="10">
        <f ca="1">IFERROR(__xludf.DUMMYFUNCTION("""COMPUTED_VALUE"""),2011)</f>
        <v>2011</v>
      </c>
      <c r="B694" s="50">
        <f ca="1">IFERROR(__xludf.DUMMYFUNCTION("""COMPUTED_VALUE"""),41146)</f>
        <v>41146</v>
      </c>
      <c r="C694" s="41">
        <f ca="1">IFERROR(__xludf.DUMMYFUNCTION("""COMPUTED_VALUE"""),41144)</f>
        <v>41144</v>
      </c>
      <c r="D694" s="42" t="str">
        <f ca="1">IFERROR(__xludf.DUMMYFUNCTION("""COMPUTED_VALUE"""),"Long-tailed Skua")</f>
        <v>Long-tailed Skua</v>
      </c>
      <c r="E694" s="53">
        <f ca="1">IFERROR(__xludf.DUMMYFUNCTION("""COMPUTED_VALUE"""),2)</f>
        <v>2</v>
      </c>
      <c r="F694" s="15" t="str">
        <f ca="1">IFERROR(__xludf.DUMMYFUNCTION("""COMPUTED_VALUE"""),"pale juv one intermediate juv")</f>
        <v>pale juv one intermediate juv</v>
      </c>
      <c r="G694" s="44" t="str">
        <f ca="1">IFERROR(__xludf.DUMMYFUNCTION("""COMPUTED_VALUE"""),"Hoylake")</f>
        <v>Hoylake</v>
      </c>
      <c r="H694" s="12">
        <f ca="1">IFERROR(__xludf.DUMMYFUNCTION("""COMPUTED_VALUE"""),40822)</f>
        <v>40822</v>
      </c>
      <c r="I694" s="12"/>
      <c r="J694" s="68" t="str">
        <f ca="1">IFERROR(__xludf.DUMMYFUNCTION("""COMPUTED_VALUE"""),"Turner, JE")</f>
        <v>Turner, JE</v>
      </c>
      <c r="K694" s="43" t="str">
        <f ca="1">IFERROR(__xludf.DUMMYFUNCTION("""COMPUTED_VALUE"""),"Turner, JE")</f>
        <v>Turner, JE</v>
      </c>
      <c r="L694" s="17" t="str">
        <f ca="1">IFERROR(__xludf.DUMMYFUNCTION("""COMPUTED_VALUE"""),"closed")</f>
        <v>closed</v>
      </c>
      <c r="M694" s="17" t="str">
        <f ca="1">IFERROR(__xludf.DUMMYFUNCTION("""COMPUTED_VALUE"""),"1st U")</f>
        <v>1st U</v>
      </c>
      <c r="N694" s="15" t="str">
        <f ca="1">IFERROR(__xludf.DUMMYFUNCTION("""COMPUTED_VALUE"""),"accepted")</f>
        <v>accepted</v>
      </c>
      <c r="O694" s="66"/>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row>
    <row r="695" spans="1:80" ht="13.5" hidden="1" customHeight="1">
      <c r="A695" s="20">
        <f ca="1">IFERROR(__xludf.DUMMYFUNCTION("""COMPUTED_VALUE"""),2011)</f>
        <v>2011</v>
      </c>
      <c r="B695" s="45">
        <f ca="1">IFERROR(__xludf.DUMMYFUNCTION("""COMPUTED_VALUE"""),41146)</f>
        <v>41146</v>
      </c>
      <c r="C695" s="46">
        <f ca="1">IFERROR(__xludf.DUMMYFUNCTION("""COMPUTED_VALUE"""),41144)</f>
        <v>41144</v>
      </c>
      <c r="D695" s="47" t="str">
        <f ca="1">IFERROR(__xludf.DUMMYFUNCTION("""COMPUTED_VALUE"""),"Long-tailed Skua")</f>
        <v>Long-tailed Skua</v>
      </c>
      <c r="E695" s="52">
        <f ca="1">IFERROR(__xludf.DUMMYFUNCTION("""COMPUTED_VALUE"""),3)</f>
        <v>3</v>
      </c>
      <c r="F695" s="25"/>
      <c r="G695" s="48" t="str">
        <f ca="1">IFERROR(__xludf.DUMMYFUNCTION("""COMPUTED_VALUE"""),"Hoylake")</f>
        <v>Hoylake</v>
      </c>
      <c r="H695" s="22">
        <f ca="1">IFERROR(__xludf.DUMMYFUNCTION("""COMPUTED_VALUE"""),40823)</f>
        <v>40823</v>
      </c>
      <c r="I695" s="23"/>
      <c r="J695" s="24" t="str">
        <f ca="1">IFERROR(__xludf.DUMMYFUNCTION("""COMPUTED_VALUE"""),"Turner, JE")</f>
        <v>Turner, JE</v>
      </c>
      <c r="K695" s="25" t="str">
        <f ca="1">IFERROR(__xludf.DUMMYFUNCTION("""COMPUTED_VALUE"""),"Turner, JE")</f>
        <v>Turner, JE</v>
      </c>
      <c r="L695" s="27" t="str">
        <f ca="1">IFERROR(__xludf.DUMMYFUNCTION("""COMPUTED_VALUE"""),"closed")</f>
        <v>closed</v>
      </c>
      <c r="M695" s="27" t="str">
        <f ca="1">IFERROR(__xludf.DUMMYFUNCTION("""COMPUTED_VALUE"""),"1st U")</f>
        <v>1st U</v>
      </c>
      <c r="N695" s="25" t="str">
        <f ca="1">IFERROR(__xludf.DUMMYFUNCTION("""COMPUTED_VALUE"""),"accepted")</f>
        <v>accepted</v>
      </c>
      <c r="O695" s="28"/>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c r="AQ695" s="25"/>
      <c r="AR695" s="25"/>
      <c r="AS695" s="25"/>
      <c r="AT695" s="25"/>
      <c r="AU695" s="25"/>
      <c r="AV695" s="25"/>
      <c r="AW695" s="25"/>
      <c r="AX695" s="25"/>
      <c r="AY695" s="25"/>
      <c r="AZ695" s="25"/>
      <c r="BA695" s="25"/>
      <c r="BB695" s="25"/>
      <c r="BC695" s="25"/>
      <c r="BD695" s="25"/>
      <c r="BE695" s="25"/>
      <c r="BF695" s="25"/>
      <c r="BG695" s="25"/>
      <c r="BH695" s="25"/>
      <c r="BI695" s="25"/>
      <c r="BJ695" s="25"/>
      <c r="BK695" s="25"/>
      <c r="BL695" s="25"/>
      <c r="BM695" s="25"/>
      <c r="BN695" s="25"/>
      <c r="BO695" s="25"/>
      <c r="BP695" s="25"/>
      <c r="BQ695" s="25"/>
      <c r="BR695" s="25"/>
      <c r="BS695" s="25"/>
      <c r="BT695" s="25"/>
      <c r="BU695" s="25"/>
      <c r="BV695" s="25"/>
      <c r="BW695" s="25"/>
      <c r="BX695" s="25"/>
      <c r="BY695" s="25"/>
      <c r="BZ695" s="25"/>
      <c r="CA695" s="25"/>
      <c r="CB695" s="25"/>
    </row>
    <row r="696" spans="1:80" ht="13.5" hidden="1" customHeight="1">
      <c r="A696" s="10">
        <f ca="1">IFERROR(__xludf.DUMMYFUNCTION("""COMPUTED_VALUE"""),2011)</f>
        <v>2011</v>
      </c>
      <c r="B696" s="50">
        <f ca="1">IFERROR(__xludf.DUMMYFUNCTION("""COMPUTED_VALUE"""),41151)</f>
        <v>41151</v>
      </c>
      <c r="C696" s="41">
        <f ca="1">IFERROR(__xludf.DUMMYFUNCTION("""COMPUTED_VALUE"""),41144)</f>
        <v>41144</v>
      </c>
      <c r="D696" s="42" t="str">
        <f ca="1">IFERROR(__xludf.DUMMYFUNCTION("""COMPUTED_VALUE"""),"Little Auk")</f>
        <v>Little Auk</v>
      </c>
      <c r="E696" s="53">
        <f ca="1">IFERROR(__xludf.DUMMYFUNCTION("""COMPUTED_VALUE"""),1)</f>
        <v>1</v>
      </c>
      <c r="F696" s="15"/>
      <c r="G696" s="44" t="str">
        <f ca="1">IFERROR(__xludf.DUMMYFUNCTION("""COMPUTED_VALUE"""),"Hilbre")</f>
        <v>Hilbre</v>
      </c>
      <c r="H696" s="12">
        <f ca="1">IFERROR(__xludf.DUMMYFUNCTION("""COMPUTED_VALUE"""),40866)</f>
        <v>40866</v>
      </c>
      <c r="I696" s="12"/>
      <c r="J696" s="14" t="str">
        <f ca="1">IFERROR(__xludf.DUMMYFUNCTION("""COMPUTED_VALUE"""),"Woollen, P")</f>
        <v>Woollen, P</v>
      </c>
      <c r="K696" s="15" t="str">
        <f ca="1">IFERROR(__xludf.DUMMYFUNCTION("""COMPUTED_VALUE"""),"Scott Reid")</f>
        <v>Scott Reid</v>
      </c>
      <c r="L696" s="17" t="str">
        <f ca="1">IFERROR(__xludf.DUMMYFUNCTION("""COMPUTED_VALUE"""),"closed")</f>
        <v>closed</v>
      </c>
      <c r="M696" s="17" t="str">
        <f ca="1">IFERROR(__xludf.DUMMYFUNCTION("""COMPUTED_VALUE"""),"1st U")</f>
        <v>1st U</v>
      </c>
      <c r="N696" s="15" t="str">
        <f ca="1">IFERROR(__xludf.DUMMYFUNCTION("""COMPUTED_VALUE"""),"accepted")</f>
        <v>accepted</v>
      </c>
      <c r="O696" s="18"/>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row>
    <row r="697" spans="1:80" ht="13.5" hidden="1" customHeight="1">
      <c r="A697" s="20">
        <f ca="1">IFERROR(__xludf.DUMMYFUNCTION("""COMPUTED_VALUE"""),2011)</f>
        <v>2011</v>
      </c>
      <c r="B697" s="45">
        <f ca="1">IFERROR(__xludf.DUMMYFUNCTION("""COMPUTED_VALUE"""),41144)</f>
        <v>41144</v>
      </c>
      <c r="C697" s="46">
        <f ca="1">IFERROR(__xludf.DUMMYFUNCTION("""COMPUTED_VALUE"""),41144)</f>
        <v>41144</v>
      </c>
      <c r="D697" s="47" t="str">
        <f ca="1">IFERROR(__xludf.DUMMYFUNCTION("""COMPUTED_VALUE"""),"Puffin")</f>
        <v>Puffin</v>
      </c>
      <c r="E697" s="52">
        <f ca="1">IFERROR(__xludf.DUMMYFUNCTION("""COMPUTED_VALUE"""),1)</f>
        <v>1</v>
      </c>
      <c r="F697" s="25"/>
      <c r="G697" s="48" t="str">
        <f ca="1">IFERROR(__xludf.DUMMYFUNCTION("""COMPUTED_VALUE"""),"Hoylake")</f>
        <v>Hoylake</v>
      </c>
      <c r="H697" s="22">
        <f ca="1">IFERROR(__xludf.DUMMYFUNCTION("""COMPUTED_VALUE"""),40827)</f>
        <v>40827</v>
      </c>
      <c r="I697" s="22"/>
      <c r="J697" s="24" t="str">
        <f ca="1">IFERROR(__xludf.DUMMYFUNCTION("""COMPUTED_VALUE"""),"Turner, JE")</f>
        <v>Turner, JE</v>
      </c>
      <c r="K697" s="25" t="str">
        <f ca="1">IFERROR(__xludf.DUMMYFUNCTION("""COMPUTED_VALUE"""),"Turner, JE")</f>
        <v>Turner, JE</v>
      </c>
      <c r="L697" s="27" t="str">
        <f ca="1">IFERROR(__xludf.DUMMYFUNCTION("""COMPUTED_VALUE"""),"closed")</f>
        <v>closed</v>
      </c>
      <c r="M697" s="27" t="str">
        <f ca="1">IFERROR(__xludf.DUMMYFUNCTION("""COMPUTED_VALUE"""),"1st U")</f>
        <v>1st U</v>
      </c>
      <c r="N697" s="25" t="str">
        <f ca="1">IFERROR(__xludf.DUMMYFUNCTION("""COMPUTED_VALUE"""),"accepted")</f>
        <v>accepted</v>
      </c>
      <c r="O697" s="28"/>
      <c r="P697" s="64"/>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c r="AQ697" s="25"/>
      <c r="AR697" s="25"/>
      <c r="AS697" s="25"/>
      <c r="AT697" s="25"/>
      <c r="AU697" s="25"/>
      <c r="AV697" s="25"/>
      <c r="AW697" s="25"/>
      <c r="AX697" s="25"/>
      <c r="AY697" s="25"/>
      <c r="AZ697" s="25"/>
      <c r="BA697" s="25"/>
      <c r="BB697" s="25"/>
      <c r="BC697" s="25"/>
      <c r="BD697" s="25"/>
      <c r="BE697" s="25"/>
      <c r="BF697" s="25"/>
      <c r="BG697" s="25"/>
      <c r="BH697" s="25"/>
      <c r="BI697" s="25"/>
      <c r="BJ697" s="25"/>
      <c r="BK697" s="25"/>
      <c r="BL697" s="25"/>
      <c r="BM697" s="25"/>
      <c r="BN697" s="25"/>
      <c r="BO697" s="25"/>
      <c r="BP697" s="25"/>
      <c r="BQ697" s="25"/>
      <c r="BR697" s="25"/>
      <c r="BS697" s="25"/>
      <c r="BT697" s="25"/>
      <c r="BU697" s="25"/>
      <c r="BV697" s="25"/>
      <c r="BW697" s="25"/>
      <c r="BX697" s="25"/>
      <c r="BY697" s="25"/>
      <c r="BZ697" s="25"/>
      <c r="CA697" s="25"/>
      <c r="CB697" s="25"/>
    </row>
    <row r="698" spans="1:80" ht="13.5" hidden="1" customHeight="1">
      <c r="A698" s="10">
        <f ca="1">IFERROR(__xludf.DUMMYFUNCTION("""COMPUTED_VALUE"""),2011)</f>
        <v>2011</v>
      </c>
      <c r="B698" s="50">
        <f ca="1">IFERROR(__xludf.DUMMYFUNCTION("""COMPUTED_VALUE"""),41146)</f>
        <v>41146</v>
      </c>
      <c r="C698" s="41"/>
      <c r="D698" s="42" t="str">
        <f ca="1">IFERROR(__xludf.DUMMYFUNCTION("""COMPUTED_VALUE"""),"Puffin")</f>
        <v>Puffin</v>
      </c>
      <c r="E698" s="53">
        <f ca="1">IFERROR(__xludf.DUMMYFUNCTION("""COMPUTED_VALUE"""),1)</f>
        <v>1</v>
      </c>
      <c r="F698" s="15"/>
      <c r="G698" s="44" t="str">
        <f ca="1">IFERROR(__xludf.DUMMYFUNCTION("""COMPUTED_VALUE"""),"Hilbre")</f>
        <v>Hilbre</v>
      </c>
      <c r="H698" s="12">
        <f ca="1">IFERROR(__xludf.DUMMYFUNCTION("""COMPUTED_VALUE"""),40718)</f>
        <v>40718</v>
      </c>
      <c r="I698" s="12"/>
      <c r="J698" s="14" t="str">
        <f ca="1">IFERROR(__xludf.DUMMYFUNCTION("""COMPUTED_VALUE"""),"HiBO")</f>
        <v>HiBO</v>
      </c>
      <c r="K698" s="15"/>
      <c r="L698" s="17" t="str">
        <f ca="1">IFERROR(__xludf.DUMMYFUNCTION("""COMPUTED_VALUE"""),"closed")</f>
        <v>closed</v>
      </c>
      <c r="M698" s="17" t="str">
        <f ca="1">IFERROR(__xludf.DUMMYFUNCTION("""COMPUTED_VALUE"""),"proxy")</f>
        <v>proxy</v>
      </c>
      <c r="N698" s="15" t="str">
        <f ca="1">IFERROR(__xludf.DUMMYFUNCTION("""COMPUTED_VALUE"""),"accepted")</f>
        <v>accepted</v>
      </c>
      <c r="O698" s="18" t="str">
        <f ca="1">IFERROR(__xludf.DUMMYFUNCTION("""COMPUTED_VALUE"""),"(ad at sea from lifeboat)")</f>
        <v>(ad at sea from lifeboat)</v>
      </c>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row>
    <row r="699" spans="1:80" ht="13.5" hidden="1" customHeight="1">
      <c r="A699" s="20">
        <f ca="1">IFERROR(__xludf.DUMMYFUNCTION("""COMPUTED_VALUE"""),2011)</f>
        <v>2011</v>
      </c>
      <c r="B699" s="45">
        <f ca="1">IFERROR(__xludf.DUMMYFUNCTION("""COMPUTED_VALUE"""),41022)</f>
        <v>41022</v>
      </c>
      <c r="C699" s="46">
        <f ca="1">IFERROR(__xludf.DUMMYFUNCTION("""COMPUTED_VALUE"""),41143)</f>
        <v>41143</v>
      </c>
      <c r="D699" s="47" t="str">
        <f ca="1">IFERROR(__xludf.DUMMYFUNCTION("""COMPUTED_VALUE"""),"Black-throated Diver")</f>
        <v>Black-throated Diver</v>
      </c>
      <c r="E699" s="52">
        <f ca="1">IFERROR(__xludf.DUMMYFUNCTION("""COMPUTED_VALUE"""),1)</f>
        <v>1</v>
      </c>
      <c r="F699" s="25"/>
      <c r="G699" s="48" t="str">
        <f ca="1">IFERROR(__xludf.DUMMYFUNCTION("""COMPUTED_VALUE"""),"Budworth Mere, Marbury Country Park")</f>
        <v>Budworth Mere, Marbury Country Park</v>
      </c>
      <c r="H699" s="22">
        <f ca="1">IFERROR(__xludf.DUMMYFUNCTION("""COMPUTED_VALUE"""),40906)</f>
        <v>40906</v>
      </c>
      <c r="I699" s="22"/>
      <c r="J699" s="24" t="str">
        <f ca="1">IFERROR(__xludf.DUMMYFUNCTION("""COMPUTED_VALUE"""),"Baker, G")</f>
        <v>Baker, G</v>
      </c>
      <c r="K699" s="25" t="str">
        <f ca="1">IFERROR(__xludf.DUMMYFUNCTION("""COMPUTED_VALUE"""),"Greg Baker")</f>
        <v>Greg Baker</v>
      </c>
      <c r="L699" s="27" t="str">
        <f ca="1">IFERROR(__xludf.DUMMYFUNCTION("""COMPUTED_VALUE"""),"closed")</f>
        <v>closed</v>
      </c>
      <c r="M699" s="27" t="str">
        <f ca="1">IFERROR(__xludf.DUMMYFUNCTION("""COMPUTED_VALUE"""),"1st U")</f>
        <v>1st U</v>
      </c>
      <c r="N699" s="64" t="str">
        <f ca="1">IFERROR(__xludf.DUMMYFUNCTION("""COMPUTED_VALUE"""),"accepted")</f>
        <v>accepted</v>
      </c>
      <c r="O699" s="28"/>
      <c r="P699" s="64"/>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c r="AQ699" s="25"/>
      <c r="AR699" s="25"/>
      <c r="AS699" s="25"/>
      <c r="AT699" s="25"/>
      <c r="AU699" s="25"/>
      <c r="AV699" s="25"/>
      <c r="AW699" s="25"/>
      <c r="AX699" s="25"/>
      <c r="AY699" s="25"/>
      <c r="AZ699" s="25"/>
      <c r="BA699" s="25"/>
      <c r="BB699" s="25"/>
      <c r="BC699" s="25"/>
      <c r="BD699" s="25"/>
      <c r="BE699" s="25"/>
      <c r="BF699" s="25"/>
      <c r="BG699" s="25"/>
      <c r="BH699" s="25"/>
      <c r="BI699" s="25"/>
      <c r="BJ699" s="25"/>
      <c r="BK699" s="25"/>
      <c r="BL699" s="25"/>
      <c r="BM699" s="25"/>
      <c r="BN699" s="25"/>
      <c r="BO699" s="25"/>
      <c r="BP699" s="25"/>
      <c r="BQ699" s="25"/>
      <c r="BR699" s="25"/>
      <c r="BS699" s="25"/>
      <c r="BT699" s="25"/>
      <c r="BU699" s="25"/>
      <c r="BV699" s="25"/>
      <c r="BW699" s="25"/>
      <c r="BX699" s="25"/>
      <c r="BY699" s="25"/>
      <c r="BZ699" s="25"/>
      <c r="CA699" s="25"/>
      <c r="CB699" s="25"/>
    </row>
    <row r="700" spans="1:80" ht="13.5" hidden="1" customHeight="1">
      <c r="A700" s="10">
        <f ca="1">IFERROR(__xludf.DUMMYFUNCTION("""COMPUTED_VALUE"""),2011)</f>
        <v>2011</v>
      </c>
      <c r="B700" s="50">
        <f ca="1">IFERROR(__xludf.DUMMYFUNCTION("""COMPUTED_VALUE"""),41143)</f>
        <v>41143</v>
      </c>
      <c r="C700" s="41">
        <f ca="1">IFERROR(__xludf.DUMMYFUNCTION("""COMPUTED_VALUE"""),41143)</f>
        <v>41143</v>
      </c>
      <c r="D700" s="42" t="str">
        <f ca="1">IFERROR(__xludf.DUMMYFUNCTION("""COMPUTED_VALUE"""),"Black-throated Diver")</f>
        <v>Black-throated Diver</v>
      </c>
      <c r="E700" s="53">
        <f ca="1">IFERROR(__xludf.DUMMYFUNCTION("""COMPUTED_VALUE"""),1)</f>
        <v>1</v>
      </c>
      <c r="F700" s="15"/>
      <c r="G700" s="44" t="str">
        <f ca="1">IFERROR(__xludf.DUMMYFUNCTION("""COMPUTED_VALUE"""),"Hoylake")</f>
        <v>Hoylake</v>
      </c>
      <c r="H700" s="12">
        <f ca="1">IFERROR(__xludf.DUMMYFUNCTION("""COMPUTED_VALUE"""),40612)</f>
        <v>40612</v>
      </c>
      <c r="I700" s="12"/>
      <c r="J700" s="14" t="str">
        <f ca="1">IFERROR(__xludf.DUMMYFUNCTION("""COMPUTED_VALUE"""),"Turner, JE")</f>
        <v>Turner, JE</v>
      </c>
      <c r="K700" s="15" t="str">
        <f ca="1">IFERROR(__xludf.DUMMYFUNCTION("""COMPUTED_VALUE"""),"Turner, JE")</f>
        <v>Turner, JE</v>
      </c>
      <c r="L700" s="17" t="str">
        <f ca="1">IFERROR(__xludf.DUMMYFUNCTION("""COMPUTED_VALUE"""),"closed")</f>
        <v>closed</v>
      </c>
      <c r="M700" s="17" t="str">
        <f ca="1">IFERROR(__xludf.DUMMYFUNCTION("""COMPUTED_VALUE"""),"1st U")</f>
        <v>1st U</v>
      </c>
      <c r="N700" s="15" t="str">
        <f ca="1">IFERROR(__xludf.DUMMYFUNCTION("""COMPUTED_VALUE"""),"accepted")</f>
        <v>accepted</v>
      </c>
      <c r="O700" s="18"/>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row>
    <row r="701" spans="1:80" ht="13.5" hidden="1" customHeight="1">
      <c r="A701" s="20">
        <f ca="1">IFERROR(__xludf.DUMMYFUNCTION("""COMPUTED_VALUE"""),2011)</f>
        <v>2011</v>
      </c>
      <c r="B701" s="45">
        <f ca="1">IFERROR(__xludf.DUMMYFUNCTION("""COMPUTED_VALUE"""),41143)</f>
        <v>41143</v>
      </c>
      <c r="C701" s="46">
        <f ca="1">IFERROR(__xludf.DUMMYFUNCTION("""COMPUTED_VALUE"""),41143)</f>
        <v>41143</v>
      </c>
      <c r="D701" s="47" t="str">
        <f ca="1">IFERROR(__xludf.DUMMYFUNCTION("""COMPUTED_VALUE"""),"Black-throated Diver")</f>
        <v>Black-throated Diver</v>
      </c>
      <c r="E701" s="52">
        <f ca="1">IFERROR(__xludf.DUMMYFUNCTION("""COMPUTED_VALUE"""),1)</f>
        <v>1</v>
      </c>
      <c r="F701" s="25"/>
      <c r="G701" s="48" t="str">
        <f ca="1">IFERROR(__xludf.DUMMYFUNCTION("""COMPUTED_VALUE"""),"Hoylake")</f>
        <v>Hoylake</v>
      </c>
      <c r="H701" s="22">
        <f ca="1">IFERROR(__xludf.DUMMYFUNCTION("""COMPUTED_VALUE"""),40548)</f>
        <v>40548</v>
      </c>
      <c r="I701" s="22"/>
      <c r="J701" s="24" t="str">
        <f ca="1">IFERROR(__xludf.DUMMYFUNCTION("""COMPUTED_VALUE"""),"Turner, JE")</f>
        <v>Turner, JE</v>
      </c>
      <c r="K701" s="25" t="str">
        <f ca="1">IFERROR(__xludf.DUMMYFUNCTION("""COMPUTED_VALUE"""),"Turner, JE")</f>
        <v>Turner, JE</v>
      </c>
      <c r="L701" s="27" t="str">
        <f ca="1">IFERROR(__xludf.DUMMYFUNCTION("""COMPUTED_VALUE"""),"closed")</f>
        <v>closed</v>
      </c>
      <c r="M701" s="27" t="str">
        <f ca="1">IFERROR(__xludf.DUMMYFUNCTION("""COMPUTED_VALUE"""),"1st U")</f>
        <v>1st U</v>
      </c>
      <c r="N701" s="25" t="str">
        <f ca="1">IFERROR(__xludf.DUMMYFUNCTION("""COMPUTED_VALUE"""),"accepted")</f>
        <v>accepted</v>
      </c>
      <c r="O701" s="28"/>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c r="AQ701" s="25"/>
      <c r="AR701" s="25"/>
      <c r="AS701" s="25"/>
      <c r="AT701" s="25"/>
      <c r="AU701" s="25"/>
      <c r="AV701" s="25"/>
      <c r="AW701" s="25"/>
      <c r="AX701" s="25"/>
      <c r="AY701" s="25"/>
      <c r="AZ701" s="25"/>
      <c r="BA701" s="25"/>
      <c r="BB701" s="25"/>
      <c r="BC701" s="25"/>
      <c r="BD701" s="25"/>
      <c r="BE701" s="25"/>
      <c r="BF701" s="25"/>
      <c r="BG701" s="25"/>
      <c r="BH701" s="25"/>
      <c r="BI701" s="25"/>
      <c r="BJ701" s="25"/>
      <c r="BK701" s="25"/>
      <c r="BL701" s="25"/>
      <c r="BM701" s="25"/>
      <c r="BN701" s="25"/>
      <c r="BO701" s="25"/>
      <c r="BP701" s="25"/>
      <c r="BQ701" s="25"/>
      <c r="BR701" s="25"/>
      <c r="BS701" s="25"/>
      <c r="BT701" s="25"/>
      <c r="BU701" s="25"/>
      <c r="BV701" s="25"/>
      <c r="BW701" s="25"/>
      <c r="BX701" s="25"/>
      <c r="BY701" s="25"/>
      <c r="BZ701" s="25"/>
      <c r="CA701" s="25"/>
      <c r="CB701" s="25"/>
    </row>
    <row r="702" spans="1:80" ht="13.5" hidden="1" customHeight="1">
      <c r="A702" s="10">
        <f ca="1">IFERROR(__xludf.DUMMYFUNCTION("""COMPUTED_VALUE"""),2011)</f>
        <v>2011</v>
      </c>
      <c r="B702" s="50">
        <f ca="1">IFERROR(__xludf.DUMMYFUNCTION("""COMPUTED_VALUE"""),41143)</f>
        <v>41143</v>
      </c>
      <c r="C702" s="41"/>
      <c r="D702" s="42" t="str">
        <f ca="1">IFERROR(__xludf.DUMMYFUNCTION("""COMPUTED_VALUE"""),"Black-throated Diver")</f>
        <v>Black-throated Diver</v>
      </c>
      <c r="E702" s="53">
        <f ca="1">IFERROR(__xludf.DUMMYFUNCTION("""COMPUTED_VALUE"""),1)</f>
        <v>1</v>
      </c>
      <c r="F702" s="15"/>
      <c r="G702" s="44" t="str">
        <f ca="1">IFERROR(__xludf.DUMMYFUNCTION("""COMPUTED_VALUE"""),"Hilbre")</f>
        <v>Hilbre</v>
      </c>
      <c r="H702" s="12">
        <f ca="1">IFERROR(__xludf.DUMMYFUNCTION("""COMPUTED_VALUE"""),40621)</f>
        <v>40621</v>
      </c>
      <c r="I702" s="12"/>
      <c r="J702" s="14" t="str">
        <f ca="1">IFERROR(__xludf.DUMMYFUNCTION("""COMPUTED_VALUE"""),"HiBo")</f>
        <v>HiBo</v>
      </c>
      <c r="K702" s="15"/>
      <c r="L702" s="17" t="str">
        <f ca="1">IFERROR(__xludf.DUMMYFUNCTION("""COMPUTED_VALUE"""),"closed")</f>
        <v>closed</v>
      </c>
      <c r="M702" s="17" t="str">
        <f ca="1">IFERROR(__xludf.DUMMYFUNCTION("""COMPUTED_VALUE"""),"proxy")</f>
        <v>proxy</v>
      </c>
      <c r="N702" s="15" t="str">
        <f ca="1">IFERROR(__xludf.DUMMYFUNCTION("""COMPUTED_VALUE"""),"accepted")</f>
        <v>accepted</v>
      </c>
      <c r="O702" s="18"/>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row>
    <row r="703" spans="1:80" ht="13.5" hidden="1" customHeight="1">
      <c r="A703" s="20">
        <f ca="1">IFERROR(__xludf.DUMMYFUNCTION("""COMPUTED_VALUE"""),2011)</f>
        <v>2011</v>
      </c>
      <c r="B703" s="45">
        <f ca="1">IFERROR(__xludf.DUMMYFUNCTION("""COMPUTED_VALUE"""),41221)</f>
        <v>41221</v>
      </c>
      <c r="C703" s="46">
        <f ca="1">IFERROR(__xludf.DUMMYFUNCTION("""COMPUTED_VALUE"""),41151)</f>
        <v>41151</v>
      </c>
      <c r="D703" s="47" t="str">
        <f ca="1">IFERROR(__xludf.DUMMYFUNCTION("""COMPUTED_VALUE"""),"Great Northern Diver")</f>
        <v>Great Northern Diver</v>
      </c>
      <c r="E703" s="52">
        <f ca="1">IFERROR(__xludf.DUMMYFUNCTION("""COMPUTED_VALUE"""),1)</f>
        <v>1</v>
      </c>
      <c r="F703" s="25"/>
      <c r="G703" s="48" t="str">
        <f ca="1">IFERROR(__xludf.DUMMYFUNCTION("""COMPUTED_VALUE"""),"Pickering's Pasture LNR, Widnes")</f>
        <v>Pickering's Pasture LNR, Widnes</v>
      </c>
      <c r="H703" s="22">
        <f ca="1">IFERROR(__xludf.DUMMYFUNCTION("""COMPUTED_VALUE"""),40677)</f>
        <v>40677</v>
      </c>
      <c r="I703" s="22"/>
      <c r="J703" s="24" t="str">
        <f ca="1">IFERROR(__xludf.DUMMYFUNCTION("""COMPUTED_VALUE"""),"Cockbain, RP&amp;CA")</f>
        <v>Cockbain, RP&amp;CA</v>
      </c>
      <c r="K703" s="25" t="str">
        <f ca="1">IFERROR(__xludf.DUMMYFUNCTION("""COMPUTED_VALUE"""),"Cockbain, RP&amp;CA")</f>
        <v>Cockbain, RP&amp;CA</v>
      </c>
      <c r="L703" s="27" t="str">
        <f ca="1">IFERROR(__xludf.DUMMYFUNCTION("""COMPUTED_VALUE"""),"closed")</f>
        <v>closed</v>
      </c>
      <c r="M703" s="27" t="str">
        <f ca="1">IFERROR(__xludf.DUMMYFUNCTION("""COMPUTED_VALUE"""),"1st M")</f>
        <v>1st M</v>
      </c>
      <c r="N703" s="25" t="str">
        <f ca="1">IFERROR(__xludf.DUMMYFUNCTION("""COMPUTED_VALUE"""),"accepted")</f>
        <v>accepted</v>
      </c>
      <c r="O703" s="28"/>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c r="AQ703" s="25"/>
      <c r="AR703" s="25"/>
      <c r="AS703" s="25"/>
      <c r="AT703" s="25"/>
      <c r="AU703" s="25"/>
      <c r="AV703" s="25"/>
      <c r="AW703" s="25"/>
      <c r="AX703" s="25"/>
      <c r="AY703" s="25"/>
      <c r="AZ703" s="25"/>
      <c r="BA703" s="25"/>
      <c r="BB703" s="25"/>
      <c r="BC703" s="25"/>
      <c r="BD703" s="25"/>
      <c r="BE703" s="25"/>
      <c r="BF703" s="25"/>
      <c r="BG703" s="25"/>
      <c r="BH703" s="25"/>
      <c r="BI703" s="25"/>
      <c r="BJ703" s="25"/>
      <c r="BK703" s="25"/>
      <c r="BL703" s="25"/>
      <c r="BM703" s="25"/>
      <c r="BN703" s="25"/>
      <c r="BO703" s="25"/>
      <c r="BP703" s="25"/>
      <c r="BQ703" s="25"/>
      <c r="BR703" s="25"/>
      <c r="BS703" s="25"/>
      <c r="BT703" s="25"/>
      <c r="BU703" s="25"/>
      <c r="BV703" s="25"/>
      <c r="BW703" s="25"/>
      <c r="BX703" s="25"/>
      <c r="BY703" s="25"/>
      <c r="BZ703" s="25"/>
      <c r="CA703" s="25"/>
      <c r="CB703" s="25"/>
    </row>
    <row r="704" spans="1:80" ht="13.5" hidden="1" customHeight="1">
      <c r="A704" s="10">
        <f ca="1">IFERROR(__xludf.DUMMYFUNCTION("""COMPUTED_VALUE"""),2011)</f>
        <v>2011</v>
      </c>
      <c r="B704" s="50">
        <f ca="1">IFERROR(__xludf.DUMMYFUNCTION("""COMPUTED_VALUE"""),41146)</f>
        <v>41146</v>
      </c>
      <c r="C704" s="41"/>
      <c r="D704" s="42" t="str">
        <f ca="1">IFERROR(__xludf.DUMMYFUNCTION("""COMPUTED_VALUE"""),"Great Northern Diver")</f>
        <v>Great Northern Diver</v>
      </c>
      <c r="E704" s="53">
        <f ca="1">IFERROR(__xludf.DUMMYFUNCTION("""COMPUTED_VALUE"""),1)</f>
        <v>1</v>
      </c>
      <c r="F704" s="15"/>
      <c r="G704" s="44" t="str">
        <f ca="1">IFERROR(__xludf.DUMMYFUNCTION("""COMPUTED_VALUE"""),"Hilbre")</f>
        <v>Hilbre</v>
      </c>
      <c r="H704" s="12">
        <f ca="1">IFERROR(__xludf.DUMMYFUNCTION("""COMPUTED_VALUE"""),40549)</f>
        <v>40549</v>
      </c>
      <c r="I704" s="12"/>
      <c r="J704" s="14" t="str">
        <f ca="1">IFERROR(__xludf.DUMMYFUNCTION("""COMPUTED_VALUE"""),"Hilbre Bird Observatory")</f>
        <v>Hilbre Bird Observatory</v>
      </c>
      <c r="K704" s="15"/>
      <c r="L704" s="17" t="str">
        <f ca="1">IFERROR(__xludf.DUMMYFUNCTION("""COMPUTED_VALUE"""),"closed")</f>
        <v>closed</v>
      </c>
      <c r="M704" s="17" t="str">
        <f ca="1">IFERROR(__xludf.DUMMYFUNCTION("""COMPUTED_VALUE"""),"proxy")</f>
        <v>proxy</v>
      </c>
      <c r="N704" s="15" t="str">
        <f ca="1">IFERROR(__xludf.DUMMYFUNCTION("""COMPUTED_VALUE"""),"accepted")</f>
        <v>accepted</v>
      </c>
      <c r="O704" s="18"/>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row>
    <row r="705" spans="1:80" ht="13.5" hidden="1" customHeight="1">
      <c r="A705" s="20">
        <f ca="1">IFERROR(__xludf.DUMMYFUNCTION("""COMPUTED_VALUE"""),2011)</f>
        <v>2011</v>
      </c>
      <c r="B705" s="45">
        <f ca="1">IFERROR(__xludf.DUMMYFUNCTION("""COMPUTED_VALUE"""),41146)</f>
        <v>41146</v>
      </c>
      <c r="C705" s="46"/>
      <c r="D705" s="47" t="str">
        <f ca="1">IFERROR(__xludf.DUMMYFUNCTION("""COMPUTED_VALUE"""),"Great Northern Diver")</f>
        <v>Great Northern Diver</v>
      </c>
      <c r="E705" s="52">
        <f ca="1">IFERROR(__xludf.DUMMYFUNCTION("""COMPUTED_VALUE"""),1)</f>
        <v>1</v>
      </c>
      <c r="F705" s="25"/>
      <c r="G705" s="48" t="str">
        <f ca="1">IFERROR(__xludf.DUMMYFUNCTION("""COMPUTED_VALUE"""),"Hilbre")</f>
        <v>Hilbre</v>
      </c>
      <c r="H705" s="22">
        <f ca="1">IFERROR(__xludf.DUMMYFUNCTION("""COMPUTED_VALUE"""),40550)</f>
        <v>40550</v>
      </c>
      <c r="I705" s="23"/>
      <c r="J705" s="24" t="str">
        <f ca="1">IFERROR(__xludf.DUMMYFUNCTION("""COMPUTED_VALUE"""),"Hilbre Bird Observatory")</f>
        <v>Hilbre Bird Observatory</v>
      </c>
      <c r="K705" s="25"/>
      <c r="L705" s="27" t="str">
        <f ca="1">IFERROR(__xludf.DUMMYFUNCTION("""COMPUTED_VALUE"""),"closed")</f>
        <v>closed</v>
      </c>
      <c r="M705" s="27" t="str">
        <f ca="1">IFERROR(__xludf.DUMMYFUNCTION("""COMPUTED_VALUE"""),"proxy")</f>
        <v>proxy</v>
      </c>
      <c r="N705" s="25" t="str">
        <f ca="1">IFERROR(__xludf.DUMMYFUNCTION("""COMPUTED_VALUE"""),"accepted")</f>
        <v>accepted</v>
      </c>
      <c r="O705" s="28"/>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c r="AQ705" s="25"/>
      <c r="AR705" s="25"/>
      <c r="AS705" s="25"/>
      <c r="AT705" s="25"/>
      <c r="AU705" s="25"/>
      <c r="AV705" s="25"/>
      <c r="AW705" s="25"/>
      <c r="AX705" s="25"/>
      <c r="AY705" s="25"/>
      <c r="AZ705" s="25"/>
      <c r="BA705" s="25"/>
      <c r="BB705" s="25"/>
      <c r="BC705" s="25"/>
      <c r="BD705" s="25"/>
      <c r="BE705" s="25"/>
      <c r="BF705" s="25"/>
      <c r="BG705" s="25"/>
      <c r="BH705" s="25"/>
      <c r="BI705" s="25"/>
      <c r="BJ705" s="25"/>
      <c r="BK705" s="25"/>
      <c r="BL705" s="25"/>
      <c r="BM705" s="25"/>
      <c r="BN705" s="25"/>
      <c r="BO705" s="25"/>
      <c r="BP705" s="25"/>
      <c r="BQ705" s="25"/>
      <c r="BR705" s="25"/>
      <c r="BS705" s="25"/>
      <c r="BT705" s="25"/>
      <c r="BU705" s="25"/>
      <c r="BV705" s="25"/>
      <c r="BW705" s="25"/>
      <c r="BX705" s="25"/>
      <c r="BY705" s="25"/>
      <c r="BZ705" s="25"/>
      <c r="CA705" s="25"/>
      <c r="CB705" s="25"/>
    </row>
    <row r="706" spans="1:80" ht="13.5" hidden="1" customHeight="1">
      <c r="A706" s="10">
        <f ca="1">IFERROR(__xludf.DUMMYFUNCTION("""COMPUTED_VALUE"""),2011)</f>
        <v>2011</v>
      </c>
      <c r="B706" s="50">
        <f ca="1">IFERROR(__xludf.DUMMYFUNCTION("""COMPUTED_VALUE"""),41146)</f>
        <v>41146</v>
      </c>
      <c r="C706" s="41"/>
      <c r="D706" s="42" t="str">
        <f ca="1">IFERROR(__xludf.DUMMYFUNCTION("""COMPUTED_VALUE"""),"Great Northern Diver")</f>
        <v>Great Northern Diver</v>
      </c>
      <c r="E706" s="53">
        <f ca="1">IFERROR(__xludf.DUMMYFUNCTION("""COMPUTED_VALUE"""),1)</f>
        <v>1</v>
      </c>
      <c r="F706" s="15"/>
      <c r="G706" s="44" t="str">
        <f ca="1">IFERROR(__xludf.DUMMYFUNCTION("""COMPUTED_VALUE"""),"Hilbre")</f>
        <v>Hilbre</v>
      </c>
      <c r="H706" s="12">
        <f ca="1">IFERROR(__xludf.DUMMYFUNCTION("""COMPUTED_VALUE"""),40551)</f>
        <v>40551</v>
      </c>
      <c r="I706" s="12"/>
      <c r="J706" s="14" t="str">
        <f ca="1">IFERROR(__xludf.DUMMYFUNCTION("""COMPUTED_VALUE"""),"Hilbre Bird Observatory")</f>
        <v>Hilbre Bird Observatory</v>
      </c>
      <c r="K706" s="15"/>
      <c r="L706" s="17" t="str">
        <f ca="1">IFERROR(__xludf.DUMMYFUNCTION("""COMPUTED_VALUE"""),"closed")</f>
        <v>closed</v>
      </c>
      <c r="M706" s="17" t="str">
        <f ca="1">IFERROR(__xludf.DUMMYFUNCTION("""COMPUTED_VALUE"""),"proxy")</f>
        <v>proxy</v>
      </c>
      <c r="N706" s="15" t="str">
        <f ca="1">IFERROR(__xludf.DUMMYFUNCTION("""COMPUTED_VALUE"""),"accepted")</f>
        <v>accepted</v>
      </c>
      <c r="O706" s="18"/>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row>
    <row r="707" spans="1:80" ht="13.5" hidden="1" customHeight="1">
      <c r="A707" s="20">
        <f ca="1">IFERROR(__xludf.DUMMYFUNCTION("""COMPUTED_VALUE"""),2011)</f>
        <v>2011</v>
      </c>
      <c r="B707" s="45">
        <f ca="1">IFERROR(__xludf.DUMMYFUNCTION("""COMPUTED_VALUE"""),41146)</f>
        <v>41146</v>
      </c>
      <c r="C707" s="46"/>
      <c r="D707" s="47" t="str">
        <f ca="1">IFERROR(__xludf.DUMMYFUNCTION("""COMPUTED_VALUE"""),"Great Northern Diver")</f>
        <v>Great Northern Diver</v>
      </c>
      <c r="E707" s="52">
        <f ca="1">IFERROR(__xludf.DUMMYFUNCTION("""COMPUTED_VALUE"""),1)</f>
        <v>1</v>
      </c>
      <c r="F707" s="25"/>
      <c r="G707" s="48" t="str">
        <f ca="1">IFERROR(__xludf.DUMMYFUNCTION("""COMPUTED_VALUE"""),"Hilbre")</f>
        <v>Hilbre</v>
      </c>
      <c r="H707" s="22">
        <f ca="1">IFERROR(__xludf.DUMMYFUNCTION("""COMPUTED_VALUE"""),40561)</f>
        <v>40561</v>
      </c>
      <c r="I707" s="23"/>
      <c r="J707" s="24" t="str">
        <f ca="1">IFERROR(__xludf.DUMMYFUNCTION("""COMPUTED_VALUE"""),"Hilbre Bird Observatory")</f>
        <v>Hilbre Bird Observatory</v>
      </c>
      <c r="K707" s="64"/>
      <c r="L707" s="27" t="str">
        <f ca="1">IFERROR(__xludf.DUMMYFUNCTION("""COMPUTED_VALUE"""),"closed")</f>
        <v>closed</v>
      </c>
      <c r="M707" s="27" t="str">
        <f ca="1">IFERROR(__xludf.DUMMYFUNCTION("""COMPUTED_VALUE"""),"proxy")</f>
        <v>proxy</v>
      </c>
      <c r="N707" s="25" t="str">
        <f ca="1">IFERROR(__xludf.DUMMYFUNCTION("""COMPUTED_VALUE"""),"accepted")</f>
        <v>accepted</v>
      </c>
      <c r="O707" s="65"/>
      <c r="P707" s="25"/>
      <c r="Q707" s="25"/>
      <c r="R707" s="40"/>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c r="AQ707" s="25"/>
      <c r="AR707" s="25"/>
      <c r="AS707" s="25"/>
      <c r="AT707" s="25"/>
      <c r="AU707" s="25"/>
      <c r="AV707" s="25"/>
      <c r="AW707" s="25"/>
      <c r="AX707" s="25"/>
      <c r="AY707" s="25"/>
      <c r="AZ707" s="25"/>
      <c r="BA707" s="25"/>
      <c r="BB707" s="25"/>
      <c r="BC707" s="25"/>
      <c r="BD707" s="25"/>
      <c r="BE707" s="25"/>
      <c r="BF707" s="25"/>
      <c r="BG707" s="25"/>
      <c r="BH707" s="25"/>
      <c r="BI707" s="25"/>
      <c r="BJ707" s="25"/>
      <c r="BK707" s="25"/>
      <c r="BL707" s="25"/>
      <c r="BM707" s="25"/>
      <c r="BN707" s="25"/>
      <c r="BO707" s="25"/>
      <c r="BP707" s="25"/>
      <c r="BQ707" s="25"/>
      <c r="BR707" s="25"/>
      <c r="BS707" s="25"/>
      <c r="BT707" s="25"/>
      <c r="BU707" s="25"/>
      <c r="BV707" s="25"/>
      <c r="BW707" s="25"/>
      <c r="BX707" s="25"/>
      <c r="BY707" s="25"/>
      <c r="BZ707" s="25"/>
      <c r="CA707" s="25"/>
      <c r="CB707" s="25"/>
    </row>
    <row r="708" spans="1:80" ht="13.5" hidden="1" customHeight="1">
      <c r="A708" s="10">
        <f ca="1">IFERROR(__xludf.DUMMYFUNCTION("""COMPUTED_VALUE"""),2011)</f>
        <v>2011</v>
      </c>
      <c r="B708" s="50">
        <f ca="1">IFERROR(__xludf.DUMMYFUNCTION("""COMPUTED_VALUE"""),41146)</f>
        <v>41146</v>
      </c>
      <c r="C708" s="41"/>
      <c r="D708" s="42" t="str">
        <f ca="1">IFERROR(__xludf.DUMMYFUNCTION("""COMPUTED_VALUE"""),"Great Northern Diver")</f>
        <v>Great Northern Diver</v>
      </c>
      <c r="E708" s="53">
        <f ca="1">IFERROR(__xludf.DUMMYFUNCTION("""COMPUTED_VALUE"""),1)</f>
        <v>1</v>
      </c>
      <c r="F708" s="15"/>
      <c r="G708" s="44" t="str">
        <f ca="1">IFERROR(__xludf.DUMMYFUNCTION("""COMPUTED_VALUE"""),"Hilbre")</f>
        <v>Hilbre</v>
      </c>
      <c r="H708" s="12">
        <f ca="1">IFERROR(__xludf.DUMMYFUNCTION("""COMPUTED_VALUE"""),40612)</f>
        <v>40612</v>
      </c>
      <c r="I708" s="13"/>
      <c r="J708" s="14" t="str">
        <f ca="1">IFERROR(__xludf.DUMMYFUNCTION("""COMPUTED_VALUE"""),"Hilbre Bird Observatory")</f>
        <v>Hilbre Bird Observatory</v>
      </c>
      <c r="K708" s="15"/>
      <c r="L708" s="17" t="str">
        <f ca="1">IFERROR(__xludf.DUMMYFUNCTION("""COMPUTED_VALUE"""),"closed")</f>
        <v>closed</v>
      </c>
      <c r="M708" s="17" t="str">
        <f ca="1">IFERROR(__xludf.DUMMYFUNCTION("""COMPUTED_VALUE"""),"proxy")</f>
        <v>proxy</v>
      </c>
      <c r="N708" s="15" t="str">
        <f ca="1">IFERROR(__xludf.DUMMYFUNCTION("""COMPUTED_VALUE"""),"accepted")</f>
        <v>accepted</v>
      </c>
      <c r="O708" s="18"/>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row>
    <row r="709" spans="1:80" ht="13.5" hidden="1" customHeight="1">
      <c r="A709" s="20">
        <f ca="1">IFERROR(__xludf.DUMMYFUNCTION("""COMPUTED_VALUE"""),2011)</f>
        <v>2011</v>
      </c>
      <c r="B709" s="45">
        <f ca="1">IFERROR(__xludf.DUMMYFUNCTION("""COMPUTED_VALUE"""),41146)</f>
        <v>41146</v>
      </c>
      <c r="C709" s="46"/>
      <c r="D709" s="47" t="str">
        <f ca="1">IFERROR(__xludf.DUMMYFUNCTION("""COMPUTED_VALUE"""),"Great Northern Diver")</f>
        <v>Great Northern Diver</v>
      </c>
      <c r="E709" s="52">
        <f ca="1">IFERROR(__xludf.DUMMYFUNCTION("""COMPUTED_VALUE"""),1)</f>
        <v>1</v>
      </c>
      <c r="F709" s="25"/>
      <c r="G709" s="48" t="str">
        <f ca="1">IFERROR(__xludf.DUMMYFUNCTION("""COMPUTED_VALUE"""),"Hilbre")</f>
        <v>Hilbre</v>
      </c>
      <c r="H709" s="22">
        <f ca="1">IFERROR(__xludf.DUMMYFUNCTION("""COMPUTED_VALUE"""),40854)</f>
        <v>40854</v>
      </c>
      <c r="I709" s="23"/>
      <c r="J709" s="24" t="str">
        <f ca="1">IFERROR(__xludf.DUMMYFUNCTION("""COMPUTED_VALUE"""),"Hilbre Bird Observatory")</f>
        <v>Hilbre Bird Observatory</v>
      </c>
      <c r="K709" s="25"/>
      <c r="L709" s="27" t="str">
        <f ca="1">IFERROR(__xludf.DUMMYFUNCTION("""COMPUTED_VALUE"""),"closed")</f>
        <v>closed</v>
      </c>
      <c r="M709" s="27" t="str">
        <f ca="1">IFERROR(__xludf.DUMMYFUNCTION("""COMPUTED_VALUE"""),"proxy")</f>
        <v>proxy</v>
      </c>
      <c r="N709" s="25" t="str">
        <f ca="1">IFERROR(__xludf.DUMMYFUNCTION("""COMPUTED_VALUE"""),"accepted")</f>
        <v>accepted</v>
      </c>
      <c r="O709" s="28"/>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c r="AQ709" s="25"/>
      <c r="AR709" s="25"/>
      <c r="AS709" s="25"/>
      <c r="AT709" s="25"/>
      <c r="AU709" s="25"/>
      <c r="AV709" s="25"/>
      <c r="AW709" s="25"/>
      <c r="AX709" s="25"/>
      <c r="AY709" s="25"/>
      <c r="AZ709" s="25"/>
      <c r="BA709" s="25"/>
      <c r="BB709" s="25"/>
      <c r="BC709" s="25"/>
      <c r="BD709" s="25"/>
      <c r="BE709" s="25"/>
      <c r="BF709" s="25"/>
      <c r="BG709" s="25"/>
      <c r="BH709" s="25"/>
      <c r="BI709" s="25"/>
      <c r="BJ709" s="25"/>
      <c r="BK709" s="25"/>
      <c r="BL709" s="25"/>
      <c r="BM709" s="25"/>
      <c r="BN709" s="25"/>
      <c r="BO709" s="25"/>
      <c r="BP709" s="25"/>
      <c r="BQ709" s="25"/>
      <c r="BR709" s="25"/>
      <c r="BS709" s="25"/>
      <c r="BT709" s="25"/>
      <c r="BU709" s="25"/>
      <c r="BV709" s="25"/>
      <c r="BW709" s="25"/>
      <c r="BX709" s="25"/>
      <c r="BY709" s="25"/>
      <c r="BZ709" s="25"/>
      <c r="CA709" s="25"/>
      <c r="CB709" s="25"/>
    </row>
    <row r="710" spans="1:80" ht="13.5" hidden="1" customHeight="1">
      <c r="A710" s="10">
        <f ca="1">IFERROR(__xludf.DUMMYFUNCTION("""COMPUTED_VALUE"""),2011)</f>
        <v>2011</v>
      </c>
      <c r="B710" s="50">
        <f ca="1">IFERROR(__xludf.DUMMYFUNCTION("""COMPUTED_VALUE"""),41146)</f>
        <v>41146</v>
      </c>
      <c r="C710" s="41"/>
      <c r="D710" s="42" t="str">
        <f ca="1">IFERROR(__xludf.DUMMYFUNCTION("""COMPUTED_VALUE"""),"Great Northern Diver")</f>
        <v>Great Northern Diver</v>
      </c>
      <c r="E710" s="53">
        <f ca="1">IFERROR(__xludf.DUMMYFUNCTION("""COMPUTED_VALUE"""),1)</f>
        <v>1</v>
      </c>
      <c r="F710" s="15"/>
      <c r="G710" s="44" t="str">
        <f ca="1">IFERROR(__xludf.DUMMYFUNCTION("""COMPUTED_VALUE"""),"Hilbre")</f>
        <v>Hilbre</v>
      </c>
      <c r="H710" s="12">
        <f ca="1">IFERROR(__xludf.DUMMYFUNCTION("""COMPUTED_VALUE"""),40856)</f>
        <v>40856</v>
      </c>
      <c r="I710" s="13"/>
      <c r="J710" s="14" t="str">
        <f ca="1">IFERROR(__xludf.DUMMYFUNCTION("""COMPUTED_VALUE"""),"Hilbre Bird Observatory")</f>
        <v>Hilbre Bird Observatory</v>
      </c>
      <c r="K710" s="15"/>
      <c r="L710" s="17" t="str">
        <f ca="1">IFERROR(__xludf.DUMMYFUNCTION("""COMPUTED_VALUE"""),"closed")</f>
        <v>closed</v>
      </c>
      <c r="M710" s="17" t="str">
        <f ca="1">IFERROR(__xludf.DUMMYFUNCTION("""COMPUTED_VALUE"""),"proxy")</f>
        <v>proxy</v>
      </c>
      <c r="N710" s="43" t="str">
        <f ca="1">IFERROR(__xludf.DUMMYFUNCTION("""COMPUTED_VALUE"""),"accepted")</f>
        <v>accepted</v>
      </c>
      <c r="O710" s="18"/>
      <c r="P710" s="43"/>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row>
    <row r="711" spans="1:80" ht="13.5" hidden="1" customHeight="1">
      <c r="A711" s="20">
        <f ca="1">IFERROR(__xludf.DUMMYFUNCTION("""COMPUTED_VALUE"""),2011)</f>
        <v>2011</v>
      </c>
      <c r="B711" s="45">
        <f ca="1">IFERROR(__xludf.DUMMYFUNCTION("""COMPUTED_VALUE"""),41146)</f>
        <v>41146</v>
      </c>
      <c r="C711" s="46"/>
      <c r="D711" s="47" t="str">
        <f ca="1">IFERROR(__xludf.DUMMYFUNCTION("""COMPUTED_VALUE"""),"Great Northern Diver")</f>
        <v>Great Northern Diver</v>
      </c>
      <c r="E711" s="52">
        <f ca="1">IFERROR(__xludf.DUMMYFUNCTION("""COMPUTED_VALUE"""),1)</f>
        <v>1</v>
      </c>
      <c r="F711" s="25"/>
      <c r="G711" s="48" t="str">
        <f ca="1">IFERROR(__xludf.DUMMYFUNCTION("""COMPUTED_VALUE"""),"Hilbre")</f>
        <v>Hilbre</v>
      </c>
      <c r="H711" s="22">
        <f ca="1">IFERROR(__xludf.DUMMYFUNCTION("""COMPUTED_VALUE"""),40870)</f>
        <v>40870</v>
      </c>
      <c r="I711" s="23"/>
      <c r="J711" s="24" t="str">
        <f ca="1">IFERROR(__xludf.DUMMYFUNCTION("""COMPUTED_VALUE"""),"Hilbre Bird Observatory")</f>
        <v>Hilbre Bird Observatory</v>
      </c>
      <c r="K711" s="64"/>
      <c r="L711" s="27" t="str">
        <f ca="1">IFERROR(__xludf.DUMMYFUNCTION("""COMPUTED_VALUE"""),"closed")</f>
        <v>closed</v>
      </c>
      <c r="M711" s="27" t="str">
        <f ca="1">IFERROR(__xludf.DUMMYFUNCTION("""COMPUTED_VALUE"""),"proxy")</f>
        <v>proxy</v>
      </c>
      <c r="N711" s="25" t="str">
        <f ca="1">IFERROR(__xludf.DUMMYFUNCTION("""COMPUTED_VALUE"""),"accepted")</f>
        <v>accepted</v>
      </c>
      <c r="O711" s="6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c r="AQ711" s="25"/>
      <c r="AR711" s="25"/>
      <c r="AS711" s="25"/>
      <c r="AT711" s="25"/>
      <c r="AU711" s="25"/>
      <c r="AV711" s="25"/>
      <c r="AW711" s="25"/>
      <c r="AX711" s="25"/>
      <c r="AY711" s="25"/>
      <c r="AZ711" s="25"/>
      <c r="BA711" s="25"/>
      <c r="BB711" s="25"/>
      <c r="BC711" s="25"/>
      <c r="BD711" s="25"/>
      <c r="BE711" s="25"/>
      <c r="BF711" s="25"/>
      <c r="BG711" s="25"/>
      <c r="BH711" s="25"/>
      <c r="BI711" s="25"/>
      <c r="BJ711" s="25"/>
      <c r="BK711" s="25"/>
      <c r="BL711" s="25"/>
      <c r="BM711" s="25"/>
      <c r="BN711" s="25"/>
      <c r="BO711" s="25"/>
      <c r="BP711" s="25"/>
      <c r="BQ711" s="25"/>
      <c r="BR711" s="25"/>
      <c r="BS711" s="25"/>
      <c r="BT711" s="25"/>
      <c r="BU711" s="25"/>
      <c r="BV711" s="25"/>
      <c r="BW711" s="25"/>
      <c r="BX711" s="25"/>
      <c r="BY711" s="25"/>
      <c r="BZ711" s="25"/>
      <c r="CA711" s="25"/>
      <c r="CB711" s="25"/>
    </row>
    <row r="712" spans="1:80" ht="13.5" hidden="1" customHeight="1">
      <c r="A712" s="10">
        <f ca="1">IFERROR(__xludf.DUMMYFUNCTION("""COMPUTED_VALUE"""),2011)</f>
        <v>2011</v>
      </c>
      <c r="B712" s="50">
        <f ca="1">IFERROR(__xludf.DUMMYFUNCTION("""COMPUTED_VALUE"""),41146)</f>
        <v>41146</v>
      </c>
      <c r="C712" s="41"/>
      <c r="D712" s="42" t="str">
        <f ca="1">IFERROR(__xludf.DUMMYFUNCTION("""COMPUTED_VALUE"""),"Great Northern Diver")</f>
        <v>Great Northern Diver</v>
      </c>
      <c r="E712" s="53">
        <f ca="1">IFERROR(__xludf.DUMMYFUNCTION("""COMPUTED_VALUE"""),1)</f>
        <v>1</v>
      </c>
      <c r="F712" s="15"/>
      <c r="G712" s="44" t="str">
        <f ca="1">IFERROR(__xludf.DUMMYFUNCTION("""COMPUTED_VALUE"""),"Hilbre")</f>
        <v>Hilbre</v>
      </c>
      <c r="H712" s="12">
        <f ca="1">IFERROR(__xludf.DUMMYFUNCTION("""COMPUTED_VALUE"""),40874)</f>
        <v>40874</v>
      </c>
      <c r="I712" s="13"/>
      <c r="J712" s="14" t="str">
        <f ca="1">IFERROR(__xludf.DUMMYFUNCTION("""COMPUTED_VALUE"""),"Hilbre Bird Observatory")</f>
        <v>Hilbre Bird Observatory</v>
      </c>
      <c r="K712" s="43"/>
      <c r="L712" s="17" t="str">
        <f ca="1">IFERROR(__xludf.DUMMYFUNCTION("""COMPUTED_VALUE"""),"closed")</f>
        <v>closed</v>
      </c>
      <c r="M712" s="17" t="str">
        <f ca="1">IFERROR(__xludf.DUMMYFUNCTION("""COMPUTED_VALUE"""),"proxy")</f>
        <v>proxy</v>
      </c>
      <c r="N712" s="43" t="str">
        <f ca="1">IFERROR(__xludf.DUMMYFUNCTION("""COMPUTED_VALUE"""),"accepted")</f>
        <v>accepted</v>
      </c>
      <c r="O712" s="66"/>
      <c r="P712" s="43"/>
      <c r="Q712" s="58"/>
      <c r="R712" s="58"/>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row>
    <row r="713" spans="1:80" ht="13.5" hidden="1" customHeight="1">
      <c r="A713" s="20">
        <f ca="1">IFERROR(__xludf.DUMMYFUNCTION("""COMPUTED_VALUE"""),2011)</f>
        <v>2011</v>
      </c>
      <c r="B713" s="45">
        <f ca="1">IFERROR(__xludf.DUMMYFUNCTION("""COMPUTED_VALUE"""),41146)</f>
        <v>41146</v>
      </c>
      <c r="C713" s="46"/>
      <c r="D713" s="47" t="str">
        <f ca="1">IFERROR(__xludf.DUMMYFUNCTION("""COMPUTED_VALUE"""),"Great Northern Diver")</f>
        <v>Great Northern Diver</v>
      </c>
      <c r="E713" s="52">
        <f ca="1">IFERROR(__xludf.DUMMYFUNCTION("""COMPUTED_VALUE"""),1)</f>
        <v>1</v>
      </c>
      <c r="F713" s="25"/>
      <c r="G713" s="48" t="str">
        <f ca="1">IFERROR(__xludf.DUMMYFUNCTION("""COMPUTED_VALUE"""),"Hilbre")</f>
        <v>Hilbre</v>
      </c>
      <c r="H713" s="22">
        <f ca="1">IFERROR(__xludf.DUMMYFUNCTION("""COMPUTED_VALUE"""),40876)</f>
        <v>40876</v>
      </c>
      <c r="I713" s="23"/>
      <c r="J713" s="24" t="str">
        <f ca="1">IFERROR(__xludf.DUMMYFUNCTION("""COMPUTED_VALUE"""),"Hilbre Bird Observatory")</f>
        <v>Hilbre Bird Observatory</v>
      </c>
      <c r="K713" s="64"/>
      <c r="L713" s="27" t="str">
        <f ca="1">IFERROR(__xludf.DUMMYFUNCTION("""COMPUTED_VALUE"""),"closed")</f>
        <v>closed</v>
      </c>
      <c r="M713" s="27" t="str">
        <f ca="1">IFERROR(__xludf.DUMMYFUNCTION("""COMPUTED_VALUE"""),"proxy")</f>
        <v>proxy</v>
      </c>
      <c r="N713" s="25" t="str">
        <f ca="1">IFERROR(__xludf.DUMMYFUNCTION("""COMPUTED_VALUE"""),"accepted")</f>
        <v>accepted</v>
      </c>
      <c r="O713" s="6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c r="AQ713" s="25"/>
      <c r="AR713" s="25"/>
      <c r="AS713" s="25"/>
      <c r="AT713" s="25"/>
      <c r="AU713" s="25"/>
      <c r="AV713" s="25"/>
      <c r="AW713" s="25"/>
      <c r="AX713" s="25"/>
      <c r="AY713" s="25"/>
      <c r="AZ713" s="25"/>
      <c r="BA713" s="25"/>
      <c r="BB713" s="25"/>
      <c r="BC713" s="25"/>
      <c r="BD713" s="25"/>
      <c r="BE713" s="25"/>
      <c r="BF713" s="25"/>
      <c r="BG713" s="25"/>
      <c r="BH713" s="25"/>
      <c r="BI713" s="25"/>
      <c r="BJ713" s="25"/>
      <c r="BK713" s="25"/>
      <c r="BL713" s="25"/>
      <c r="BM713" s="25"/>
      <c r="BN713" s="25"/>
      <c r="BO713" s="25"/>
      <c r="BP713" s="25"/>
      <c r="BQ713" s="25"/>
      <c r="BR713" s="25"/>
      <c r="BS713" s="25"/>
      <c r="BT713" s="25"/>
      <c r="BU713" s="25"/>
      <c r="BV713" s="25"/>
      <c r="BW713" s="25"/>
      <c r="BX713" s="25"/>
      <c r="BY713" s="25"/>
      <c r="BZ713" s="25"/>
      <c r="CA713" s="25"/>
      <c r="CB713" s="25"/>
    </row>
    <row r="714" spans="1:80" ht="13.5" hidden="1" customHeight="1">
      <c r="A714" s="10">
        <f ca="1">IFERROR(__xludf.DUMMYFUNCTION("""COMPUTED_VALUE"""),2011)</f>
        <v>2011</v>
      </c>
      <c r="B714" s="50">
        <f ca="1">IFERROR(__xludf.DUMMYFUNCTION("""COMPUTED_VALUE"""),41224)</f>
        <v>41224</v>
      </c>
      <c r="C714" s="41">
        <f ca="1">IFERROR(__xludf.DUMMYFUNCTION("""COMPUTED_VALUE"""),41225)</f>
        <v>41225</v>
      </c>
      <c r="D714" s="42" t="str">
        <f ca="1">IFERROR(__xludf.DUMMYFUNCTION("""COMPUTED_VALUE"""),"Storm Petrel")</f>
        <v>Storm Petrel</v>
      </c>
      <c r="E714" s="53">
        <f ca="1">IFERROR(__xludf.DUMMYFUNCTION("""COMPUTED_VALUE"""),1)</f>
        <v>1</v>
      </c>
      <c r="F714" s="15"/>
      <c r="G714" s="44" t="str">
        <f ca="1">IFERROR(__xludf.DUMMYFUNCTION("""COMPUTED_VALUE"""),"Perch Rock, New Brighton")</f>
        <v>Perch Rock, New Brighton</v>
      </c>
      <c r="H714" s="12">
        <f ca="1">IFERROR(__xludf.DUMMYFUNCTION("""COMPUTED_VALUE"""),40793)</f>
        <v>40793</v>
      </c>
      <c r="I714" s="13"/>
      <c r="J714" s="14" t="str">
        <f ca="1">IFERROR(__xludf.DUMMYFUNCTION("""COMPUTED_VALUE"""),"M Baron")</f>
        <v>M Baron</v>
      </c>
      <c r="K714" s="43"/>
      <c r="L714" s="17" t="str">
        <f ca="1">IFERROR(__xludf.DUMMYFUNCTION("""COMPUTED_VALUE"""),"closed")</f>
        <v>closed</v>
      </c>
      <c r="M714" s="17" t="str">
        <f ca="1">IFERROR(__xludf.DUMMYFUNCTION("""COMPUTED_VALUE"""),"1st U")</f>
        <v>1st U</v>
      </c>
      <c r="N714" s="15" t="str">
        <f ca="1">IFERROR(__xludf.DUMMYFUNCTION("""COMPUTED_VALUE"""),"accepted")</f>
        <v>accepted</v>
      </c>
      <c r="O714" s="66"/>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row>
    <row r="715" spans="1:80" ht="13.5" hidden="1" customHeight="1">
      <c r="A715" s="20">
        <f ca="1">IFERROR(__xludf.DUMMYFUNCTION("""COMPUTED_VALUE"""),2011)</f>
        <v>2011</v>
      </c>
      <c r="B715" s="45">
        <f ca="1">IFERROR(__xludf.DUMMYFUNCTION("""COMPUTED_VALUE"""),41150)</f>
        <v>41150</v>
      </c>
      <c r="C715" s="46">
        <f ca="1">IFERROR(__xludf.DUMMYFUNCTION("""COMPUTED_VALUE"""),41150)</f>
        <v>41150</v>
      </c>
      <c r="D715" s="47" t="str">
        <f ca="1">IFERROR(__xludf.DUMMYFUNCTION("""COMPUTED_VALUE"""),"Sooty Shearwater")</f>
        <v>Sooty Shearwater</v>
      </c>
      <c r="E715" s="52">
        <f ca="1">IFERROR(__xludf.DUMMYFUNCTION("""COMPUTED_VALUE"""),1)</f>
        <v>1</v>
      </c>
      <c r="F715" s="25"/>
      <c r="G715" s="48" t="str">
        <f ca="1">IFERROR(__xludf.DUMMYFUNCTION("""COMPUTED_VALUE"""),"Hoylake")</f>
        <v>Hoylake</v>
      </c>
      <c r="H715" s="22">
        <f ca="1">IFERROR(__xludf.DUMMYFUNCTION("""COMPUTED_VALUE"""),40823)</f>
        <v>40823</v>
      </c>
      <c r="I715" s="23"/>
      <c r="J715" s="24" t="str">
        <f ca="1">IFERROR(__xludf.DUMMYFUNCTION("""COMPUTED_VALUE"""),"Turner, JE")</f>
        <v>Turner, JE</v>
      </c>
      <c r="K715" s="64" t="str">
        <f ca="1">IFERROR(__xludf.DUMMYFUNCTION("""COMPUTED_VALUE"""),"Turner, JE")</f>
        <v>Turner, JE</v>
      </c>
      <c r="L715" s="27" t="str">
        <f ca="1">IFERROR(__xludf.DUMMYFUNCTION("""COMPUTED_VALUE"""),"closed")</f>
        <v>closed</v>
      </c>
      <c r="M715" s="27" t="str">
        <f ca="1">IFERROR(__xludf.DUMMYFUNCTION("""COMPUTED_VALUE"""),"1st U")</f>
        <v>1st U</v>
      </c>
      <c r="N715" s="64" t="str">
        <f ca="1">IFERROR(__xludf.DUMMYFUNCTION("""COMPUTED_VALUE"""),"accepted")</f>
        <v>accepted</v>
      </c>
      <c r="O715" s="65"/>
      <c r="P715" s="64"/>
      <c r="Q715" s="40"/>
      <c r="R715" s="40"/>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c r="AQ715" s="25"/>
      <c r="AR715" s="25"/>
      <c r="AS715" s="25"/>
      <c r="AT715" s="25"/>
      <c r="AU715" s="25"/>
      <c r="AV715" s="25"/>
      <c r="AW715" s="25"/>
      <c r="AX715" s="25"/>
      <c r="AY715" s="25"/>
      <c r="AZ715" s="25"/>
      <c r="BA715" s="25"/>
      <c r="BB715" s="25"/>
      <c r="BC715" s="25"/>
      <c r="BD715" s="25"/>
      <c r="BE715" s="25"/>
      <c r="BF715" s="25"/>
      <c r="BG715" s="25"/>
      <c r="BH715" s="25"/>
      <c r="BI715" s="25"/>
      <c r="BJ715" s="25"/>
      <c r="BK715" s="25"/>
      <c r="BL715" s="25"/>
      <c r="BM715" s="25"/>
      <c r="BN715" s="25"/>
      <c r="BO715" s="25"/>
      <c r="BP715" s="25"/>
      <c r="BQ715" s="25"/>
      <c r="BR715" s="25"/>
      <c r="BS715" s="25"/>
      <c r="BT715" s="25"/>
      <c r="BU715" s="25"/>
      <c r="BV715" s="25"/>
      <c r="BW715" s="25"/>
      <c r="BX715" s="25"/>
      <c r="BY715" s="25"/>
      <c r="BZ715" s="25"/>
      <c r="CA715" s="25"/>
      <c r="CB715" s="25"/>
    </row>
    <row r="716" spans="1:80" ht="13.5" hidden="1" customHeight="1">
      <c r="A716" s="10">
        <f ca="1">IFERROR(__xludf.DUMMYFUNCTION("""COMPUTED_VALUE"""),2011)</f>
        <v>2011</v>
      </c>
      <c r="B716" s="50">
        <f ca="1">IFERROR(__xludf.DUMMYFUNCTION("""COMPUTED_VALUE"""),41225)</f>
        <v>41225</v>
      </c>
      <c r="C716" s="41">
        <f ca="1">IFERROR(__xludf.DUMMYFUNCTION("""COMPUTED_VALUE"""),41151)</f>
        <v>41151</v>
      </c>
      <c r="D716" s="42" t="str">
        <f ca="1">IFERROR(__xludf.DUMMYFUNCTION("""COMPUTED_VALUE"""),"Cattle Egret")</f>
        <v>Cattle Egret</v>
      </c>
      <c r="E716" s="53">
        <f ca="1">IFERROR(__xludf.DUMMYFUNCTION("""COMPUTED_VALUE"""),1)</f>
        <v>1</v>
      </c>
      <c r="F716" s="15"/>
      <c r="G716" s="44" t="str">
        <f ca="1">IFERROR(__xludf.DUMMYFUNCTION("""COMPUTED_VALUE"""),"Burton Mere Wetlands RSPB")</f>
        <v>Burton Mere Wetlands RSPB</v>
      </c>
      <c r="H716" s="12">
        <f ca="1">IFERROR(__xludf.DUMMYFUNCTION("""COMPUTED_VALUE"""),40830)</f>
        <v>40830</v>
      </c>
      <c r="I716" s="13"/>
      <c r="J716" s="14"/>
      <c r="K716" s="15"/>
      <c r="L716" s="17" t="str">
        <f ca="1">IFERROR(__xludf.DUMMYFUNCTION("""COMPUTED_VALUE"""),"closed")</f>
        <v>closed</v>
      </c>
      <c r="M716" s="17" t="str">
        <f ca="1">IFERROR(__xludf.DUMMYFUNCTION("""COMPUTED_VALUE"""),"2nd M")</f>
        <v>2nd M</v>
      </c>
      <c r="N716" s="15" t="str">
        <f ca="1">IFERROR(__xludf.DUMMYFUNCTION("""COMPUTED_VALUE"""),"unproven")</f>
        <v>unproven</v>
      </c>
      <c r="O716" s="18"/>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row>
    <row r="717" spans="1:80" ht="13.5" hidden="1" customHeight="1">
      <c r="A717" s="20">
        <f ca="1">IFERROR(__xludf.DUMMYFUNCTION("""COMPUTED_VALUE"""),2011)</f>
        <v>2011</v>
      </c>
      <c r="B717" s="45">
        <f ca="1">IFERROR(__xludf.DUMMYFUNCTION("""COMPUTED_VALUE"""),41225)</f>
        <v>41225</v>
      </c>
      <c r="C717" s="46">
        <f ca="1">IFERROR(__xludf.DUMMYFUNCTION("""COMPUTED_VALUE"""),41144)</f>
        <v>41144</v>
      </c>
      <c r="D717" s="47" t="str">
        <f ca="1">IFERROR(__xludf.DUMMYFUNCTION("""COMPUTED_VALUE"""),"Honey-Buzzard")</f>
        <v>Honey-Buzzard</v>
      </c>
      <c r="E717" s="52">
        <f ca="1">IFERROR(__xludf.DUMMYFUNCTION("""COMPUTED_VALUE"""),1)</f>
        <v>1</v>
      </c>
      <c r="F717" s="25"/>
      <c r="G717" s="48" t="str">
        <f ca="1">IFERROR(__xludf.DUMMYFUNCTION("""COMPUTED_VALUE"""),"Frodsham Marsh")</f>
        <v>Frodsham Marsh</v>
      </c>
      <c r="H717" s="22">
        <f ca="1">IFERROR(__xludf.DUMMYFUNCTION("""COMPUTED_VALUE"""),40790)</f>
        <v>40790</v>
      </c>
      <c r="I717" s="23"/>
      <c r="J717" s="24"/>
      <c r="K717" s="64"/>
      <c r="L717" s="27" t="str">
        <f ca="1">IFERROR(__xludf.DUMMYFUNCTION("""COMPUTED_VALUE"""),"closed")</f>
        <v>closed</v>
      </c>
      <c r="M717" s="27" t="str">
        <f ca="1">IFERROR(__xludf.DUMMYFUNCTION("""COMPUTED_VALUE"""),"1st U")</f>
        <v>1st U</v>
      </c>
      <c r="N717" s="64" t="str">
        <f ca="1">IFERROR(__xludf.DUMMYFUNCTION("""COMPUTED_VALUE"""),"unproven")</f>
        <v>unproven</v>
      </c>
      <c r="O717" s="65"/>
      <c r="P717" s="64"/>
      <c r="Q717" s="40"/>
      <c r="R717" s="40"/>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c r="AQ717" s="25"/>
      <c r="AR717" s="25"/>
      <c r="AS717" s="25"/>
      <c r="AT717" s="25"/>
      <c r="AU717" s="25"/>
      <c r="AV717" s="25"/>
      <c r="AW717" s="25"/>
      <c r="AX717" s="25"/>
      <c r="AY717" s="25"/>
      <c r="AZ717" s="25"/>
      <c r="BA717" s="25"/>
      <c r="BB717" s="25"/>
      <c r="BC717" s="25"/>
      <c r="BD717" s="25"/>
      <c r="BE717" s="25"/>
      <c r="BF717" s="25"/>
      <c r="BG717" s="25"/>
      <c r="BH717" s="25"/>
      <c r="BI717" s="25"/>
      <c r="BJ717" s="25"/>
      <c r="BK717" s="25"/>
      <c r="BL717" s="25"/>
      <c r="BM717" s="25"/>
      <c r="BN717" s="25"/>
      <c r="BO717" s="25"/>
      <c r="BP717" s="25"/>
      <c r="BQ717" s="25"/>
      <c r="BR717" s="25"/>
      <c r="BS717" s="25"/>
      <c r="BT717" s="25"/>
      <c r="BU717" s="25"/>
      <c r="BV717" s="25"/>
      <c r="BW717" s="25"/>
      <c r="BX717" s="25"/>
      <c r="BY717" s="25"/>
      <c r="BZ717" s="25"/>
      <c r="CA717" s="25"/>
      <c r="CB717" s="25"/>
    </row>
    <row r="718" spans="1:80" ht="13.5" hidden="1" customHeight="1">
      <c r="A718" s="10">
        <f ca="1">IFERROR(__xludf.DUMMYFUNCTION("""COMPUTED_VALUE"""),2011)</f>
        <v>2011</v>
      </c>
      <c r="B718" s="50">
        <f ca="1">IFERROR(__xludf.DUMMYFUNCTION("""COMPUTED_VALUE"""),41144)</f>
        <v>41144</v>
      </c>
      <c r="C718" s="41">
        <f ca="1">IFERROR(__xludf.DUMMYFUNCTION("""COMPUTED_VALUE"""),41144)</f>
        <v>41144</v>
      </c>
      <c r="D718" s="42" t="str">
        <f ca="1">IFERROR(__xludf.DUMMYFUNCTION("""COMPUTED_VALUE"""),"Honey-Buzzard")</f>
        <v>Honey-Buzzard</v>
      </c>
      <c r="E718" s="53">
        <f ca="1">IFERROR(__xludf.DUMMYFUNCTION("""COMPUTED_VALUE"""),1)</f>
        <v>1</v>
      </c>
      <c r="F718" s="15"/>
      <c r="G718" s="44" t="str">
        <f ca="1">IFERROR(__xludf.DUMMYFUNCTION("""COMPUTED_VALUE"""),"Risley Moss LNR")</f>
        <v>Risley Moss LNR</v>
      </c>
      <c r="H718" s="12">
        <f ca="1">IFERROR(__xludf.DUMMYFUNCTION("""COMPUTED_VALUE"""),40806)</f>
        <v>40806</v>
      </c>
      <c r="I718" s="13"/>
      <c r="J718" s="14"/>
      <c r="K718" s="15"/>
      <c r="L718" s="17" t="str">
        <f ca="1">IFERROR(__xludf.DUMMYFUNCTION("""COMPUTED_VALUE"""),"closed")</f>
        <v>closed</v>
      </c>
      <c r="M718" s="17" t="str">
        <f ca="1">IFERROR(__xludf.DUMMYFUNCTION("""COMPUTED_VALUE"""),"1st U")</f>
        <v>1st U</v>
      </c>
      <c r="N718" s="15" t="str">
        <f ca="1">IFERROR(__xludf.DUMMYFUNCTION("""COMPUTED_VALUE"""),"unproven")</f>
        <v>unproven</v>
      </c>
      <c r="O718" s="18"/>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row>
    <row r="719" spans="1:80" ht="13.5" hidden="1" customHeight="1">
      <c r="A719" s="20">
        <f ca="1">IFERROR(__xludf.DUMMYFUNCTION("""COMPUTED_VALUE"""),2011)</f>
        <v>2011</v>
      </c>
      <c r="B719" s="45">
        <f ca="1">IFERROR(__xludf.DUMMYFUNCTION("""COMPUTED_VALUE"""),41225)</f>
        <v>41225</v>
      </c>
      <c r="C719" s="46">
        <f ca="1">IFERROR(__xludf.DUMMYFUNCTION("""COMPUTED_VALUE"""),40778)</f>
        <v>40778</v>
      </c>
      <c r="D719" s="47" t="str">
        <f ca="1">IFERROR(__xludf.DUMMYFUNCTION("""COMPUTED_VALUE"""),"Montagu's Harrier")</f>
        <v>Montagu's Harrier</v>
      </c>
      <c r="E719" s="52">
        <f ca="1">IFERROR(__xludf.DUMMYFUNCTION("""COMPUTED_VALUE"""),1)</f>
        <v>1</v>
      </c>
      <c r="F719" s="25"/>
      <c r="G719" s="48" t="str">
        <f ca="1">IFERROR(__xludf.DUMMYFUNCTION("""COMPUTED_VALUE"""),"Hale")</f>
        <v>Hale</v>
      </c>
      <c r="H719" s="22">
        <f ca="1">IFERROR(__xludf.DUMMYFUNCTION("""COMPUTED_VALUE"""),40712)</f>
        <v>40712</v>
      </c>
      <c r="I719" s="23"/>
      <c r="J719" s="24" t="str">
        <f ca="1">IFERROR(__xludf.DUMMYFUNCTION("""COMPUTED_VALUE"""),"Cockbain, RP&amp;CA")</f>
        <v>Cockbain, RP&amp;CA</v>
      </c>
      <c r="K719" s="64" t="str">
        <f ca="1">IFERROR(__xludf.DUMMYFUNCTION("""COMPUTED_VALUE"""),"Cockbain, RP&amp;CA")</f>
        <v>Cockbain, RP&amp;CA</v>
      </c>
      <c r="L719" s="27" t="str">
        <f ca="1">IFERROR(__xludf.DUMMYFUNCTION("""COMPUTED_VALUE"""),"closed")</f>
        <v>closed</v>
      </c>
      <c r="M719" s="27" t="str">
        <f ca="1">IFERROR(__xludf.DUMMYFUNCTION("""COMPUTED_VALUE"""),"2nd U")</f>
        <v>2nd U</v>
      </c>
      <c r="N719" s="25" t="str">
        <f ca="1">IFERROR(__xludf.DUMMYFUNCTION("""COMPUTED_VALUE"""),"accepted")</f>
        <v>accepted</v>
      </c>
      <c r="O719" s="6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c r="AQ719" s="25"/>
      <c r="AR719" s="25"/>
      <c r="AS719" s="25"/>
      <c r="AT719" s="25"/>
      <c r="AU719" s="25"/>
      <c r="AV719" s="25"/>
      <c r="AW719" s="25"/>
      <c r="AX719" s="25"/>
      <c r="AY719" s="25"/>
      <c r="AZ719" s="25"/>
      <c r="BA719" s="25"/>
      <c r="BB719" s="25"/>
      <c r="BC719" s="25"/>
      <c r="BD719" s="25"/>
      <c r="BE719" s="25"/>
      <c r="BF719" s="25"/>
      <c r="BG719" s="25"/>
      <c r="BH719" s="25"/>
      <c r="BI719" s="25"/>
      <c r="BJ719" s="25"/>
      <c r="BK719" s="25"/>
      <c r="BL719" s="25"/>
      <c r="BM719" s="25"/>
      <c r="BN719" s="25"/>
      <c r="BO719" s="25"/>
      <c r="BP719" s="25"/>
      <c r="BQ719" s="25"/>
      <c r="BR719" s="25"/>
      <c r="BS719" s="25"/>
      <c r="BT719" s="25"/>
      <c r="BU719" s="25"/>
      <c r="BV719" s="25"/>
      <c r="BW719" s="25"/>
      <c r="BX719" s="25"/>
      <c r="BY719" s="25"/>
      <c r="BZ719" s="25"/>
      <c r="CA719" s="25"/>
      <c r="CB719" s="25"/>
    </row>
    <row r="720" spans="1:80" ht="13.5" hidden="1" customHeight="1">
      <c r="A720" s="10">
        <f ca="1">IFERROR(__xludf.DUMMYFUNCTION("""COMPUTED_VALUE"""),2011)</f>
        <v>2011</v>
      </c>
      <c r="B720" s="50">
        <f ca="1">IFERROR(__xludf.DUMMYFUNCTION("""COMPUTED_VALUE"""),41225)</f>
        <v>41225</v>
      </c>
      <c r="C720" s="41">
        <f ca="1">IFERROR(__xludf.DUMMYFUNCTION("""COMPUTED_VALUE"""),40778)</f>
        <v>40778</v>
      </c>
      <c r="D720" s="42" t="str">
        <f ca="1">IFERROR(__xludf.DUMMYFUNCTION("""COMPUTED_VALUE"""),"Montagu's Harrier")</f>
        <v>Montagu's Harrier</v>
      </c>
      <c r="E720" s="53">
        <f ca="1">IFERROR(__xludf.DUMMYFUNCTION("""COMPUTED_VALUE"""),1)</f>
        <v>1</v>
      </c>
      <c r="F720" s="15"/>
      <c r="G720" s="44" t="str">
        <f ca="1">IFERROR(__xludf.DUMMYFUNCTION("""COMPUTED_VALUE"""),"Risley Moss LNR")</f>
        <v>Risley Moss LNR</v>
      </c>
      <c r="H720" s="12">
        <f ca="1">IFERROR(__xludf.DUMMYFUNCTION("""COMPUTED_VALUE"""),40661)</f>
        <v>40661</v>
      </c>
      <c r="I720" s="13"/>
      <c r="J720" s="14"/>
      <c r="K720" s="15"/>
      <c r="L720" s="17" t="str">
        <f ca="1">IFERROR(__xludf.DUMMYFUNCTION("""COMPUTED_VALUE"""),"closed")</f>
        <v>closed</v>
      </c>
      <c r="M720" s="17" t="str">
        <f ca="1">IFERROR(__xludf.DUMMYFUNCTION("""COMPUTED_VALUE"""),"2nd m")</f>
        <v>2nd m</v>
      </c>
      <c r="N720" s="43" t="str">
        <f ca="1">IFERROR(__xludf.DUMMYFUNCTION("""COMPUTED_VALUE"""),"unproven")</f>
        <v>unproven</v>
      </c>
      <c r="O720" s="18"/>
      <c r="P720" s="43"/>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row>
    <row r="721" spans="1:80" ht="13.5" hidden="1" customHeight="1">
      <c r="A721" s="20">
        <f ca="1">IFERROR(__xludf.DUMMYFUNCTION("""COMPUTED_VALUE"""),2011)</f>
        <v>2011</v>
      </c>
      <c r="B721" s="45">
        <f ca="1">IFERROR(__xludf.DUMMYFUNCTION("""COMPUTED_VALUE"""),41144)</f>
        <v>41144</v>
      </c>
      <c r="C721" s="46">
        <f ca="1">IFERROR(__xludf.DUMMYFUNCTION("""COMPUTED_VALUE"""),40773)</f>
        <v>40773</v>
      </c>
      <c r="D721" s="47" t="str">
        <f ca="1">IFERROR(__xludf.DUMMYFUNCTION("""COMPUTED_VALUE"""),"Red-rumped Swallow")</f>
        <v>Red-rumped Swallow</v>
      </c>
      <c r="E721" s="52">
        <f ca="1">IFERROR(__xludf.DUMMYFUNCTION("""COMPUTED_VALUE"""),1)</f>
        <v>1</v>
      </c>
      <c r="F721" s="25"/>
      <c r="G721" s="48" t="str">
        <f ca="1">IFERROR(__xludf.DUMMYFUNCTION("""COMPUTED_VALUE"""),"Meols")</f>
        <v>Meols</v>
      </c>
      <c r="H721" s="22">
        <f ca="1">IFERROR(__xludf.DUMMYFUNCTION("""COMPUTED_VALUE"""),40672)</f>
        <v>40672</v>
      </c>
      <c r="I721" s="23"/>
      <c r="J721" s="24" t="str">
        <f ca="1">IFERROR(__xludf.DUMMYFUNCTION("""COMPUTED_VALUE"""),"Coupe, J")</f>
        <v>Coupe, J</v>
      </c>
      <c r="K721" s="25" t="str">
        <f ca="1">IFERROR(__xludf.DUMMYFUNCTION("""COMPUTED_VALUE"""),"Coupe, J")</f>
        <v>Coupe, J</v>
      </c>
      <c r="L721" s="27" t="str">
        <f ca="1">IFERROR(__xludf.DUMMYFUNCTION("""COMPUTED_VALUE"""),"closed")</f>
        <v>closed</v>
      </c>
      <c r="M721" s="27" t="str">
        <f ca="1">IFERROR(__xludf.DUMMYFUNCTION("""COMPUTED_VALUE"""),"2nd U")</f>
        <v>2nd U</v>
      </c>
      <c r="N721" s="25" t="str">
        <f ca="1">IFERROR(__xludf.DUMMYFUNCTION("""COMPUTED_VALUE"""),"Accepted")</f>
        <v>Accepted</v>
      </c>
      <c r="O721" s="28" t="str">
        <f ca="1">IFERROR(__xludf.DUMMYFUNCTION("""COMPUTED_VALUE"""),"photographed")</f>
        <v>photographed</v>
      </c>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c r="AQ721" s="25"/>
      <c r="AR721" s="25"/>
      <c r="AS721" s="25"/>
      <c r="AT721" s="25"/>
      <c r="AU721" s="25"/>
      <c r="AV721" s="25"/>
      <c r="AW721" s="25"/>
      <c r="AX721" s="25"/>
      <c r="AY721" s="25"/>
      <c r="AZ721" s="25"/>
      <c r="BA721" s="25"/>
      <c r="BB721" s="25"/>
      <c r="BC721" s="25"/>
      <c r="BD721" s="25"/>
      <c r="BE721" s="25"/>
      <c r="BF721" s="25"/>
      <c r="BG721" s="25"/>
      <c r="BH721" s="25"/>
      <c r="BI721" s="25"/>
      <c r="BJ721" s="25"/>
      <c r="BK721" s="25"/>
      <c r="BL721" s="25"/>
      <c r="BM721" s="25"/>
      <c r="BN721" s="25"/>
      <c r="BO721" s="25"/>
      <c r="BP721" s="25"/>
      <c r="BQ721" s="25"/>
      <c r="BR721" s="25"/>
      <c r="BS721" s="25"/>
      <c r="BT721" s="25"/>
      <c r="BU721" s="25"/>
      <c r="BV721" s="25"/>
      <c r="BW721" s="25"/>
      <c r="BX721" s="25"/>
      <c r="BY721" s="25"/>
      <c r="BZ721" s="25"/>
      <c r="CA721" s="25"/>
      <c r="CB721" s="25"/>
    </row>
    <row r="722" spans="1:80" ht="13.5" hidden="1" customHeight="1">
      <c r="A722" s="10">
        <f ca="1">IFERROR(__xludf.DUMMYFUNCTION("""COMPUTED_VALUE"""),2011)</f>
        <v>2011</v>
      </c>
      <c r="B722" s="50">
        <f ca="1">IFERROR(__xludf.DUMMYFUNCTION("""COMPUTED_VALUE"""),41151)</f>
        <v>41151</v>
      </c>
      <c r="C722" s="41">
        <f ca="1">IFERROR(__xludf.DUMMYFUNCTION("""COMPUTED_VALUE"""),41150)</f>
        <v>41150</v>
      </c>
      <c r="D722" s="42" t="str">
        <f ca="1">IFERROR(__xludf.DUMMYFUNCTION("""COMPUTED_VALUE"""),"Yellow-browed Warbler")</f>
        <v>Yellow-browed Warbler</v>
      </c>
      <c r="E722" s="53">
        <f ca="1">IFERROR(__xludf.DUMMYFUNCTION("""COMPUTED_VALUE"""),1)</f>
        <v>1</v>
      </c>
      <c r="F722" s="15" t="str">
        <f ca="1">IFERROR(__xludf.DUMMYFUNCTION("""COMPUTED_VALUE"""),"""male""")</f>
        <v>"male"</v>
      </c>
      <c r="G722" s="44" t="str">
        <f ca="1">IFERROR(__xludf.DUMMYFUNCTION("""COMPUTED_VALUE"""),"Red Rocks, Hoylake")</f>
        <v>Red Rocks, Hoylake</v>
      </c>
      <c r="H722" s="12">
        <f ca="1">IFERROR(__xludf.DUMMYFUNCTION("""COMPUTED_VALUE"""),40831)</f>
        <v>40831</v>
      </c>
      <c r="I722" s="13"/>
      <c r="J722" s="14" t="str">
        <f ca="1">IFERROR(__xludf.DUMMYFUNCTION("""COMPUTED_VALUE"""),"Turner, JE")</f>
        <v>Turner, JE</v>
      </c>
      <c r="K722" s="43" t="str">
        <f ca="1">IFERROR(__xludf.DUMMYFUNCTION("""COMPUTED_VALUE"""),"Turner, JE")</f>
        <v>Turner, JE</v>
      </c>
      <c r="L722" s="17" t="str">
        <f ca="1">IFERROR(__xludf.DUMMYFUNCTION("""COMPUTED_VALUE"""),"closed")</f>
        <v>closed</v>
      </c>
      <c r="M722" s="17" t="str">
        <f ca="1">IFERROR(__xludf.DUMMYFUNCTION("""COMPUTED_VALUE"""),"1st U")</f>
        <v>1st U</v>
      </c>
      <c r="N722" s="43" t="str">
        <f ca="1">IFERROR(__xludf.DUMMYFUNCTION("""COMPUTED_VALUE"""),"accepted")</f>
        <v>accepted</v>
      </c>
      <c r="O722" s="66"/>
      <c r="P722" s="43"/>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row>
    <row r="723" spans="1:80" ht="13.5" hidden="1" customHeight="1">
      <c r="A723" s="20">
        <f ca="1">IFERROR(__xludf.DUMMYFUNCTION("""COMPUTED_VALUE"""),2011)</f>
        <v>2011</v>
      </c>
      <c r="B723" s="45">
        <f ca="1">IFERROR(__xludf.DUMMYFUNCTION("""COMPUTED_VALUE"""),41151)</f>
        <v>41151</v>
      </c>
      <c r="C723" s="46">
        <f ca="1">IFERROR(__xludf.DUMMYFUNCTION("""COMPUTED_VALUE"""),41150)</f>
        <v>41150</v>
      </c>
      <c r="D723" s="47" t="str">
        <f ca="1">IFERROR(__xludf.DUMMYFUNCTION("""COMPUTED_VALUE"""),"Yellow-browed Warbler")</f>
        <v>Yellow-browed Warbler</v>
      </c>
      <c r="E723" s="52">
        <f ca="1">IFERROR(__xludf.DUMMYFUNCTION("""COMPUTED_VALUE"""),1)</f>
        <v>1</v>
      </c>
      <c r="F723" s="25"/>
      <c r="G723" s="48" t="str">
        <f ca="1">IFERROR(__xludf.DUMMYFUNCTION("""COMPUTED_VALUE"""),"Leasowe")</f>
        <v>Leasowe</v>
      </c>
      <c r="H723" s="22">
        <f ca="1">IFERROR(__xludf.DUMMYFUNCTION("""COMPUTED_VALUE"""),40830)</f>
        <v>40830</v>
      </c>
      <c r="I723" s="22"/>
      <c r="J723" s="24" t="str">
        <f ca="1">IFERROR(__xludf.DUMMYFUNCTION("""COMPUTED_VALUE"""),"Williams, E")</f>
        <v>Williams, E</v>
      </c>
      <c r="K723" s="25" t="str">
        <f ca="1">IFERROR(__xludf.DUMMYFUNCTION("""COMPUTED_VALUE"""),"Williams, E")</f>
        <v>Williams, E</v>
      </c>
      <c r="L723" s="27" t="str">
        <f ca="1">IFERROR(__xludf.DUMMYFUNCTION("""COMPUTED_VALUE"""),"closed")</f>
        <v>closed</v>
      </c>
      <c r="M723" s="27" t="str">
        <f ca="1">IFERROR(__xludf.DUMMYFUNCTION("""COMPUTED_VALUE"""),"1st U")</f>
        <v>1st U</v>
      </c>
      <c r="N723" s="25" t="str">
        <f ca="1">IFERROR(__xludf.DUMMYFUNCTION("""COMPUTED_VALUE"""),"accepted")</f>
        <v>accepted</v>
      </c>
      <c r="O723" s="28"/>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c r="AQ723" s="25"/>
      <c r="AR723" s="25"/>
      <c r="AS723" s="25"/>
      <c r="AT723" s="25"/>
      <c r="AU723" s="25"/>
      <c r="AV723" s="25"/>
      <c r="AW723" s="25"/>
      <c r="AX723" s="25"/>
      <c r="AY723" s="25"/>
      <c r="AZ723" s="25"/>
      <c r="BA723" s="25"/>
      <c r="BB723" s="25"/>
      <c r="BC723" s="25"/>
      <c r="BD723" s="25"/>
      <c r="BE723" s="25"/>
      <c r="BF723" s="25"/>
      <c r="BG723" s="25"/>
      <c r="BH723" s="25"/>
      <c r="BI723" s="25"/>
      <c r="BJ723" s="25"/>
      <c r="BK723" s="25"/>
      <c r="BL723" s="25"/>
      <c r="BM723" s="25"/>
      <c r="BN723" s="25"/>
      <c r="BO723" s="25"/>
      <c r="BP723" s="25"/>
      <c r="BQ723" s="25"/>
      <c r="BR723" s="25"/>
      <c r="BS723" s="25"/>
      <c r="BT723" s="25"/>
      <c r="BU723" s="25"/>
      <c r="BV723" s="25"/>
      <c r="BW723" s="25"/>
      <c r="BX723" s="25"/>
      <c r="BY723" s="25"/>
      <c r="BZ723" s="25"/>
      <c r="CA723" s="25"/>
      <c r="CB723" s="25"/>
    </row>
    <row r="724" spans="1:80" ht="13.5" hidden="1" customHeight="1">
      <c r="A724" s="10">
        <f ca="1">IFERROR(__xludf.DUMMYFUNCTION("""COMPUTED_VALUE"""),2011)</f>
        <v>2011</v>
      </c>
      <c r="B724" s="50">
        <f ca="1">IFERROR(__xludf.DUMMYFUNCTION("""COMPUTED_VALUE"""),41151)</f>
        <v>41151</v>
      </c>
      <c r="C724" s="41">
        <f ca="1">IFERROR(__xludf.DUMMYFUNCTION("""COMPUTED_VALUE"""),41151)</f>
        <v>41151</v>
      </c>
      <c r="D724" s="42" t="str">
        <f ca="1">IFERROR(__xludf.DUMMYFUNCTION("""COMPUTED_VALUE"""),"Chiffchaff (abientinus)")</f>
        <v>Chiffchaff (abientinus)</v>
      </c>
      <c r="E724" s="53">
        <f ca="1">IFERROR(__xludf.DUMMYFUNCTION("""COMPUTED_VALUE"""),1)</f>
        <v>1</v>
      </c>
      <c r="F724" s="15"/>
      <c r="G724" s="44" t="str">
        <f ca="1">IFERROR(__xludf.DUMMYFUNCTION("""COMPUTED_VALUE"""),"Leasowe")</f>
        <v>Leasowe</v>
      </c>
      <c r="H724" s="12">
        <f ca="1">IFERROR(__xludf.DUMMYFUNCTION("""COMPUTED_VALUE"""),40846)</f>
        <v>40846</v>
      </c>
      <c r="I724" s="13"/>
      <c r="J724" s="14" t="str">
        <f ca="1">IFERROR(__xludf.DUMMYFUNCTION("""COMPUTED_VALUE"""),"Williams, E")</f>
        <v>Williams, E</v>
      </c>
      <c r="K724" s="43" t="str">
        <f ca="1">IFERROR(__xludf.DUMMYFUNCTION("""COMPUTED_VALUE"""),"same &amp; Kenny Dummigan")</f>
        <v>same &amp; Kenny Dummigan</v>
      </c>
      <c r="L724" s="17" t="str">
        <f ca="1">IFERROR(__xludf.DUMMYFUNCTION("""COMPUTED_VALUE"""),"closed")</f>
        <v>closed</v>
      </c>
      <c r="M724" s="17" t="str">
        <f ca="1">IFERROR(__xludf.DUMMYFUNCTION("""COMPUTED_VALUE"""),"1st U")</f>
        <v>1st U</v>
      </c>
      <c r="N724" s="15" t="str">
        <f ca="1">IFERROR(__xludf.DUMMYFUNCTION("""COMPUTED_VALUE"""),"accepted")</f>
        <v>accepted</v>
      </c>
      <c r="O724" s="66"/>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row>
    <row r="725" spans="1:80" ht="13.5" hidden="1" customHeight="1">
      <c r="A725" s="20">
        <f ca="1">IFERROR(__xludf.DUMMYFUNCTION("""COMPUTED_VALUE"""),2011)</f>
        <v>2011</v>
      </c>
      <c r="B725" s="45">
        <f ca="1">IFERROR(__xludf.DUMMYFUNCTION("""COMPUTED_VALUE"""),44568)</f>
        <v>44568</v>
      </c>
      <c r="C725" s="46"/>
      <c r="D725" s="47" t="str">
        <f ca="1">IFERROR(__xludf.DUMMYFUNCTION("""COMPUTED_VALUE"""),"Red-flanked Blue-tail")</f>
        <v>Red-flanked Blue-tail</v>
      </c>
      <c r="E725" s="52"/>
      <c r="F725" s="25"/>
      <c r="G725" s="48" t="str">
        <f ca="1">IFERROR(__xludf.DUMMYFUNCTION("""COMPUTED_VALUE"""),"Hilbre")</f>
        <v>Hilbre</v>
      </c>
      <c r="H725" s="22">
        <f ca="1">IFERROR(__xludf.DUMMYFUNCTION("""COMPUTED_VALUE"""),40832)</f>
        <v>40832</v>
      </c>
      <c r="I725" s="23"/>
      <c r="J725" s="24"/>
      <c r="K725" s="64"/>
      <c r="L725" s="27" t="str">
        <f ca="1">IFERROR(__xludf.DUMMYFUNCTION("""COMPUTED_VALUE"""),"closed")</f>
        <v>closed</v>
      </c>
      <c r="M725" s="27"/>
      <c r="N725" s="25" t="str">
        <f ca="1">IFERROR(__xludf.DUMMYFUNCTION("""COMPUTED_VALUE"""),"BBRC-OK")</f>
        <v>BBRC-OK</v>
      </c>
      <c r="O725" s="65" t="str">
        <f ca="1">IFERROR(__xludf.DUMMYFUNCTION("""COMPUTED_VALUE"""),"Hilbre Island, Wirral, first-winter, trapped, 16th October, photo.")</f>
        <v>Hilbre Island, Wirral, first-winter, trapped, 16th October, photo.</v>
      </c>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c r="AQ725" s="25"/>
      <c r="AR725" s="25"/>
      <c r="AS725" s="25"/>
      <c r="AT725" s="25"/>
      <c r="AU725" s="25"/>
      <c r="AV725" s="25"/>
      <c r="AW725" s="25"/>
      <c r="AX725" s="25"/>
      <c r="AY725" s="25"/>
      <c r="AZ725" s="25"/>
      <c r="BA725" s="25"/>
      <c r="BB725" s="25"/>
      <c r="BC725" s="25"/>
      <c r="BD725" s="25"/>
      <c r="BE725" s="25"/>
      <c r="BF725" s="25"/>
      <c r="BG725" s="25"/>
      <c r="BH725" s="25"/>
      <c r="BI725" s="25"/>
      <c r="BJ725" s="25"/>
      <c r="BK725" s="25"/>
      <c r="BL725" s="25"/>
      <c r="BM725" s="25"/>
      <c r="BN725" s="25"/>
      <c r="BO725" s="25"/>
      <c r="BP725" s="25"/>
      <c r="BQ725" s="25"/>
      <c r="BR725" s="25"/>
      <c r="BS725" s="25"/>
      <c r="BT725" s="25"/>
      <c r="BU725" s="25"/>
      <c r="BV725" s="25"/>
      <c r="BW725" s="25"/>
      <c r="BX725" s="25"/>
      <c r="BY725" s="25"/>
      <c r="BZ725" s="25"/>
      <c r="CA725" s="25"/>
      <c r="CB725" s="25"/>
    </row>
    <row r="726" spans="1:80" ht="13.5" hidden="1" customHeight="1">
      <c r="A726" s="10">
        <f ca="1">IFERROR(__xludf.DUMMYFUNCTION("""COMPUTED_VALUE"""),2011)</f>
        <v>2011</v>
      </c>
      <c r="B726" s="50">
        <f ca="1">IFERROR(__xludf.DUMMYFUNCTION("""COMPUTED_VALUE"""),41143)</f>
        <v>41143</v>
      </c>
      <c r="C726" s="41">
        <f ca="1">IFERROR(__xludf.DUMMYFUNCTION("""COMPUTED_VALUE"""),41143)</f>
        <v>41143</v>
      </c>
      <c r="D726" s="42" t="str">
        <f ca="1">IFERROR(__xludf.DUMMYFUNCTION("""COMPUTED_VALUE"""),"Black Redstart")</f>
        <v>Black Redstart</v>
      </c>
      <c r="E726" s="53">
        <f ca="1">IFERROR(__xludf.DUMMYFUNCTION("""COMPUTED_VALUE"""),1)</f>
        <v>1</v>
      </c>
      <c r="F726" s="15" t="str">
        <f ca="1">IFERROR(__xludf.DUMMYFUNCTION("""COMPUTED_VALUE"""),"m")</f>
        <v>m</v>
      </c>
      <c r="G726" s="44" t="str">
        <f ca="1">IFERROR(__xludf.DUMMYFUNCTION("""COMPUTED_VALUE"""),"Lapwing Lane, Chelford")</f>
        <v>Lapwing Lane, Chelford</v>
      </c>
      <c r="H726" s="12">
        <f ca="1">IFERROR(__xludf.DUMMYFUNCTION("""COMPUTED_VALUE"""),40628)</f>
        <v>40628</v>
      </c>
      <c r="I726" s="13"/>
      <c r="J726" s="14" t="str">
        <f ca="1">IFERROR(__xludf.DUMMYFUNCTION("""COMPUTED_VALUE"""),"DC&amp; DB")</f>
        <v>DC&amp; DB</v>
      </c>
      <c r="K726" s="43" t="str">
        <f ca="1">IFERROR(__xludf.DUMMYFUNCTION("""COMPUTED_VALUE"""),"David Collis")</f>
        <v>David Collis</v>
      </c>
      <c r="L726" s="17" t="str">
        <f ca="1">IFERROR(__xludf.DUMMYFUNCTION("""COMPUTED_VALUE"""),"closed")</f>
        <v>closed</v>
      </c>
      <c r="M726" s="17" t="str">
        <f ca="1">IFERROR(__xludf.DUMMYFUNCTION("""COMPUTED_VALUE"""),"1st U")</f>
        <v>1st U</v>
      </c>
      <c r="N726" s="43" t="str">
        <f ca="1">IFERROR(__xludf.DUMMYFUNCTION("""COMPUTED_VALUE"""),"accepted")</f>
        <v>accepted</v>
      </c>
      <c r="O726" s="66" t="str">
        <f ca="1">IFERROR(__xludf.DUMMYFUNCTION("""COMPUTED_VALUE"""),"singing")</f>
        <v>singing</v>
      </c>
      <c r="P726" s="43"/>
      <c r="Q726" s="58"/>
      <c r="R726" s="58"/>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row>
    <row r="727" spans="1:80" ht="13.5" hidden="1" customHeight="1">
      <c r="A727" s="20">
        <f ca="1">IFERROR(__xludf.DUMMYFUNCTION("""COMPUTED_VALUE"""),2011)</f>
        <v>2011</v>
      </c>
      <c r="B727" s="45">
        <f ca="1">IFERROR(__xludf.DUMMYFUNCTION("""COMPUTED_VALUE"""),41162)</f>
        <v>41162</v>
      </c>
      <c r="C727" s="46">
        <f ca="1">IFERROR(__xludf.DUMMYFUNCTION("""COMPUTED_VALUE"""),41163)</f>
        <v>41163</v>
      </c>
      <c r="D727" s="47" t="str">
        <f ca="1">IFERROR(__xludf.DUMMYFUNCTION("""COMPUTED_VALUE"""),"Richard's Pipit")</f>
        <v>Richard's Pipit</v>
      </c>
      <c r="E727" s="52">
        <f ca="1">IFERROR(__xludf.DUMMYFUNCTION("""COMPUTED_VALUE"""),1)</f>
        <v>1</v>
      </c>
      <c r="F727" s="25">
        <f ca="1">IFERROR(__xludf.DUMMYFUNCTION("""COMPUTED_VALUE"""),1)</f>
        <v>1</v>
      </c>
      <c r="G727" s="48" t="str">
        <f ca="1">IFERROR(__xludf.DUMMYFUNCTION("""COMPUTED_VALUE"""),"Hilbre")</f>
        <v>Hilbre</v>
      </c>
      <c r="H727" s="22">
        <f ca="1">IFERROR(__xludf.DUMMYFUNCTION("""COMPUTED_VALUE"""),40831)</f>
        <v>40831</v>
      </c>
      <c r="I727" s="23"/>
      <c r="J727" s="24" t="str">
        <f ca="1">IFERROR(__xludf.DUMMYFUNCTION("""COMPUTED_VALUE"""),"HiBO, SRW, BH")</f>
        <v>HiBO, SRW, BH</v>
      </c>
      <c r="K727" s="64" t="str">
        <f ca="1">IFERROR(__xludf.DUMMYFUNCTION("""COMPUTED_VALUE"""),"Brian Henshaw")</f>
        <v>Brian Henshaw</v>
      </c>
      <c r="L727" s="27" t="str">
        <f ca="1">IFERROR(__xludf.DUMMYFUNCTION("""COMPUTED_VALUE"""),"closed")</f>
        <v>closed</v>
      </c>
      <c r="M727" s="27" t="str">
        <f ca="1">IFERROR(__xludf.DUMMYFUNCTION("""COMPUTED_VALUE"""),"1st U")</f>
        <v>1st U</v>
      </c>
      <c r="N727" s="25" t="str">
        <f ca="1">IFERROR(__xludf.DUMMYFUNCTION("""COMPUTED_VALUE"""),"accepted")</f>
        <v>accepted</v>
      </c>
      <c r="O727" s="65" t="str">
        <f ca="1">IFERROR(__xludf.DUMMYFUNCTION("""COMPUTED_VALUE"""),"S End-flew to Red Rocks")</f>
        <v>S End-flew to Red Rocks</v>
      </c>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c r="AQ727" s="25"/>
      <c r="AR727" s="25"/>
      <c r="AS727" s="25"/>
      <c r="AT727" s="25"/>
      <c r="AU727" s="25"/>
      <c r="AV727" s="25"/>
      <c r="AW727" s="25"/>
      <c r="AX727" s="25"/>
      <c r="AY727" s="25"/>
      <c r="AZ727" s="25"/>
      <c r="BA727" s="25"/>
      <c r="BB727" s="25"/>
      <c r="BC727" s="25"/>
      <c r="BD727" s="25"/>
      <c r="BE727" s="25"/>
      <c r="BF727" s="25"/>
      <c r="BG727" s="25"/>
      <c r="BH727" s="25"/>
      <c r="BI727" s="25"/>
      <c r="BJ727" s="25"/>
      <c r="BK727" s="25"/>
      <c r="BL727" s="25"/>
      <c r="BM727" s="25"/>
      <c r="BN727" s="25"/>
      <c r="BO727" s="25"/>
      <c r="BP727" s="25"/>
      <c r="BQ727" s="25"/>
      <c r="BR727" s="25"/>
      <c r="BS727" s="25"/>
      <c r="BT727" s="25"/>
      <c r="BU727" s="25"/>
      <c r="BV727" s="25"/>
      <c r="BW727" s="25"/>
      <c r="BX727" s="25"/>
      <c r="BY727" s="25"/>
      <c r="BZ727" s="25"/>
      <c r="CA727" s="25"/>
      <c r="CB727" s="25"/>
    </row>
    <row r="728" spans="1:80" ht="13.5" hidden="1" customHeight="1">
      <c r="A728" s="10">
        <f ca="1">IFERROR(__xludf.DUMMYFUNCTION("""COMPUTED_VALUE"""),2011)</f>
        <v>2011</v>
      </c>
      <c r="B728" s="50">
        <f ca="1">IFERROR(__xludf.DUMMYFUNCTION("""COMPUTED_VALUE"""),41152)</f>
        <v>41152</v>
      </c>
      <c r="C728" s="41">
        <f ca="1">IFERROR(__xludf.DUMMYFUNCTION("""COMPUTED_VALUE"""),41151)</f>
        <v>41151</v>
      </c>
      <c r="D728" s="42" t="str">
        <f ca="1">IFERROR(__xludf.DUMMYFUNCTION("""COMPUTED_VALUE"""),"Richard's Pipit")</f>
        <v>Richard's Pipit</v>
      </c>
      <c r="E728" s="53">
        <f ca="1">IFERROR(__xludf.DUMMYFUNCTION("""COMPUTED_VALUE"""),1)</f>
        <v>1</v>
      </c>
      <c r="F728" s="15">
        <f ca="1">IFERROR(__xludf.DUMMYFUNCTION("""COMPUTED_VALUE"""),1)</f>
        <v>1</v>
      </c>
      <c r="G728" s="44" t="str">
        <f ca="1">IFERROR(__xludf.DUMMYFUNCTION("""COMPUTED_VALUE"""),"Leasowe")</f>
        <v>Leasowe</v>
      </c>
      <c r="H728" s="12">
        <f ca="1">IFERROR(__xludf.DUMMYFUNCTION("""COMPUTED_VALUE"""),40860)</f>
        <v>40860</v>
      </c>
      <c r="I728" s="12">
        <f ca="1">IFERROR(__xludf.DUMMYFUNCTION("""COMPUTED_VALUE"""),40865)</f>
        <v>40865</v>
      </c>
      <c r="J728" s="14" t="str">
        <f ca="1">IFERROR(__xludf.DUMMYFUNCTION("""COMPUTED_VALUE"""),"Woollen, P")</f>
        <v>Woollen, P</v>
      </c>
      <c r="K728" s="15" t="str">
        <f ca="1">IFERROR(__xludf.DUMMYFUNCTION("""COMPUTED_VALUE"""),"Allan Conlin")</f>
        <v>Allan Conlin</v>
      </c>
      <c r="L728" s="17" t="str">
        <f ca="1">IFERROR(__xludf.DUMMYFUNCTION("""COMPUTED_VALUE"""),"closed")</f>
        <v>closed</v>
      </c>
      <c r="M728" s="17" t="str">
        <f ca="1">IFERROR(__xludf.DUMMYFUNCTION("""COMPUTED_VALUE"""),"1st U")</f>
        <v>1st U</v>
      </c>
      <c r="N728" s="43" t="str">
        <f ca="1">IFERROR(__xludf.DUMMYFUNCTION("""COMPUTED_VALUE"""),"accepted")</f>
        <v>accepted</v>
      </c>
      <c r="O728" s="18" t="str">
        <f ca="1">IFERROR(__xludf.DUMMYFUNCTION("""COMPUTED_VALUE"""),"In inland fields. Photographed in flight on 15th PSW")</f>
        <v>In inland fields. Photographed in flight on 15th PSW</v>
      </c>
      <c r="P728" s="43"/>
      <c r="Q728" s="58"/>
      <c r="R728" s="58"/>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row>
    <row r="729" spans="1:80" ht="13.5" hidden="1" customHeight="1">
      <c r="A729" s="20">
        <f ca="1">IFERROR(__xludf.DUMMYFUNCTION("""COMPUTED_VALUE"""),2011)</f>
        <v>2011</v>
      </c>
      <c r="B729" s="45">
        <f ca="1">IFERROR(__xludf.DUMMYFUNCTION("""COMPUTED_VALUE"""),41151)</f>
        <v>41151</v>
      </c>
      <c r="C729" s="46">
        <f ca="1">IFERROR(__xludf.DUMMYFUNCTION("""COMPUTED_VALUE"""),41143)</f>
        <v>41143</v>
      </c>
      <c r="D729" s="47" t="str">
        <f ca="1">IFERROR(__xludf.DUMMYFUNCTION("""COMPUTED_VALUE"""),"Hawfinch")</f>
        <v>Hawfinch</v>
      </c>
      <c r="E729" s="52">
        <f ca="1">IFERROR(__xludf.DUMMYFUNCTION("""COMPUTED_VALUE"""),1)</f>
        <v>1</v>
      </c>
      <c r="F729" s="25"/>
      <c r="G729" s="48" t="str">
        <f ca="1">IFERROR(__xludf.DUMMYFUNCTION("""COMPUTED_VALUE"""),"Hale shore")</f>
        <v>Hale shore</v>
      </c>
      <c r="H729" s="22">
        <f ca="1">IFERROR(__xludf.DUMMYFUNCTION("""COMPUTED_VALUE"""),40856)</f>
        <v>40856</v>
      </c>
      <c r="I729" s="23"/>
      <c r="J729" s="24" t="str">
        <f ca="1">IFERROR(__xludf.DUMMYFUNCTION("""COMPUTED_VALUE"""),"Cockbain, RP&amp;CA")</f>
        <v>Cockbain, RP&amp;CA</v>
      </c>
      <c r="K729" s="25" t="str">
        <f ca="1">IFERROR(__xludf.DUMMYFUNCTION("""COMPUTED_VALUE"""),"Cockbain, RP&amp;CA")</f>
        <v>Cockbain, RP&amp;CA</v>
      </c>
      <c r="L729" s="27" t="str">
        <f ca="1">IFERROR(__xludf.DUMMYFUNCTION("""COMPUTED_VALUE"""),"closed")</f>
        <v>closed</v>
      </c>
      <c r="M729" s="27" t="str">
        <f ca="1">IFERROR(__xludf.DUMMYFUNCTION("""COMPUTED_VALUE"""),"1st U")</f>
        <v>1st U</v>
      </c>
      <c r="N729" s="25" t="str">
        <f ca="1">IFERROR(__xludf.DUMMYFUNCTION("""COMPUTED_VALUE"""),"accepted")</f>
        <v>accepted</v>
      </c>
      <c r="O729" s="28"/>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c r="AQ729" s="25"/>
      <c r="AR729" s="25"/>
      <c r="AS729" s="25"/>
      <c r="AT729" s="25"/>
      <c r="AU729" s="25"/>
      <c r="AV729" s="25"/>
      <c r="AW729" s="25"/>
      <c r="AX729" s="25"/>
      <c r="AY729" s="25"/>
      <c r="AZ729" s="25"/>
      <c r="BA729" s="25"/>
      <c r="BB729" s="25"/>
      <c r="BC729" s="25"/>
      <c r="BD729" s="25"/>
      <c r="BE729" s="25"/>
      <c r="BF729" s="25"/>
      <c r="BG729" s="25"/>
      <c r="BH729" s="25"/>
      <c r="BI729" s="25"/>
      <c r="BJ729" s="25"/>
      <c r="BK729" s="25"/>
      <c r="BL729" s="25"/>
      <c r="BM729" s="25"/>
      <c r="BN729" s="25"/>
      <c r="BO729" s="25"/>
      <c r="BP729" s="25"/>
      <c r="BQ729" s="25"/>
      <c r="BR729" s="25"/>
      <c r="BS729" s="25"/>
      <c r="BT729" s="25"/>
      <c r="BU729" s="25"/>
      <c r="BV729" s="25"/>
      <c r="BW729" s="25"/>
      <c r="BX729" s="25"/>
      <c r="BY729" s="25"/>
      <c r="BZ729" s="25"/>
      <c r="CA729" s="25"/>
      <c r="CB729" s="25"/>
    </row>
    <row r="730" spans="1:80" ht="13.5" hidden="1" customHeight="1">
      <c r="A730" s="10">
        <f ca="1">IFERROR(__xludf.DUMMYFUNCTION("""COMPUTED_VALUE"""),2011)</f>
        <v>2011</v>
      </c>
      <c r="B730" s="50">
        <f ca="1">IFERROR(__xludf.DUMMYFUNCTION("""COMPUTED_VALUE"""),41151)</f>
        <v>41151</v>
      </c>
      <c r="C730" s="41">
        <f ca="1">IFERROR(__xludf.DUMMYFUNCTION("""COMPUTED_VALUE"""),41144)</f>
        <v>41144</v>
      </c>
      <c r="D730" s="42" t="str">
        <f ca="1">IFERROR(__xludf.DUMMYFUNCTION("""COMPUTED_VALUE"""),"Lapland Bunting")</f>
        <v>Lapland Bunting</v>
      </c>
      <c r="E730" s="53">
        <f ca="1">IFERROR(__xludf.DUMMYFUNCTION("""COMPUTED_VALUE"""),1)</f>
        <v>1</v>
      </c>
      <c r="F730" s="15"/>
      <c r="G730" s="44" t="str">
        <f ca="1">IFERROR(__xludf.DUMMYFUNCTION("""COMPUTED_VALUE"""),"Hale Shore")</f>
        <v>Hale Shore</v>
      </c>
      <c r="H730" s="12">
        <f ca="1">IFERROR(__xludf.DUMMYFUNCTION("""COMPUTED_VALUE"""),40814)</f>
        <v>40814</v>
      </c>
      <c r="I730" s="13"/>
      <c r="J730" s="14" t="str">
        <f ca="1">IFERROR(__xludf.DUMMYFUNCTION("""COMPUTED_VALUE"""),"Cockbain, RP&amp;CA")</f>
        <v>Cockbain, RP&amp;CA</v>
      </c>
      <c r="K730" s="15" t="str">
        <f ca="1">IFERROR(__xludf.DUMMYFUNCTION("""COMPUTED_VALUE"""),"Cockbain, RP&amp;CA")</f>
        <v>Cockbain, RP&amp;CA</v>
      </c>
      <c r="L730" s="17" t="str">
        <f ca="1">IFERROR(__xludf.DUMMYFUNCTION("""COMPUTED_VALUE"""),"closed")</f>
        <v>closed</v>
      </c>
      <c r="M730" s="17" t="str">
        <f ca="1">IFERROR(__xludf.DUMMYFUNCTION("""COMPUTED_VALUE"""),"1st U")</f>
        <v>1st U</v>
      </c>
      <c r="N730" s="15" t="str">
        <f ca="1">IFERROR(__xludf.DUMMYFUNCTION("""COMPUTED_VALUE"""),"accepted")</f>
        <v>accepted</v>
      </c>
      <c r="O730" s="18"/>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row>
    <row r="731" spans="1:80" ht="13.5" hidden="1" customHeight="1">
      <c r="A731" s="20">
        <f ca="1">IFERROR(__xludf.DUMMYFUNCTION("""COMPUTED_VALUE"""),2011)</f>
        <v>2011</v>
      </c>
      <c r="B731" s="45">
        <f ca="1">IFERROR(__xludf.DUMMYFUNCTION("""COMPUTED_VALUE"""),41151)</f>
        <v>41151</v>
      </c>
      <c r="C731" s="46">
        <f ca="1">IFERROR(__xludf.DUMMYFUNCTION("""COMPUTED_VALUE"""),41144)</f>
        <v>41144</v>
      </c>
      <c r="D731" s="47" t="str">
        <f ca="1">IFERROR(__xludf.DUMMYFUNCTION("""COMPUTED_VALUE"""),"Lapland Bunting")</f>
        <v>Lapland Bunting</v>
      </c>
      <c r="E731" s="52">
        <f ca="1">IFERROR(__xludf.DUMMYFUNCTION("""COMPUTED_VALUE"""),1)</f>
        <v>1</v>
      </c>
      <c r="F731" s="25"/>
      <c r="G731" s="48" t="str">
        <f ca="1">IFERROR(__xludf.DUMMYFUNCTION("""COMPUTED_VALUE"""),"Hale Shore")</f>
        <v>Hale Shore</v>
      </c>
      <c r="H731" s="22">
        <f ca="1">IFERROR(__xludf.DUMMYFUNCTION("""COMPUTED_VALUE"""),40830)</f>
        <v>40830</v>
      </c>
      <c r="I731" s="23"/>
      <c r="J731" s="24" t="str">
        <f ca="1">IFERROR(__xludf.DUMMYFUNCTION("""COMPUTED_VALUE"""),"Cockbain, RP&amp;CA")</f>
        <v>Cockbain, RP&amp;CA</v>
      </c>
      <c r="K731" s="25" t="str">
        <f ca="1">IFERROR(__xludf.DUMMYFUNCTION("""COMPUTED_VALUE"""),"Cockbain, RP&amp;CA")</f>
        <v>Cockbain, RP&amp;CA</v>
      </c>
      <c r="L731" s="27" t="str">
        <f ca="1">IFERROR(__xludf.DUMMYFUNCTION("""COMPUTED_VALUE"""),"closed")</f>
        <v>closed</v>
      </c>
      <c r="M731" s="27" t="str">
        <f ca="1">IFERROR(__xludf.DUMMYFUNCTION("""COMPUTED_VALUE"""),"1st U")</f>
        <v>1st U</v>
      </c>
      <c r="N731" s="25" t="str">
        <f ca="1">IFERROR(__xludf.DUMMYFUNCTION("""COMPUTED_VALUE"""),"accepted")</f>
        <v>accepted</v>
      </c>
      <c r="O731" s="28"/>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c r="AQ731" s="25"/>
      <c r="AR731" s="25"/>
      <c r="AS731" s="25"/>
      <c r="AT731" s="25"/>
      <c r="AU731" s="25"/>
      <c r="AV731" s="25"/>
      <c r="AW731" s="25"/>
      <c r="AX731" s="25"/>
      <c r="AY731" s="25"/>
      <c r="AZ731" s="25"/>
      <c r="BA731" s="25"/>
      <c r="BB731" s="25"/>
      <c r="BC731" s="25"/>
      <c r="BD731" s="25"/>
      <c r="BE731" s="25"/>
      <c r="BF731" s="25"/>
      <c r="BG731" s="25"/>
      <c r="BH731" s="25"/>
      <c r="BI731" s="25"/>
      <c r="BJ731" s="25"/>
      <c r="BK731" s="25"/>
      <c r="BL731" s="25"/>
      <c r="BM731" s="25"/>
      <c r="BN731" s="25"/>
      <c r="BO731" s="25"/>
      <c r="BP731" s="25"/>
      <c r="BQ731" s="25"/>
      <c r="BR731" s="25"/>
      <c r="BS731" s="25"/>
      <c r="BT731" s="25"/>
      <c r="BU731" s="25"/>
      <c r="BV731" s="25"/>
      <c r="BW731" s="25"/>
      <c r="BX731" s="25"/>
      <c r="BY731" s="25"/>
      <c r="BZ731" s="25"/>
      <c r="CA731" s="25"/>
      <c r="CB731" s="25"/>
    </row>
    <row r="732" spans="1:80" ht="13.5" hidden="1" customHeight="1">
      <c r="A732" s="10">
        <f ca="1">IFERROR(__xludf.DUMMYFUNCTION("""COMPUTED_VALUE"""),2011)</f>
        <v>2011</v>
      </c>
      <c r="B732" s="50">
        <f ca="1">IFERROR(__xludf.DUMMYFUNCTION("""COMPUTED_VALUE"""),41151)</f>
        <v>41151</v>
      </c>
      <c r="C732" s="41">
        <f ca="1">IFERROR(__xludf.DUMMYFUNCTION("""COMPUTED_VALUE"""),41144)</f>
        <v>41144</v>
      </c>
      <c r="D732" s="42" t="str">
        <f ca="1">IFERROR(__xludf.DUMMYFUNCTION("""COMPUTED_VALUE"""),"Lapland Bunting")</f>
        <v>Lapland Bunting</v>
      </c>
      <c r="E732" s="53">
        <f ca="1">IFERROR(__xludf.DUMMYFUNCTION("""COMPUTED_VALUE"""),1)</f>
        <v>1</v>
      </c>
      <c r="F732" s="15"/>
      <c r="G732" s="44" t="str">
        <f ca="1">IFERROR(__xludf.DUMMYFUNCTION("""COMPUTED_VALUE"""),"Hale")</f>
        <v>Hale</v>
      </c>
      <c r="H732" s="12">
        <f ca="1">IFERROR(__xludf.DUMMYFUNCTION("""COMPUTED_VALUE"""),40838)</f>
        <v>40838</v>
      </c>
      <c r="I732" s="13"/>
      <c r="J732" s="14" t="str">
        <f ca="1">IFERROR(__xludf.DUMMYFUNCTION("""COMPUTED_VALUE"""),"Cockbain, RP&amp;CA")</f>
        <v>Cockbain, RP&amp;CA</v>
      </c>
      <c r="K732" s="15" t="str">
        <f ca="1">IFERROR(__xludf.DUMMYFUNCTION("""COMPUTED_VALUE"""),"Cockbain, RP&amp;CA")</f>
        <v>Cockbain, RP&amp;CA</v>
      </c>
      <c r="L732" s="17" t="str">
        <f ca="1">IFERROR(__xludf.DUMMYFUNCTION("""COMPUTED_VALUE"""),"closed")</f>
        <v>closed</v>
      </c>
      <c r="M732" s="17" t="str">
        <f ca="1">IFERROR(__xludf.DUMMYFUNCTION("""COMPUTED_VALUE"""),"1st U")</f>
        <v>1st U</v>
      </c>
      <c r="N732" s="15" t="str">
        <f ca="1">IFERROR(__xludf.DUMMYFUNCTION("""COMPUTED_VALUE"""),"accepted")</f>
        <v>accepted</v>
      </c>
      <c r="O732" s="18"/>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row>
    <row r="733" spans="1:80" ht="13.5" hidden="1" customHeight="1">
      <c r="A733" s="20">
        <f ca="1">IFERROR(__xludf.DUMMYFUNCTION("""COMPUTED_VALUE"""),2011)</f>
        <v>2011</v>
      </c>
      <c r="B733" s="45">
        <f ca="1">IFERROR(__xludf.DUMMYFUNCTION("""COMPUTED_VALUE"""),41151)</f>
        <v>41151</v>
      </c>
      <c r="C733" s="46">
        <f ca="1">IFERROR(__xludf.DUMMYFUNCTION("""COMPUTED_VALUE"""),41144)</f>
        <v>41144</v>
      </c>
      <c r="D733" s="47" t="str">
        <f ca="1">IFERROR(__xludf.DUMMYFUNCTION("""COMPUTED_VALUE"""),"Lapland Bunting")</f>
        <v>Lapland Bunting</v>
      </c>
      <c r="E733" s="52">
        <f ca="1">IFERROR(__xludf.DUMMYFUNCTION("""COMPUTED_VALUE"""),1)</f>
        <v>1</v>
      </c>
      <c r="F733" s="25"/>
      <c r="G733" s="48" t="str">
        <f ca="1">IFERROR(__xludf.DUMMYFUNCTION("""COMPUTED_VALUE"""),"Hale")</f>
        <v>Hale</v>
      </c>
      <c r="H733" s="22">
        <f ca="1">IFERROR(__xludf.DUMMYFUNCTION("""COMPUTED_VALUE"""),40856)</f>
        <v>40856</v>
      </c>
      <c r="I733" s="23"/>
      <c r="J733" s="24" t="str">
        <f ca="1">IFERROR(__xludf.DUMMYFUNCTION("""COMPUTED_VALUE"""),"Cockbain, RP&amp;CA")</f>
        <v>Cockbain, RP&amp;CA</v>
      </c>
      <c r="K733" s="25" t="str">
        <f ca="1">IFERROR(__xludf.DUMMYFUNCTION("""COMPUTED_VALUE"""),"Cockbain, RP&amp;CA")</f>
        <v>Cockbain, RP&amp;CA</v>
      </c>
      <c r="L733" s="27" t="str">
        <f ca="1">IFERROR(__xludf.DUMMYFUNCTION("""COMPUTED_VALUE"""),"closed")</f>
        <v>closed</v>
      </c>
      <c r="M733" s="27" t="str">
        <f ca="1">IFERROR(__xludf.DUMMYFUNCTION("""COMPUTED_VALUE"""),"1st U")</f>
        <v>1st U</v>
      </c>
      <c r="N733" s="25" t="str">
        <f ca="1">IFERROR(__xludf.DUMMYFUNCTION("""COMPUTED_VALUE"""),"accepted")</f>
        <v>accepted</v>
      </c>
      <c r="O733" s="28"/>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c r="AQ733" s="25"/>
      <c r="AR733" s="25"/>
      <c r="AS733" s="25"/>
      <c r="AT733" s="25"/>
      <c r="AU733" s="25"/>
      <c r="AV733" s="25"/>
      <c r="AW733" s="25"/>
      <c r="AX733" s="25"/>
      <c r="AY733" s="25"/>
      <c r="AZ733" s="25"/>
      <c r="BA733" s="25"/>
      <c r="BB733" s="25"/>
      <c r="BC733" s="25"/>
      <c r="BD733" s="25"/>
      <c r="BE733" s="25"/>
      <c r="BF733" s="25"/>
      <c r="BG733" s="25"/>
      <c r="BH733" s="25"/>
      <c r="BI733" s="25"/>
      <c r="BJ733" s="25"/>
      <c r="BK733" s="25"/>
      <c r="BL733" s="25"/>
      <c r="BM733" s="25"/>
      <c r="BN733" s="25"/>
      <c r="BO733" s="25"/>
      <c r="BP733" s="25"/>
      <c r="BQ733" s="25"/>
      <c r="BR733" s="25"/>
      <c r="BS733" s="25"/>
      <c r="BT733" s="25"/>
      <c r="BU733" s="25"/>
      <c r="BV733" s="25"/>
      <c r="BW733" s="25"/>
      <c r="BX733" s="25"/>
      <c r="BY733" s="25"/>
      <c r="BZ733" s="25"/>
      <c r="CA733" s="25"/>
      <c r="CB733" s="25"/>
    </row>
    <row r="734" spans="1:80" ht="13.5" hidden="1" customHeight="1">
      <c r="A734" s="10">
        <f ca="1">IFERROR(__xludf.DUMMYFUNCTION("""COMPUTED_VALUE"""),2011)</f>
        <v>2011</v>
      </c>
      <c r="B734" s="50">
        <f ca="1">IFERROR(__xludf.DUMMYFUNCTION("""COMPUTED_VALUE"""),41151)</f>
        <v>41151</v>
      </c>
      <c r="C734" s="41">
        <f ca="1">IFERROR(__xludf.DUMMYFUNCTION("""COMPUTED_VALUE"""),41144)</f>
        <v>41144</v>
      </c>
      <c r="D734" s="42" t="str">
        <f ca="1">IFERROR(__xludf.DUMMYFUNCTION("""COMPUTED_VALUE"""),"Lapland Bunting")</f>
        <v>Lapland Bunting</v>
      </c>
      <c r="E734" s="53">
        <f ca="1">IFERROR(__xludf.DUMMYFUNCTION("""COMPUTED_VALUE"""),2)</f>
        <v>2</v>
      </c>
      <c r="F734" s="15"/>
      <c r="G734" s="44" t="str">
        <f ca="1">IFERROR(__xludf.DUMMYFUNCTION("""COMPUTED_VALUE"""),"Hale Shore")</f>
        <v>Hale Shore</v>
      </c>
      <c r="H734" s="12">
        <f ca="1">IFERROR(__xludf.DUMMYFUNCTION("""COMPUTED_VALUE"""),40863)</f>
        <v>40863</v>
      </c>
      <c r="I734" s="13"/>
      <c r="J734" s="14" t="str">
        <f ca="1">IFERROR(__xludf.DUMMYFUNCTION("""COMPUTED_VALUE"""),"Cockbain, RP&amp;CA")</f>
        <v>Cockbain, RP&amp;CA</v>
      </c>
      <c r="K734" s="15" t="str">
        <f ca="1">IFERROR(__xludf.DUMMYFUNCTION("""COMPUTED_VALUE"""),"Cockbain, RP&amp;CA")</f>
        <v>Cockbain, RP&amp;CA</v>
      </c>
      <c r="L734" s="17" t="str">
        <f ca="1">IFERROR(__xludf.DUMMYFUNCTION("""COMPUTED_VALUE"""),"closed")</f>
        <v>closed</v>
      </c>
      <c r="M734" s="17" t="str">
        <f ca="1">IFERROR(__xludf.DUMMYFUNCTION("""COMPUTED_VALUE"""),"1st U")</f>
        <v>1st U</v>
      </c>
      <c r="N734" s="15" t="str">
        <f ca="1">IFERROR(__xludf.DUMMYFUNCTION("""COMPUTED_VALUE"""),"accepted")</f>
        <v>accepted</v>
      </c>
      <c r="O734" s="18"/>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row>
    <row r="735" spans="1:80" ht="13.5" hidden="1" customHeight="1">
      <c r="A735" s="20">
        <f ca="1">IFERROR(__xludf.DUMMYFUNCTION("""COMPUTED_VALUE"""),2011)</f>
        <v>2011</v>
      </c>
      <c r="B735" s="45">
        <f ca="1">IFERROR(__xludf.DUMMYFUNCTION("""COMPUTED_VALUE"""),41022)</f>
        <v>41022</v>
      </c>
      <c r="C735" s="46">
        <f ca="1">IFERROR(__xludf.DUMMYFUNCTION("""COMPUTED_VALUE"""),41144)</f>
        <v>41144</v>
      </c>
      <c r="D735" s="47" t="str">
        <f ca="1">IFERROR(__xludf.DUMMYFUNCTION("""COMPUTED_VALUE"""),"Lapland Bunting")</f>
        <v>Lapland Bunting</v>
      </c>
      <c r="E735" s="52">
        <f ca="1">IFERROR(__xludf.DUMMYFUNCTION("""COMPUTED_VALUE"""),1)</f>
        <v>1</v>
      </c>
      <c r="F735" s="25"/>
      <c r="G735" s="48" t="str">
        <f ca="1">IFERROR(__xludf.DUMMYFUNCTION("""COMPUTED_VALUE"""),"Red Rocks, Hoylake")</f>
        <v>Red Rocks, Hoylake</v>
      </c>
      <c r="H735" s="22">
        <f ca="1">IFERROR(__xludf.DUMMYFUNCTION("""COMPUTED_VALUE"""),40831)</f>
        <v>40831</v>
      </c>
      <c r="I735" s="23"/>
      <c r="J735" s="24" t="str">
        <f ca="1">IFERROR(__xludf.DUMMYFUNCTION("""COMPUTED_VALUE"""),"Turner, JE")</f>
        <v>Turner, JE</v>
      </c>
      <c r="K735" s="25" t="str">
        <f ca="1">IFERROR(__xludf.DUMMYFUNCTION("""COMPUTED_VALUE"""),"Turner, JE")</f>
        <v>Turner, JE</v>
      </c>
      <c r="L735" s="27" t="str">
        <f ca="1">IFERROR(__xludf.DUMMYFUNCTION("""COMPUTED_VALUE"""),"closed")</f>
        <v>closed</v>
      </c>
      <c r="M735" s="27" t="str">
        <f ca="1">IFERROR(__xludf.DUMMYFUNCTION("""COMPUTED_VALUE"""),"1st U")</f>
        <v>1st U</v>
      </c>
      <c r="N735" s="25" t="str">
        <f ca="1">IFERROR(__xludf.DUMMYFUNCTION("""COMPUTED_VALUE"""),"accepted")</f>
        <v>accepted</v>
      </c>
      <c r="O735" s="28"/>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c r="AQ735" s="25"/>
      <c r="AR735" s="25"/>
      <c r="AS735" s="25"/>
      <c r="AT735" s="25"/>
      <c r="AU735" s="25"/>
      <c r="AV735" s="25"/>
      <c r="AW735" s="25"/>
      <c r="AX735" s="25"/>
      <c r="AY735" s="25"/>
      <c r="AZ735" s="25"/>
      <c r="BA735" s="25"/>
      <c r="BB735" s="25"/>
      <c r="BC735" s="25"/>
      <c r="BD735" s="25"/>
      <c r="BE735" s="25"/>
      <c r="BF735" s="25"/>
      <c r="BG735" s="25"/>
      <c r="BH735" s="25"/>
      <c r="BI735" s="25"/>
      <c r="BJ735" s="25"/>
      <c r="BK735" s="25"/>
      <c r="BL735" s="25"/>
      <c r="BM735" s="25"/>
      <c r="BN735" s="25"/>
      <c r="BO735" s="25"/>
      <c r="BP735" s="25"/>
      <c r="BQ735" s="25"/>
      <c r="BR735" s="25"/>
      <c r="BS735" s="25"/>
      <c r="BT735" s="25"/>
      <c r="BU735" s="25"/>
      <c r="BV735" s="25"/>
      <c r="BW735" s="25"/>
      <c r="BX735" s="25"/>
      <c r="BY735" s="25"/>
      <c r="BZ735" s="25"/>
      <c r="CA735" s="25"/>
      <c r="CB735" s="25"/>
    </row>
    <row r="736" spans="1:80" ht="13.5" hidden="1" customHeight="1">
      <c r="A736" s="10">
        <f ca="1">IFERROR(__xludf.DUMMYFUNCTION("""COMPUTED_VALUE"""),2011)</f>
        <v>2011</v>
      </c>
      <c r="B736" s="50">
        <f ca="1">IFERROR(__xludf.DUMMYFUNCTION("""COMPUTED_VALUE"""),44568)</f>
        <v>44568</v>
      </c>
      <c r="C736" s="41"/>
      <c r="D736" s="42" t="str">
        <f ca="1">IFERROR(__xludf.DUMMYFUNCTION("""COMPUTED_VALUE"""),"Blyth's Reed Warbler")</f>
        <v>Blyth's Reed Warbler</v>
      </c>
      <c r="E736" s="53"/>
      <c r="F736" s="15"/>
      <c r="G736" s="44" t="str">
        <f ca="1">IFERROR(__xludf.DUMMYFUNCTION("""COMPUTED_VALUE"""),"Hilbre")</f>
        <v>Hilbre</v>
      </c>
      <c r="H736" s="12">
        <f ca="1">IFERROR(__xludf.DUMMYFUNCTION("""COMPUTED_VALUE"""),40699)</f>
        <v>40699</v>
      </c>
      <c r="I736" s="13"/>
      <c r="J736" s="14"/>
      <c r="K736" s="15"/>
      <c r="L736" s="17" t="str">
        <f ca="1">IFERROR(__xludf.DUMMYFUNCTION("""COMPUTED_VALUE"""),"closed")</f>
        <v>closed</v>
      </c>
      <c r="M736" s="17"/>
      <c r="N736" s="15" t="str">
        <f ca="1">IFERROR(__xludf.DUMMYFUNCTION("""COMPUTED_VALUE"""),"BBRC-OK")</f>
        <v>BBRC-OK</v>
      </c>
      <c r="O736" s="18" t="str">
        <f ca="1">IFERROR(__xludf.DUMMYFUNCTION("""COMPUTED_VALUE"""),"Hilbre, Wirral, trapped, 5th June, photo.")</f>
        <v>Hilbre, Wirral, trapped, 5th June, photo.</v>
      </c>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row>
    <row r="737" spans="1:80" ht="13.5" hidden="1" customHeight="1">
      <c r="A737" s="20">
        <f ca="1">IFERROR(__xludf.DUMMYFUNCTION("""COMPUTED_VALUE"""),2012)</f>
        <v>2012</v>
      </c>
      <c r="B737" s="45" t="str">
        <f ca="1">IFERROR(__xludf.DUMMYFUNCTION("""COMPUTED_VALUE"""),"2/913")</f>
        <v>2/913</v>
      </c>
      <c r="C737" s="46">
        <f ca="1">IFERROR(__xludf.DUMMYFUNCTION("""COMPUTED_VALUE"""),41331)</f>
        <v>41331</v>
      </c>
      <c r="D737" s="47" t="str">
        <f ca="1">IFERROR(__xludf.DUMMYFUNCTION("""COMPUTED_VALUE"""),"Bean Goose [Tundra]")</f>
        <v>Bean Goose [Tundra]</v>
      </c>
      <c r="E737" s="52">
        <f ca="1">IFERROR(__xludf.DUMMYFUNCTION("""COMPUTED_VALUE"""),3)</f>
        <v>3</v>
      </c>
      <c r="F737" s="25"/>
      <c r="G737" s="48" t="str">
        <f ca="1">IFERROR(__xludf.DUMMYFUNCTION("""COMPUTED_VALUE"""),"Burton Mere Wetlands RSPB")</f>
        <v>Burton Mere Wetlands RSPB</v>
      </c>
      <c r="H737" s="22">
        <f ca="1">IFERROR(__xludf.DUMMYFUNCTION("""COMPUTED_VALUE"""),40910)</f>
        <v>40910</v>
      </c>
      <c r="I737" s="22">
        <f ca="1">IFERROR(__xludf.DUMMYFUNCTION("""COMPUTED_VALUE"""),40923)</f>
        <v>40923</v>
      </c>
      <c r="J737" s="24" t="str">
        <f ca="1">IFERROR(__xludf.DUMMYFUNCTION("""COMPUTED_VALUE"""),"Brady, Paul")</f>
        <v>Brady, Paul</v>
      </c>
      <c r="K737" s="25" t="str">
        <f ca="1">IFERROR(__xludf.DUMMYFUNCTION("""COMPUTED_VALUE"""),"Colin Wells")</f>
        <v>Colin Wells</v>
      </c>
      <c r="L737" s="27" t="str">
        <f ca="1">IFERROR(__xludf.DUMMYFUNCTION("""COMPUTED_VALUE"""),"closed")</f>
        <v>closed</v>
      </c>
      <c r="M737" s="27" t="str">
        <f ca="1">IFERROR(__xludf.DUMMYFUNCTION("""COMPUTED_VALUE"""),"1st U")</f>
        <v>1st U</v>
      </c>
      <c r="N737" s="25" t="str">
        <f ca="1">IFERROR(__xludf.DUMMYFUNCTION("""COMPUTED_VALUE"""),"accepted")</f>
        <v>accepted</v>
      </c>
      <c r="O737" s="28"/>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c r="AQ737" s="25"/>
      <c r="AR737" s="25"/>
      <c r="AS737" s="25"/>
      <c r="AT737" s="25"/>
      <c r="AU737" s="25"/>
      <c r="AV737" s="25"/>
      <c r="AW737" s="25"/>
      <c r="AX737" s="25"/>
      <c r="AY737" s="25"/>
      <c r="AZ737" s="25"/>
      <c r="BA737" s="25"/>
      <c r="BB737" s="25"/>
      <c r="BC737" s="25"/>
      <c r="BD737" s="25"/>
      <c r="BE737" s="25"/>
      <c r="BF737" s="25"/>
      <c r="BG737" s="25"/>
      <c r="BH737" s="25"/>
      <c r="BI737" s="25"/>
      <c r="BJ737" s="25"/>
      <c r="BK737" s="25"/>
      <c r="BL737" s="25"/>
      <c r="BM737" s="25"/>
      <c r="BN737" s="25"/>
      <c r="BO737" s="25"/>
      <c r="BP737" s="25"/>
      <c r="BQ737" s="25"/>
      <c r="BR737" s="25"/>
      <c r="BS737" s="25"/>
      <c r="BT737" s="25"/>
      <c r="BU737" s="25"/>
      <c r="BV737" s="25"/>
      <c r="BW737" s="25"/>
      <c r="BX737" s="25"/>
      <c r="BY737" s="25"/>
      <c r="BZ737" s="25"/>
      <c r="CA737" s="25"/>
      <c r="CB737" s="25"/>
    </row>
    <row r="738" spans="1:80" ht="13.5" hidden="1" customHeight="1">
      <c r="A738" s="10">
        <f ca="1">IFERROR(__xludf.DUMMYFUNCTION("""COMPUTED_VALUE"""),2012)</f>
        <v>2012</v>
      </c>
      <c r="B738" s="50">
        <f ca="1">IFERROR(__xludf.DUMMYFUNCTION("""COMPUTED_VALUE"""),41329)</f>
        <v>41329</v>
      </c>
      <c r="C738" s="41">
        <f ca="1">IFERROR(__xludf.DUMMYFUNCTION("""COMPUTED_VALUE"""),41331)</f>
        <v>41331</v>
      </c>
      <c r="D738" s="42" t="str">
        <f ca="1">IFERROR(__xludf.DUMMYFUNCTION("""COMPUTED_VALUE"""),"Bean Goose [Tundra]")</f>
        <v>Bean Goose [Tundra]</v>
      </c>
      <c r="E738" s="53">
        <f ca="1">IFERROR(__xludf.DUMMYFUNCTION("""COMPUTED_VALUE"""),1)</f>
        <v>1</v>
      </c>
      <c r="F738" s="15"/>
      <c r="G738" s="44" t="str">
        <f ca="1">IFERROR(__xludf.DUMMYFUNCTION("""COMPUTED_VALUE"""),"Marbury Country Park")</f>
        <v>Marbury Country Park</v>
      </c>
      <c r="H738" s="12">
        <f ca="1">IFERROR(__xludf.DUMMYFUNCTION("""COMPUTED_VALUE"""),40962)</f>
        <v>40962</v>
      </c>
      <c r="I738" s="12">
        <f ca="1">IFERROR(__xludf.DUMMYFUNCTION("""COMPUTED_VALUE"""),40963)</f>
        <v>40963</v>
      </c>
      <c r="J738" s="14" t="str">
        <f ca="1">IFERROR(__xludf.DUMMYFUNCTION("""COMPUTED_VALUE"""),"Payne, M")</f>
        <v>Payne, M</v>
      </c>
      <c r="K738" s="15" t="str">
        <f ca="1">IFERROR(__xludf.DUMMYFUNCTION("""COMPUTED_VALUE"""),"Payne, M")</f>
        <v>Payne, M</v>
      </c>
      <c r="L738" s="17" t="str">
        <f ca="1">IFERROR(__xludf.DUMMYFUNCTION("""COMPUTED_VALUE"""),"closed")</f>
        <v>closed</v>
      </c>
      <c r="M738" s="17" t="str">
        <f ca="1">IFERROR(__xludf.DUMMYFUNCTION("""COMPUTED_VALUE"""),"1st U")</f>
        <v>1st U</v>
      </c>
      <c r="N738" s="15" t="str">
        <f ca="1">IFERROR(__xludf.DUMMYFUNCTION("""COMPUTED_VALUE"""),"accepted")</f>
        <v>accepted</v>
      </c>
      <c r="O738" s="18"/>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row>
    <row r="739" spans="1:80" ht="13.5" hidden="1" customHeight="1">
      <c r="A739" s="20">
        <f ca="1">IFERROR(__xludf.DUMMYFUNCTION("""COMPUTED_VALUE"""),2012)</f>
        <v>2012</v>
      </c>
      <c r="B739" s="45">
        <f ca="1">IFERROR(__xludf.DUMMYFUNCTION("""COMPUTED_VALUE"""),41329)</f>
        <v>41329</v>
      </c>
      <c r="C739" s="46">
        <f ca="1">IFERROR(__xludf.DUMMYFUNCTION("""COMPUTED_VALUE"""),41331)</f>
        <v>41331</v>
      </c>
      <c r="D739" s="47" t="str">
        <f ca="1">IFERROR(__xludf.DUMMYFUNCTION("""COMPUTED_VALUE"""),"Bean Goose [Tundra]")</f>
        <v>Bean Goose [Tundra]</v>
      </c>
      <c r="E739" s="52">
        <f ca="1">IFERROR(__xludf.DUMMYFUNCTION("""COMPUTED_VALUE"""),1)</f>
        <v>1</v>
      </c>
      <c r="F739" s="25"/>
      <c r="G739" s="48" t="str">
        <f ca="1">IFERROR(__xludf.DUMMYFUNCTION("""COMPUTED_VALUE"""),"Marbury Country Park")</f>
        <v>Marbury Country Park</v>
      </c>
      <c r="H739" s="22">
        <f ca="1">IFERROR(__xludf.DUMMYFUNCTION("""COMPUTED_VALUE"""),40962)</f>
        <v>40962</v>
      </c>
      <c r="I739" s="23"/>
      <c r="J739" s="24" t="str">
        <f ca="1">IFERROR(__xludf.DUMMYFUNCTION("""COMPUTED_VALUE"""),"Fern, Fred")</f>
        <v>Fern, Fred</v>
      </c>
      <c r="K739" s="25" t="str">
        <f ca="1">IFERROR(__xludf.DUMMYFUNCTION("""COMPUTED_VALUE"""),"Mark Payne")</f>
        <v>Mark Payne</v>
      </c>
      <c r="L739" s="27" t="str">
        <f ca="1">IFERROR(__xludf.DUMMYFUNCTION("""COMPUTED_VALUE"""),"closed")</f>
        <v>closed</v>
      </c>
      <c r="M739" s="27" t="str">
        <f ca="1">IFERROR(__xludf.DUMMYFUNCTION("""COMPUTED_VALUE"""),"1st U")</f>
        <v>1st U</v>
      </c>
      <c r="N739" s="25" t="str">
        <f ca="1">IFERROR(__xludf.DUMMYFUNCTION("""COMPUTED_VALUE"""),"accepted")</f>
        <v>accepted</v>
      </c>
      <c r="O739" s="28"/>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c r="AQ739" s="25"/>
      <c r="AR739" s="25"/>
      <c r="AS739" s="25"/>
      <c r="AT739" s="25"/>
      <c r="AU739" s="25"/>
      <c r="AV739" s="25"/>
      <c r="AW739" s="25"/>
      <c r="AX739" s="25"/>
      <c r="AY739" s="25"/>
      <c r="AZ739" s="25"/>
      <c r="BA739" s="25"/>
      <c r="BB739" s="25"/>
      <c r="BC739" s="25"/>
      <c r="BD739" s="25"/>
      <c r="BE739" s="25"/>
      <c r="BF739" s="25"/>
      <c r="BG739" s="25"/>
      <c r="BH739" s="25"/>
      <c r="BI739" s="25"/>
      <c r="BJ739" s="25"/>
      <c r="BK739" s="25"/>
      <c r="BL739" s="25"/>
      <c r="BM739" s="25"/>
      <c r="BN739" s="25"/>
      <c r="BO739" s="25"/>
      <c r="BP739" s="25"/>
      <c r="BQ739" s="25"/>
      <c r="BR739" s="25"/>
      <c r="BS739" s="25"/>
      <c r="BT739" s="25"/>
      <c r="BU739" s="25"/>
      <c r="BV739" s="25"/>
      <c r="BW739" s="25"/>
      <c r="BX739" s="25"/>
      <c r="BY739" s="25"/>
      <c r="BZ739" s="25"/>
      <c r="CA739" s="25"/>
      <c r="CB739" s="25"/>
    </row>
    <row r="740" spans="1:80" ht="13.5" hidden="1" customHeight="1">
      <c r="A740" s="10">
        <f ca="1">IFERROR(__xludf.DUMMYFUNCTION("""COMPUTED_VALUE"""),2012)</f>
        <v>2012</v>
      </c>
      <c r="B740" s="50">
        <f ca="1">IFERROR(__xludf.DUMMYFUNCTION("""COMPUTED_VALUE"""),41329)</f>
        <v>41329</v>
      </c>
      <c r="C740" s="41">
        <f ca="1">IFERROR(__xludf.DUMMYFUNCTION("""COMPUTED_VALUE"""),41331)</f>
        <v>41331</v>
      </c>
      <c r="D740" s="42" t="str">
        <f ca="1">IFERROR(__xludf.DUMMYFUNCTION("""COMPUTED_VALUE"""),"Bean Goose [Tundra]")</f>
        <v>Bean Goose [Tundra]</v>
      </c>
      <c r="E740" s="53">
        <f ca="1">IFERROR(__xludf.DUMMYFUNCTION("""COMPUTED_VALUE"""),1)</f>
        <v>1</v>
      </c>
      <c r="F740" s="15"/>
      <c r="G740" s="44" t="str">
        <f ca="1">IFERROR(__xludf.DUMMYFUNCTION("""COMPUTED_VALUE"""),"Marbury Country Park")</f>
        <v>Marbury Country Park</v>
      </c>
      <c r="H740" s="12">
        <f ca="1">IFERROR(__xludf.DUMMYFUNCTION("""COMPUTED_VALUE"""),40962)</f>
        <v>40962</v>
      </c>
      <c r="I740" s="13"/>
      <c r="J740" s="14" t="str">
        <f ca="1">IFERROR(__xludf.DUMMYFUNCTION("""COMPUTED_VALUE"""),"Gregory, J")</f>
        <v>Gregory, J</v>
      </c>
      <c r="K740" s="15" t="str">
        <f ca="1">IFERROR(__xludf.DUMMYFUNCTION("""COMPUTED_VALUE"""),"Mark Payne")</f>
        <v>Mark Payne</v>
      </c>
      <c r="L740" s="17" t="str">
        <f ca="1">IFERROR(__xludf.DUMMYFUNCTION("""COMPUTED_VALUE"""),"closed")</f>
        <v>closed</v>
      </c>
      <c r="M740" s="17" t="str">
        <f ca="1">IFERROR(__xludf.DUMMYFUNCTION("""COMPUTED_VALUE"""),"1st U")</f>
        <v>1st U</v>
      </c>
      <c r="N740" s="15" t="str">
        <f ca="1">IFERROR(__xludf.DUMMYFUNCTION("""COMPUTED_VALUE"""),"accepted")</f>
        <v>accepted</v>
      </c>
      <c r="O740" s="18"/>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row>
    <row r="741" spans="1:80" ht="13.5" hidden="1" customHeight="1">
      <c r="A741" s="20">
        <f ca="1">IFERROR(__xludf.DUMMYFUNCTION("""COMPUTED_VALUE"""),2012)</f>
        <v>2012</v>
      </c>
      <c r="B741" s="45">
        <f ca="1">IFERROR(__xludf.DUMMYFUNCTION("""COMPUTED_VALUE"""),41587)</f>
        <v>41587</v>
      </c>
      <c r="C741" s="46">
        <f ca="1">IFERROR(__xludf.DUMMYFUNCTION("""COMPUTED_VALUE"""),41517)</f>
        <v>41517</v>
      </c>
      <c r="D741" s="47" t="str">
        <f ca="1">IFERROR(__xludf.DUMMYFUNCTION("""COMPUTED_VALUE"""),"Velvet Scoter")</f>
        <v>Velvet Scoter</v>
      </c>
      <c r="E741" s="52">
        <f ca="1">IFERROR(__xludf.DUMMYFUNCTION("""COMPUTED_VALUE"""),2)</f>
        <v>2</v>
      </c>
      <c r="F741" s="25" t="str">
        <f ca="1">IFERROR(__xludf.DUMMYFUNCTION("""COMPUTED_VALUE"""),"m/f")</f>
        <v>m/f</v>
      </c>
      <c r="G741" s="48" t="str">
        <f ca="1">IFERROR(__xludf.DUMMYFUNCTION("""COMPUTED_VALUE"""),"Hoylake")</f>
        <v>Hoylake</v>
      </c>
      <c r="H741" s="22">
        <f ca="1">IFERROR(__xludf.DUMMYFUNCTION("""COMPUTED_VALUE"""),40911)</f>
        <v>40911</v>
      </c>
      <c r="I741" s="22">
        <f ca="1">IFERROR(__xludf.DUMMYFUNCTION("""COMPUTED_VALUE"""),40911)</f>
        <v>40911</v>
      </c>
      <c r="J741" s="24" t="str">
        <f ca="1">IFERROR(__xludf.DUMMYFUNCTION("""COMPUTED_VALUE"""),"Turner, JE")</f>
        <v>Turner, JE</v>
      </c>
      <c r="K741" s="25" t="str">
        <f ca="1">IFERROR(__xludf.DUMMYFUNCTION("""COMPUTED_VALUE"""),"Turner, JE")</f>
        <v>Turner, JE</v>
      </c>
      <c r="L741" s="27" t="str">
        <f ca="1">IFERROR(__xludf.DUMMYFUNCTION("""COMPUTED_VALUE"""),"closed")</f>
        <v>closed</v>
      </c>
      <c r="M741" s="27" t="str">
        <f ca="1">IFERROR(__xludf.DUMMYFUNCTION("""COMPUTED_VALUE"""),"1st U")</f>
        <v>1st U</v>
      </c>
      <c r="N741" s="25" t="str">
        <f ca="1">IFERROR(__xludf.DUMMYFUNCTION("""COMPUTED_VALUE"""),"accepted")</f>
        <v>accepted</v>
      </c>
      <c r="O741" s="28"/>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c r="AQ741" s="25"/>
      <c r="AR741" s="25"/>
      <c r="AS741" s="25"/>
      <c r="AT741" s="25"/>
      <c r="AU741" s="25"/>
      <c r="AV741" s="25"/>
      <c r="AW741" s="25"/>
      <c r="AX741" s="25"/>
      <c r="AY741" s="25"/>
      <c r="AZ741" s="25"/>
      <c r="BA741" s="25"/>
      <c r="BB741" s="25"/>
      <c r="BC741" s="25"/>
      <c r="BD741" s="25"/>
      <c r="BE741" s="25"/>
      <c r="BF741" s="25"/>
      <c r="BG741" s="25"/>
      <c r="BH741" s="25"/>
      <c r="BI741" s="25"/>
      <c r="BJ741" s="25"/>
      <c r="BK741" s="25"/>
      <c r="BL741" s="25"/>
      <c r="BM741" s="25"/>
      <c r="BN741" s="25"/>
      <c r="BO741" s="25"/>
      <c r="BP741" s="25"/>
      <c r="BQ741" s="25"/>
      <c r="BR741" s="25"/>
      <c r="BS741" s="25"/>
      <c r="BT741" s="25"/>
      <c r="BU741" s="25"/>
      <c r="BV741" s="25"/>
      <c r="BW741" s="25"/>
      <c r="BX741" s="25"/>
      <c r="BY741" s="25"/>
      <c r="BZ741" s="25"/>
      <c r="CA741" s="25"/>
      <c r="CB741" s="25"/>
    </row>
    <row r="742" spans="1:80" ht="13.5" hidden="1" customHeight="1">
      <c r="A742" s="10">
        <f ca="1">IFERROR(__xludf.DUMMYFUNCTION("""COMPUTED_VALUE"""),2012)</f>
        <v>2012</v>
      </c>
      <c r="B742" s="50">
        <f ca="1">IFERROR(__xludf.DUMMYFUNCTION("""COMPUTED_VALUE"""),41515)</f>
        <v>41515</v>
      </c>
      <c r="C742" s="41">
        <f ca="1">IFERROR(__xludf.DUMMYFUNCTION("""COMPUTED_VALUE"""),41602)</f>
        <v>41602</v>
      </c>
      <c r="D742" s="42" t="str">
        <f ca="1">IFERROR(__xludf.DUMMYFUNCTION("""COMPUTED_VALUE"""),"Velvet Scoter")</f>
        <v>Velvet Scoter</v>
      </c>
      <c r="E742" s="53" t="str">
        <f ca="1">IFERROR(__xludf.DUMMYFUNCTION("""COMPUTED_VALUE"""),"2")</f>
        <v>2</v>
      </c>
      <c r="F742" s="15" t="str">
        <f ca="1">IFERROR(__xludf.DUMMYFUNCTION("""COMPUTED_VALUE"""),"")</f>
        <v/>
      </c>
      <c r="G742" s="44" t="str">
        <f ca="1">IFERROR(__xludf.DUMMYFUNCTION("""COMPUTED_VALUE"""),"Hilbre")</f>
        <v>Hilbre</v>
      </c>
      <c r="H742" s="12">
        <f ca="1">IFERROR(__xludf.DUMMYFUNCTION("""COMPUTED_VALUE"""),40916)</f>
        <v>40916</v>
      </c>
      <c r="I742" s="12">
        <f ca="1">IFERROR(__xludf.DUMMYFUNCTION("""COMPUTED_VALUE"""),40916)</f>
        <v>40916</v>
      </c>
      <c r="J742" s="68" t="str">
        <f ca="1">IFERROR(__xludf.DUMMYFUNCTION("""COMPUTED_VALUE"""),"Woolen, PS")</f>
        <v>Woolen, PS</v>
      </c>
      <c r="K742" s="43" t="str">
        <f ca="1">IFERROR(__xludf.DUMMYFUNCTION("""COMPUTED_VALUE"""),"Woolen, PS")</f>
        <v>Woolen, PS</v>
      </c>
      <c r="L742" s="17" t="str">
        <f ca="1">IFERROR(__xludf.DUMMYFUNCTION("""COMPUTED_VALUE"""),"closed")</f>
        <v>closed</v>
      </c>
      <c r="M742" s="17" t="str">
        <f ca="1">IFERROR(__xludf.DUMMYFUNCTION("""COMPUTED_VALUE"""),"1st U")</f>
        <v>1st U</v>
      </c>
      <c r="N742" s="15" t="str">
        <f ca="1">IFERROR(__xludf.DUMMYFUNCTION("""COMPUTED_VALUE"""),"accepted")</f>
        <v>accepted</v>
      </c>
      <c r="O742" s="18" t="str">
        <f ca="1">IFERROR(__xludf.DUMMYFUNCTION("""COMPUTED_VALUE"""),"Same as Hoylake")</f>
        <v>Same as Hoylake</v>
      </c>
      <c r="P742" s="15"/>
      <c r="Q742" s="58"/>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row>
    <row r="743" spans="1:80" ht="13.5" hidden="1" customHeight="1">
      <c r="A743" s="20">
        <f ca="1">IFERROR(__xludf.DUMMYFUNCTION("""COMPUTED_VALUE"""),2012)</f>
        <v>2012</v>
      </c>
      <c r="B743" s="45">
        <f ca="1">IFERROR(__xludf.DUMMYFUNCTION("""COMPUTED_VALUE"""),41515)</f>
        <v>41515</v>
      </c>
      <c r="C743" s="46"/>
      <c r="D743" s="47" t="str">
        <f ca="1">IFERROR(__xludf.DUMMYFUNCTION("""COMPUTED_VALUE"""),"Velvet Scoter")</f>
        <v>Velvet Scoter</v>
      </c>
      <c r="E743" s="52" t="str">
        <f ca="1">IFERROR(__xludf.DUMMYFUNCTION("""COMPUTED_VALUE"""),"1")</f>
        <v>1</v>
      </c>
      <c r="F743" s="25" t="str">
        <f ca="1">IFERROR(__xludf.DUMMYFUNCTION("""COMPUTED_VALUE"""),"")</f>
        <v/>
      </c>
      <c r="G743" s="48" t="str">
        <f ca="1">IFERROR(__xludf.DUMMYFUNCTION("""COMPUTED_VALUE"""),"Hilbre")</f>
        <v>Hilbre</v>
      </c>
      <c r="H743" s="22">
        <f ca="1">IFERROR(__xludf.DUMMYFUNCTION("""COMPUTED_VALUE"""),41171)</f>
        <v>41171</v>
      </c>
      <c r="I743" s="22">
        <f ca="1">IFERROR(__xludf.DUMMYFUNCTION("""COMPUTED_VALUE"""),41171)</f>
        <v>41171</v>
      </c>
      <c r="J743" s="67" t="str">
        <f ca="1">IFERROR(__xludf.DUMMYFUNCTION("""COMPUTED_VALUE"""),"Hilbre Bird Observatory")</f>
        <v>Hilbre Bird Observatory</v>
      </c>
      <c r="K743" s="25" t="str">
        <f ca="1">IFERROR(__xludf.DUMMYFUNCTION("""COMPUTED_VALUE"""),"CJ, KMcN")</f>
        <v>CJ, KMcN</v>
      </c>
      <c r="L743" s="27" t="str">
        <f ca="1">IFERROR(__xludf.DUMMYFUNCTION("""COMPUTED_VALUE"""),"closed")</f>
        <v>closed</v>
      </c>
      <c r="M743" s="27" t="str">
        <f ca="1">IFERROR(__xludf.DUMMYFUNCTION("""COMPUTED_VALUE"""),"1st U")</f>
        <v>1st U</v>
      </c>
      <c r="N743" s="25" t="str">
        <f ca="1">IFERROR(__xludf.DUMMYFUNCTION("""COMPUTED_VALUE"""),"accepted")</f>
        <v>accepted</v>
      </c>
      <c r="O743" s="28"/>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c r="AQ743" s="25"/>
      <c r="AR743" s="25"/>
      <c r="AS743" s="25"/>
      <c r="AT743" s="25"/>
      <c r="AU743" s="25"/>
      <c r="AV743" s="25"/>
      <c r="AW743" s="25"/>
      <c r="AX743" s="25"/>
      <c r="AY743" s="25"/>
      <c r="AZ743" s="25"/>
      <c r="BA743" s="25"/>
      <c r="BB743" s="25"/>
      <c r="BC743" s="25"/>
      <c r="BD743" s="25"/>
      <c r="BE743" s="25"/>
      <c r="BF743" s="25"/>
      <c r="BG743" s="25"/>
      <c r="BH743" s="25"/>
      <c r="BI743" s="25"/>
      <c r="BJ743" s="25"/>
      <c r="BK743" s="25"/>
      <c r="BL743" s="25"/>
      <c r="BM743" s="25"/>
      <c r="BN743" s="25"/>
      <c r="BO743" s="25"/>
      <c r="BP743" s="25"/>
      <c r="BQ743" s="25"/>
      <c r="BR743" s="25"/>
      <c r="BS743" s="25"/>
      <c r="BT743" s="25"/>
      <c r="BU743" s="25"/>
      <c r="BV743" s="25"/>
      <c r="BW743" s="25"/>
      <c r="BX743" s="25"/>
      <c r="BY743" s="25"/>
      <c r="BZ743" s="25"/>
      <c r="CA743" s="25"/>
      <c r="CB743" s="25"/>
    </row>
    <row r="744" spans="1:80" ht="13.5" hidden="1" customHeight="1">
      <c r="A744" s="10">
        <f ca="1">IFERROR(__xludf.DUMMYFUNCTION("""COMPUTED_VALUE"""),2012)</f>
        <v>2012</v>
      </c>
      <c r="B744" s="50">
        <f ca="1">IFERROR(__xludf.DUMMYFUNCTION("""COMPUTED_VALUE"""),41587)</f>
        <v>41587</v>
      </c>
      <c r="C744" s="41">
        <f ca="1">IFERROR(__xludf.DUMMYFUNCTION("""COMPUTED_VALUE"""),41517)</f>
        <v>41517</v>
      </c>
      <c r="D744" s="42" t="str">
        <f ca="1">IFERROR(__xludf.DUMMYFUNCTION("""COMPUTED_VALUE"""),"Velvet Scoter")</f>
        <v>Velvet Scoter</v>
      </c>
      <c r="E744" s="53">
        <f ca="1">IFERROR(__xludf.DUMMYFUNCTION("""COMPUTED_VALUE"""),1)</f>
        <v>1</v>
      </c>
      <c r="F744" s="15" t="str">
        <f ca="1">IFERROR(__xludf.DUMMYFUNCTION("""COMPUTED_VALUE"""),"m")</f>
        <v>m</v>
      </c>
      <c r="G744" s="44" t="str">
        <f ca="1">IFERROR(__xludf.DUMMYFUNCTION("""COMPUTED_VALUE"""),"Hoylake")</f>
        <v>Hoylake</v>
      </c>
      <c r="H744" s="12">
        <f ca="1">IFERROR(__xludf.DUMMYFUNCTION("""COMPUTED_VALUE"""),41171)</f>
        <v>41171</v>
      </c>
      <c r="I744" s="12">
        <f ca="1">IFERROR(__xludf.DUMMYFUNCTION("""COMPUTED_VALUE"""),41171)</f>
        <v>41171</v>
      </c>
      <c r="J744" s="14"/>
      <c r="K744" s="15"/>
      <c r="L744" s="17" t="str">
        <f ca="1">IFERROR(__xludf.DUMMYFUNCTION("""COMPUTED_VALUE"""),"closed")</f>
        <v>closed</v>
      </c>
      <c r="M744" s="17" t="str">
        <f ca="1">IFERROR(__xludf.DUMMYFUNCTION("""COMPUTED_VALUE"""),"2ndM")</f>
        <v>2ndM</v>
      </c>
      <c r="N744" s="15" t="str">
        <f ca="1">IFERROR(__xludf.DUMMYFUNCTION("""COMPUTED_VALUE"""),"unproven")</f>
        <v>unproven</v>
      </c>
      <c r="O744" s="18"/>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row>
    <row r="745" spans="1:80" ht="13.5" hidden="1" customHeight="1">
      <c r="A745" s="20">
        <f ca="1">IFERROR(__xludf.DUMMYFUNCTION("""COMPUTED_VALUE"""),2012)</f>
        <v>2012</v>
      </c>
      <c r="B745" s="45">
        <f ca="1">IFERROR(__xludf.DUMMYFUNCTION("""COMPUTED_VALUE"""),41515)</f>
        <v>41515</v>
      </c>
      <c r="C745" s="46"/>
      <c r="D745" s="47" t="str">
        <f ca="1">IFERROR(__xludf.DUMMYFUNCTION("""COMPUTED_VALUE"""),"Velvet Scoter")</f>
        <v>Velvet Scoter</v>
      </c>
      <c r="E745" s="52" t="str">
        <f ca="1">IFERROR(__xludf.DUMMYFUNCTION("""COMPUTED_VALUE"""),"1")</f>
        <v>1</v>
      </c>
      <c r="F745" s="25" t="str">
        <f ca="1">IFERROR(__xludf.DUMMYFUNCTION("""COMPUTED_VALUE"""),"m")</f>
        <v>m</v>
      </c>
      <c r="G745" s="48" t="str">
        <f ca="1">IFERROR(__xludf.DUMMYFUNCTION("""COMPUTED_VALUE"""),"Hilbre")</f>
        <v>Hilbre</v>
      </c>
      <c r="H745" s="22">
        <f ca="1">IFERROR(__xludf.DUMMYFUNCTION("""COMPUTED_VALUE"""),41242)</f>
        <v>41242</v>
      </c>
      <c r="I745" s="22">
        <f ca="1">IFERROR(__xludf.DUMMYFUNCTION("""COMPUTED_VALUE"""),41242)</f>
        <v>41242</v>
      </c>
      <c r="J745" s="67" t="str">
        <f ca="1">IFERROR(__xludf.DUMMYFUNCTION("""COMPUTED_VALUE"""),"Hilbre Bird Observatory")</f>
        <v>Hilbre Bird Observatory</v>
      </c>
      <c r="K745" s="25" t="str">
        <f ca="1">IFERROR(__xludf.DUMMYFUNCTION("""COMPUTED_VALUE"""),"MGT")</f>
        <v>MGT</v>
      </c>
      <c r="L745" s="27" t="str">
        <f ca="1">IFERROR(__xludf.DUMMYFUNCTION("""COMPUTED_VALUE"""),"closed")</f>
        <v>closed</v>
      </c>
      <c r="M745" s="27" t="str">
        <f ca="1">IFERROR(__xludf.DUMMYFUNCTION("""COMPUTED_VALUE"""),"1st U")</f>
        <v>1st U</v>
      </c>
      <c r="N745" s="25" t="str">
        <f ca="1">IFERROR(__xludf.DUMMYFUNCTION("""COMPUTED_VALUE"""),"accepted")</f>
        <v>accepted</v>
      </c>
      <c r="O745" s="28"/>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c r="AQ745" s="25"/>
      <c r="AR745" s="25"/>
      <c r="AS745" s="25"/>
      <c r="AT745" s="25"/>
      <c r="AU745" s="25"/>
      <c r="AV745" s="25"/>
      <c r="AW745" s="25"/>
      <c r="AX745" s="25"/>
      <c r="AY745" s="25"/>
      <c r="AZ745" s="25"/>
      <c r="BA745" s="25"/>
      <c r="BB745" s="25"/>
      <c r="BC745" s="25"/>
      <c r="BD745" s="25"/>
      <c r="BE745" s="25"/>
      <c r="BF745" s="25"/>
      <c r="BG745" s="25"/>
      <c r="BH745" s="25"/>
      <c r="BI745" s="25"/>
      <c r="BJ745" s="25"/>
      <c r="BK745" s="25"/>
      <c r="BL745" s="25"/>
      <c r="BM745" s="25"/>
      <c r="BN745" s="25"/>
      <c r="BO745" s="25"/>
      <c r="BP745" s="25"/>
      <c r="BQ745" s="25"/>
      <c r="BR745" s="25"/>
      <c r="BS745" s="25"/>
      <c r="BT745" s="25"/>
      <c r="BU745" s="25"/>
      <c r="BV745" s="25"/>
      <c r="BW745" s="25"/>
      <c r="BX745" s="25"/>
      <c r="BY745" s="25"/>
      <c r="BZ745" s="25"/>
      <c r="CA745" s="25"/>
      <c r="CB745" s="25"/>
    </row>
    <row r="746" spans="1:80" ht="13.5" hidden="1" customHeight="1">
      <c r="A746" s="10">
        <f ca="1">IFERROR(__xludf.DUMMYFUNCTION("""COMPUTED_VALUE"""),2012)</f>
        <v>2012</v>
      </c>
      <c r="B746" s="50">
        <f ca="1">IFERROR(__xludf.DUMMYFUNCTION("""COMPUTED_VALUE"""),41584)</f>
        <v>41584</v>
      </c>
      <c r="C746" s="41">
        <f ca="1">IFERROR(__xludf.DUMMYFUNCTION("""COMPUTED_VALUE"""),41338)</f>
        <v>41338</v>
      </c>
      <c r="D746" s="42" t="str">
        <f ca="1">IFERROR(__xludf.DUMMYFUNCTION("""COMPUTED_VALUE"""),"Green-winged Teal")</f>
        <v>Green-winged Teal</v>
      </c>
      <c r="E746" s="53">
        <f ca="1">IFERROR(__xludf.DUMMYFUNCTION("""COMPUTED_VALUE"""),1)</f>
        <v>1</v>
      </c>
      <c r="F746" s="15" t="str">
        <f ca="1">IFERROR(__xludf.DUMMYFUNCTION("""COMPUTED_VALUE"""),"m")</f>
        <v>m</v>
      </c>
      <c r="G746" s="44" t="str">
        <f ca="1">IFERROR(__xludf.DUMMYFUNCTION("""COMPUTED_VALUE"""),"Elton Hall Flash, Sandbach")</f>
        <v>Elton Hall Flash, Sandbach</v>
      </c>
      <c r="H746" s="12">
        <f ca="1">IFERROR(__xludf.DUMMYFUNCTION("""COMPUTED_VALUE"""),40928)</f>
        <v>40928</v>
      </c>
      <c r="I746" s="13"/>
      <c r="J746" s="14" t="str">
        <f ca="1">IFERROR(__xludf.DUMMYFUNCTION("""COMPUTED_VALUE"""),"Miles, M")</f>
        <v>Miles, M</v>
      </c>
      <c r="K746" s="15"/>
      <c r="L746" s="17" t="str">
        <f ca="1">IFERROR(__xludf.DUMMYFUNCTION("""COMPUTED_VALUE"""),"closed")</f>
        <v>closed</v>
      </c>
      <c r="M746" s="17" t="str">
        <f ca="1">IFERROR(__xludf.DUMMYFUNCTION("""COMPUTED_VALUE"""),"1st M")</f>
        <v>1st M</v>
      </c>
      <c r="N746" s="15" t="str">
        <f ca="1">IFERROR(__xludf.DUMMYFUNCTION("""COMPUTED_VALUE"""),"accepted")</f>
        <v>accepted</v>
      </c>
      <c r="O746" s="18"/>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row>
    <row r="747" spans="1:80" ht="13.5" hidden="1" customHeight="1">
      <c r="A747" s="20">
        <f ca="1">IFERROR(__xludf.DUMMYFUNCTION("""COMPUTED_VALUE"""),2012)</f>
        <v>2012</v>
      </c>
      <c r="B747" s="45">
        <f ca="1">IFERROR(__xludf.DUMMYFUNCTION("""COMPUTED_VALUE"""),41540)</f>
        <v>41540</v>
      </c>
      <c r="C747" s="46">
        <f ca="1">IFERROR(__xludf.DUMMYFUNCTION("""COMPUTED_VALUE"""),41523)</f>
        <v>41523</v>
      </c>
      <c r="D747" s="47" t="str">
        <f ca="1">IFERROR(__xludf.DUMMYFUNCTION("""COMPUTED_VALUE"""),"Red-crested Pochard")</f>
        <v>Red-crested Pochard</v>
      </c>
      <c r="E747" s="52">
        <f ca="1">IFERROR(__xludf.DUMMYFUNCTION("""COMPUTED_VALUE"""),1)</f>
        <v>1</v>
      </c>
      <c r="F747" s="25"/>
      <c r="G747" s="48" t="str">
        <f ca="1">IFERROR(__xludf.DUMMYFUNCTION("""COMPUTED_VALUE"""),"Alderley park Mere")</f>
        <v>Alderley park Mere</v>
      </c>
      <c r="H747" s="22">
        <f ca="1">IFERROR(__xludf.DUMMYFUNCTION("""COMPUTED_VALUE"""),41164)</f>
        <v>41164</v>
      </c>
      <c r="I747" s="23"/>
      <c r="J747" s="24" t="str">
        <f ca="1">IFERROR(__xludf.DUMMYFUNCTION("""COMPUTED_VALUE"""),"Jones, J")</f>
        <v>Jones, J</v>
      </c>
      <c r="K747" s="25" t="str">
        <f ca="1">IFERROR(__xludf.DUMMYFUNCTION("""COMPUTED_VALUE"""),"Jones, J")</f>
        <v>Jones, J</v>
      </c>
      <c r="L747" s="27" t="str">
        <f ca="1">IFERROR(__xludf.DUMMYFUNCTION("""COMPUTED_VALUE"""),"closed")</f>
        <v>closed</v>
      </c>
      <c r="M747" s="27" t="str">
        <f ca="1">IFERROR(__xludf.DUMMYFUNCTION("""COMPUTED_VALUE"""),"1st U")</f>
        <v>1st U</v>
      </c>
      <c r="N747" s="25" t="str">
        <f ca="1">IFERROR(__xludf.DUMMYFUNCTION("""COMPUTED_VALUE"""),"accepted")</f>
        <v>accepted</v>
      </c>
      <c r="O747" s="28"/>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c r="AQ747" s="25"/>
      <c r="AR747" s="25"/>
      <c r="AS747" s="25"/>
      <c r="AT747" s="25"/>
      <c r="AU747" s="25"/>
      <c r="AV747" s="25"/>
      <c r="AW747" s="25"/>
      <c r="AX747" s="25"/>
      <c r="AY747" s="25"/>
      <c r="AZ747" s="25"/>
      <c r="BA747" s="25"/>
      <c r="BB747" s="25"/>
      <c r="BC747" s="25"/>
      <c r="BD747" s="25"/>
      <c r="BE747" s="25"/>
      <c r="BF747" s="25"/>
      <c r="BG747" s="25"/>
      <c r="BH747" s="25"/>
      <c r="BI747" s="25"/>
      <c r="BJ747" s="25"/>
      <c r="BK747" s="25"/>
      <c r="BL747" s="25"/>
      <c r="BM747" s="25"/>
      <c r="BN747" s="25"/>
      <c r="BO747" s="25"/>
      <c r="BP747" s="25"/>
      <c r="BQ747" s="25"/>
      <c r="BR747" s="25"/>
      <c r="BS747" s="25"/>
      <c r="BT747" s="25"/>
      <c r="BU747" s="25"/>
      <c r="BV747" s="25"/>
      <c r="BW747" s="25"/>
      <c r="BX747" s="25"/>
      <c r="BY747" s="25"/>
      <c r="BZ747" s="25"/>
      <c r="CA747" s="25"/>
      <c r="CB747" s="25"/>
    </row>
    <row r="748" spans="1:80" ht="13.5" hidden="1" customHeight="1">
      <c r="A748" s="10">
        <f ca="1">IFERROR(__xludf.DUMMYFUNCTION("""COMPUTED_VALUE"""),2012)</f>
        <v>2012</v>
      </c>
      <c r="B748" s="50">
        <f ca="1">IFERROR(__xludf.DUMMYFUNCTION("""COMPUTED_VALUE"""),41540)</f>
        <v>41540</v>
      </c>
      <c r="C748" s="41">
        <f ca="1">IFERROR(__xludf.DUMMYFUNCTION("""COMPUTED_VALUE"""),41523)</f>
        <v>41523</v>
      </c>
      <c r="D748" s="42" t="str">
        <f ca="1">IFERROR(__xludf.DUMMYFUNCTION("""COMPUTED_VALUE"""),"Red-crested Pochard")</f>
        <v>Red-crested Pochard</v>
      </c>
      <c r="E748" s="53">
        <f ca="1">IFERROR(__xludf.DUMMYFUNCTION("""COMPUTED_VALUE"""),1)</f>
        <v>1</v>
      </c>
      <c r="F748" s="15"/>
      <c r="G748" s="44" t="str">
        <f ca="1">IFERROR(__xludf.DUMMYFUNCTION("""COMPUTED_VALUE"""),"Mere Farm Qaurry, Chelford")</f>
        <v>Mere Farm Qaurry, Chelford</v>
      </c>
      <c r="H748" s="12">
        <f ca="1">IFERROR(__xludf.DUMMYFUNCTION("""COMPUTED_VALUE"""),41167)</f>
        <v>41167</v>
      </c>
      <c r="I748" s="12">
        <f ca="1">IFERROR(__xludf.DUMMYFUNCTION("""COMPUTED_VALUE"""),41192)</f>
        <v>41192</v>
      </c>
      <c r="J748" s="14" t="str">
        <f ca="1">IFERROR(__xludf.DUMMYFUNCTION("""COMPUTED_VALUE"""),"Stonier, R")</f>
        <v>Stonier, R</v>
      </c>
      <c r="K748" s="15" t="str">
        <f ca="1">IFERROR(__xludf.DUMMYFUNCTION("""COMPUTED_VALUE"""),"Stonier, R")</f>
        <v>Stonier, R</v>
      </c>
      <c r="L748" s="17" t="str">
        <f ca="1">IFERROR(__xludf.DUMMYFUNCTION("""COMPUTED_VALUE"""),"closed")</f>
        <v>closed</v>
      </c>
      <c r="M748" s="17" t="str">
        <f ca="1">IFERROR(__xludf.DUMMYFUNCTION("""COMPUTED_VALUE"""),"1st U")</f>
        <v>1st U</v>
      </c>
      <c r="N748" s="15" t="str">
        <f ca="1">IFERROR(__xludf.DUMMYFUNCTION("""COMPUTED_VALUE"""),"accepted")</f>
        <v>accepted</v>
      </c>
      <c r="O748" s="18"/>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c r="BQ748" s="15"/>
      <c r="BR748" s="15"/>
      <c r="BS748" s="15"/>
      <c r="BT748" s="15"/>
      <c r="BU748" s="15"/>
      <c r="BV748" s="15"/>
      <c r="BW748" s="15"/>
      <c r="BX748" s="15"/>
      <c r="BY748" s="15"/>
      <c r="BZ748" s="15"/>
      <c r="CA748" s="15"/>
      <c r="CB748" s="15"/>
    </row>
    <row r="749" spans="1:80" ht="13.5" hidden="1" customHeight="1">
      <c r="A749" s="20">
        <f ca="1">IFERROR(__xludf.DUMMYFUNCTION("""COMPUTED_VALUE"""),2012)</f>
        <v>2012</v>
      </c>
      <c r="B749" s="45">
        <f ca="1">IFERROR(__xludf.DUMMYFUNCTION("""COMPUTED_VALUE"""),41540)</f>
        <v>41540</v>
      </c>
      <c r="C749" s="46">
        <f ca="1">IFERROR(__xludf.DUMMYFUNCTION("""COMPUTED_VALUE"""),41523)</f>
        <v>41523</v>
      </c>
      <c r="D749" s="47" t="str">
        <f ca="1">IFERROR(__xludf.DUMMYFUNCTION("""COMPUTED_VALUE"""),"Red-crested Pochard")</f>
        <v>Red-crested Pochard</v>
      </c>
      <c r="E749" s="52">
        <f ca="1">IFERROR(__xludf.DUMMYFUNCTION("""COMPUTED_VALUE"""),1)</f>
        <v>1</v>
      </c>
      <c r="F749" s="25"/>
      <c r="G749" s="48" t="str">
        <f ca="1">IFERROR(__xludf.DUMMYFUNCTION("""COMPUTED_VALUE"""),"Lapwing Pool Hall")</f>
        <v>Lapwing Pool Hall</v>
      </c>
      <c r="H749" s="22">
        <f ca="1">IFERROR(__xludf.DUMMYFUNCTION("""COMPUTED_VALUE"""),41191)</f>
        <v>41191</v>
      </c>
      <c r="I749" s="22">
        <f ca="1">IFERROR(__xludf.DUMMYFUNCTION("""COMPUTED_VALUE"""),41204)</f>
        <v>41204</v>
      </c>
      <c r="J749" s="24" t="str">
        <f ca="1">IFERROR(__xludf.DUMMYFUNCTION("""COMPUTED_VALUE"""),"Barber S&amp;G")</f>
        <v>Barber S&amp;G</v>
      </c>
      <c r="K749" s="25" t="str">
        <f ca="1">IFERROR(__xludf.DUMMYFUNCTION("""COMPUTED_VALUE"""),"Barber S&amp;G")</f>
        <v>Barber S&amp;G</v>
      </c>
      <c r="L749" s="27" t="str">
        <f ca="1">IFERROR(__xludf.DUMMYFUNCTION("""COMPUTED_VALUE"""),"closed")</f>
        <v>closed</v>
      </c>
      <c r="M749" s="27" t="str">
        <f ca="1">IFERROR(__xludf.DUMMYFUNCTION("""COMPUTED_VALUE"""),"1st U")</f>
        <v>1st U</v>
      </c>
      <c r="N749" s="25" t="str">
        <f ca="1">IFERROR(__xludf.DUMMYFUNCTION("""COMPUTED_VALUE"""),"accepted")</f>
        <v>accepted</v>
      </c>
      <c r="O749" s="28"/>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c r="AQ749" s="25"/>
      <c r="AR749" s="25"/>
      <c r="AS749" s="25"/>
      <c r="AT749" s="25"/>
      <c r="AU749" s="25"/>
      <c r="AV749" s="25"/>
      <c r="AW749" s="25"/>
      <c r="AX749" s="25"/>
      <c r="AY749" s="25"/>
      <c r="AZ749" s="25"/>
      <c r="BA749" s="25"/>
      <c r="BB749" s="25"/>
      <c r="BC749" s="25"/>
      <c r="BD749" s="25"/>
      <c r="BE749" s="25"/>
      <c r="BF749" s="25"/>
      <c r="BG749" s="25"/>
      <c r="BH749" s="25"/>
      <c r="BI749" s="25"/>
      <c r="BJ749" s="25"/>
      <c r="BK749" s="25"/>
      <c r="BL749" s="25"/>
      <c r="BM749" s="25"/>
      <c r="BN749" s="25"/>
      <c r="BO749" s="25"/>
      <c r="BP749" s="25"/>
      <c r="BQ749" s="25"/>
      <c r="BR749" s="25"/>
      <c r="BS749" s="25"/>
      <c r="BT749" s="25"/>
      <c r="BU749" s="25"/>
      <c r="BV749" s="25"/>
      <c r="BW749" s="25"/>
      <c r="BX749" s="25"/>
      <c r="BY749" s="25"/>
      <c r="BZ749" s="25"/>
      <c r="CA749" s="25"/>
      <c r="CB749" s="25"/>
    </row>
    <row r="750" spans="1:80" ht="13.5" hidden="1" customHeight="1">
      <c r="A750" s="10">
        <f ca="1">IFERROR(__xludf.DUMMYFUNCTION("""COMPUTED_VALUE"""),2012)</f>
        <v>2012</v>
      </c>
      <c r="B750" s="50">
        <f ca="1">IFERROR(__xludf.DUMMYFUNCTION("""COMPUTED_VALUE"""),41587)</f>
        <v>41587</v>
      </c>
      <c r="C750" s="41">
        <f ca="1">IFERROR(__xludf.DUMMYFUNCTION("""COMPUTED_VALUE"""),41514)</f>
        <v>41514</v>
      </c>
      <c r="D750" s="42" t="str">
        <f ca="1">IFERROR(__xludf.DUMMYFUNCTION("""COMPUTED_VALUE"""),"Common Redpoll")</f>
        <v>Common Redpoll</v>
      </c>
      <c r="E750" s="53">
        <f ca="1">IFERROR(__xludf.DUMMYFUNCTION("""COMPUTED_VALUE"""),5)</f>
        <v>5</v>
      </c>
      <c r="F750" s="15" t="str">
        <f ca="1">IFERROR(__xludf.DUMMYFUNCTION("""COMPUTED_VALUE"""),"2mm")</f>
        <v>2mm</v>
      </c>
      <c r="G750" s="44" t="str">
        <f ca="1">IFERROR(__xludf.DUMMYFUNCTION("""COMPUTED_VALUE"""),"Hale")</f>
        <v>Hale</v>
      </c>
      <c r="H750" s="12">
        <f ca="1">IFERROR(__xludf.DUMMYFUNCTION("""COMPUTED_VALUE"""),41033)</f>
        <v>41033</v>
      </c>
      <c r="I750" s="13"/>
      <c r="J750" s="14" t="str">
        <f ca="1">IFERROR(__xludf.DUMMYFUNCTION("""COMPUTED_VALUE"""),"Cockbain, RP&amp;CA")</f>
        <v>Cockbain, RP&amp;CA</v>
      </c>
      <c r="K750" s="15" t="str">
        <f ca="1">IFERROR(__xludf.DUMMYFUNCTION("""COMPUTED_VALUE"""),"Cockbain, RP&amp;CA")</f>
        <v>Cockbain, RP&amp;CA</v>
      </c>
      <c r="L750" s="17" t="str">
        <f ca="1">IFERROR(__xludf.DUMMYFUNCTION("""COMPUTED_VALUE"""),"closed")</f>
        <v>closed</v>
      </c>
      <c r="M750" s="17"/>
      <c r="N750" s="15" t="str">
        <f ca="1">IFERROR(__xludf.DUMMYFUNCTION("""COMPUTED_VALUE"""),"accepted as spp")</f>
        <v>accepted as spp</v>
      </c>
      <c r="O750" s="18" t="str">
        <f ca="1">IFERROR(__xludf.DUMMYFUNCTION("""COMPUTED_VALUE"""),"publish as Common redpoll spp")</f>
        <v>publish as Common redpoll spp</v>
      </c>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c r="BQ750" s="15"/>
      <c r="BR750" s="15"/>
      <c r="BS750" s="15"/>
      <c r="BT750" s="15"/>
      <c r="BU750" s="15"/>
      <c r="BV750" s="15"/>
      <c r="BW750" s="15"/>
      <c r="BX750" s="15"/>
      <c r="BY750" s="15"/>
      <c r="BZ750" s="15"/>
      <c r="CA750" s="15"/>
      <c r="CB750" s="15"/>
    </row>
    <row r="751" spans="1:80" ht="13.5" hidden="1" customHeight="1">
      <c r="A751" s="20">
        <f ca="1">IFERROR(__xludf.DUMMYFUNCTION("""COMPUTED_VALUE"""),2012)</f>
        <v>2012</v>
      </c>
      <c r="B751" s="45">
        <f ca="1">IFERROR(__xludf.DUMMYFUNCTION("""COMPUTED_VALUE"""),41587)</f>
        <v>41587</v>
      </c>
      <c r="C751" s="46">
        <f ca="1">IFERROR(__xludf.DUMMYFUNCTION("""COMPUTED_VALUE"""),41514)</f>
        <v>41514</v>
      </c>
      <c r="D751" s="47" t="str">
        <f ca="1">IFERROR(__xludf.DUMMYFUNCTION("""COMPUTED_VALUE"""),"Common Redpoll [Greenland/Iceland race]")</f>
        <v>Common Redpoll [Greenland/Iceland race]</v>
      </c>
      <c r="E751" s="52">
        <f ca="1">IFERROR(__xludf.DUMMYFUNCTION("""COMPUTED_VALUE"""),2)</f>
        <v>2</v>
      </c>
      <c r="F751" s="25"/>
      <c r="G751" s="48" t="str">
        <f ca="1">IFERROR(__xludf.DUMMYFUNCTION("""COMPUTED_VALUE"""),"Red Rocks, Hoylake")</f>
        <v>Red Rocks, Hoylake</v>
      </c>
      <c r="H751" s="22">
        <f ca="1">IFERROR(__xludf.DUMMYFUNCTION("""COMPUTED_VALUE"""),41045)</f>
        <v>41045</v>
      </c>
      <c r="I751" s="22">
        <f ca="1">IFERROR(__xludf.DUMMYFUNCTION("""COMPUTED_VALUE"""),41045)</f>
        <v>41045</v>
      </c>
      <c r="J751" s="24" t="str">
        <f ca="1">IFERROR(__xludf.DUMMYFUNCTION("""COMPUTED_VALUE"""),"Turner, JE")</f>
        <v>Turner, JE</v>
      </c>
      <c r="K751" s="25" t="str">
        <f ca="1">IFERROR(__xludf.DUMMYFUNCTION("""COMPUTED_VALUE"""),"Turner, JE")</f>
        <v>Turner, JE</v>
      </c>
      <c r="L751" s="27" t="str">
        <f ca="1">IFERROR(__xludf.DUMMYFUNCTION("""COMPUTED_VALUE"""),"closed")</f>
        <v>closed</v>
      </c>
      <c r="M751" s="27" t="str">
        <f ca="1">IFERROR(__xludf.DUMMYFUNCTION("""COMPUTED_VALUE"""),"D")</f>
        <v>D</v>
      </c>
      <c r="N751" s="25" t="str">
        <f ca="1">IFERROR(__xludf.DUMMYFUNCTION("""COMPUTED_VALUE"""),"accepted")</f>
        <v>accepted</v>
      </c>
      <c r="O751" s="28" t="str">
        <f ca="1">IFERROR(__xludf.DUMMYFUNCTION("""COMPUTED_VALUE"""),"publish as Common redpoll sspp")</f>
        <v>publish as Common redpoll sspp</v>
      </c>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c r="AQ751" s="25"/>
      <c r="AR751" s="25"/>
      <c r="AS751" s="25"/>
      <c r="AT751" s="25"/>
      <c r="AU751" s="25"/>
      <c r="AV751" s="25"/>
      <c r="AW751" s="25"/>
      <c r="AX751" s="25"/>
      <c r="AY751" s="25"/>
      <c r="AZ751" s="25"/>
      <c r="BA751" s="25"/>
      <c r="BB751" s="25"/>
      <c r="BC751" s="25"/>
      <c r="BD751" s="25"/>
      <c r="BE751" s="25"/>
      <c r="BF751" s="25"/>
      <c r="BG751" s="25"/>
      <c r="BH751" s="25"/>
      <c r="BI751" s="25"/>
      <c r="BJ751" s="25"/>
      <c r="BK751" s="25"/>
      <c r="BL751" s="25"/>
      <c r="BM751" s="25"/>
      <c r="BN751" s="25"/>
      <c r="BO751" s="25"/>
      <c r="BP751" s="25"/>
      <c r="BQ751" s="25"/>
      <c r="BR751" s="25"/>
      <c r="BS751" s="25"/>
      <c r="BT751" s="25"/>
      <c r="BU751" s="25"/>
      <c r="BV751" s="25"/>
      <c r="BW751" s="25"/>
      <c r="BX751" s="25"/>
      <c r="BY751" s="25"/>
      <c r="BZ751" s="25"/>
      <c r="CA751" s="25"/>
      <c r="CB751" s="25"/>
    </row>
    <row r="752" spans="1:80" ht="13.5" hidden="1" customHeight="1">
      <c r="A752" s="10">
        <f ca="1">IFERROR(__xludf.DUMMYFUNCTION("""COMPUTED_VALUE"""),2012)</f>
        <v>2012</v>
      </c>
      <c r="B752" s="50">
        <f ca="1">IFERROR(__xludf.DUMMYFUNCTION("""COMPUTED_VALUE"""),41587)</f>
        <v>41587</v>
      </c>
      <c r="C752" s="41">
        <f ca="1">IFERROR(__xludf.DUMMYFUNCTION("""COMPUTED_VALUE"""),41514)</f>
        <v>41514</v>
      </c>
      <c r="D752" s="42" t="str">
        <f ca="1">IFERROR(__xludf.DUMMYFUNCTION("""COMPUTED_VALUE"""),"Common Redpoll [Greenland/Iceland race]")</f>
        <v>Common Redpoll [Greenland/Iceland race]</v>
      </c>
      <c r="E752" s="53">
        <f ca="1">IFERROR(__xludf.DUMMYFUNCTION("""COMPUTED_VALUE"""),13)</f>
        <v>13</v>
      </c>
      <c r="F752" s="15"/>
      <c r="G752" s="44" t="str">
        <f ca="1">IFERROR(__xludf.DUMMYFUNCTION("""COMPUTED_VALUE"""),"Red Rocks, Hoylake")</f>
        <v>Red Rocks, Hoylake</v>
      </c>
      <c r="H752" s="12">
        <f ca="1">IFERROR(__xludf.DUMMYFUNCTION("""COMPUTED_VALUE"""),41049)</f>
        <v>41049</v>
      </c>
      <c r="I752" s="12">
        <f ca="1">IFERROR(__xludf.DUMMYFUNCTION("""COMPUTED_VALUE"""),41049)</f>
        <v>41049</v>
      </c>
      <c r="J752" s="14" t="str">
        <f ca="1">IFERROR(__xludf.DUMMYFUNCTION("""COMPUTED_VALUE"""),"Turner, JE")</f>
        <v>Turner, JE</v>
      </c>
      <c r="K752" s="15" t="str">
        <f ca="1">IFERROR(__xludf.DUMMYFUNCTION("""COMPUTED_VALUE"""),"Turner, JE")</f>
        <v>Turner, JE</v>
      </c>
      <c r="L752" s="17" t="str">
        <f ca="1">IFERROR(__xludf.DUMMYFUNCTION("""COMPUTED_VALUE"""),"closed")</f>
        <v>closed</v>
      </c>
      <c r="M752" s="17"/>
      <c r="N752" s="15" t="str">
        <f ca="1">IFERROR(__xludf.DUMMYFUNCTION("""COMPUTED_VALUE"""),"accepted")</f>
        <v>accepted</v>
      </c>
      <c r="O752" s="18" t="str">
        <f ca="1">IFERROR(__xludf.DUMMYFUNCTION("""COMPUTED_VALUE"""),"publish as Common redpoll sspp")</f>
        <v>publish as Common redpoll sspp</v>
      </c>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row>
    <row r="753" spans="1:80" ht="13.5" hidden="1" customHeight="1">
      <c r="A753" s="20">
        <f ca="1">IFERROR(__xludf.DUMMYFUNCTION("""COMPUTED_VALUE"""),2012)</f>
        <v>2012</v>
      </c>
      <c r="B753" s="45">
        <f ca="1">IFERROR(__xludf.DUMMYFUNCTION("""COMPUTED_VALUE"""),41583)</f>
        <v>41583</v>
      </c>
      <c r="C753" s="46" t="str">
        <f ca="1">IFERROR(__xludf.DUMMYFUNCTION("""COMPUTED_VALUE"""),"30/813")</f>
        <v>30/813</v>
      </c>
      <c r="D753" s="47" t="str">
        <f ca="1">IFERROR(__xludf.DUMMYFUNCTION("""COMPUTED_VALUE"""),"Nightjar")</f>
        <v>Nightjar</v>
      </c>
      <c r="E753" s="52">
        <f ca="1">IFERROR(__xludf.DUMMYFUNCTION("""COMPUTED_VALUE"""),1)</f>
        <v>1</v>
      </c>
      <c r="F753" s="25" t="str">
        <f ca="1">IFERROR(__xludf.DUMMYFUNCTION("""COMPUTED_VALUE"""),"m")</f>
        <v>m</v>
      </c>
      <c r="G753" s="48" t="str">
        <f ca="1">IFERROR(__xludf.DUMMYFUNCTION("""COMPUTED_VALUE"""),"Antrobus")</f>
        <v>Antrobus</v>
      </c>
      <c r="H753" s="22">
        <f ca="1">IFERROR(__xludf.DUMMYFUNCTION("""COMPUTED_VALUE"""),41041)</f>
        <v>41041</v>
      </c>
      <c r="I753" s="22">
        <f ca="1">IFERROR(__xludf.DUMMYFUNCTION("""COMPUTED_VALUE"""),41041)</f>
        <v>41041</v>
      </c>
      <c r="J753" s="24" t="str">
        <f ca="1">IFERROR(__xludf.DUMMYFUNCTION("""COMPUTED_VALUE"""),"Pownall, A")</f>
        <v>Pownall, A</v>
      </c>
      <c r="K753" s="25"/>
      <c r="L753" s="27" t="str">
        <f ca="1">IFERROR(__xludf.DUMMYFUNCTION("""COMPUTED_VALUE"""),"closed")</f>
        <v>closed</v>
      </c>
      <c r="M753" s="27" t="str">
        <f ca="1">IFERROR(__xludf.DUMMYFUNCTION("""COMPUTED_VALUE"""),"1st M")</f>
        <v>1st M</v>
      </c>
      <c r="N753" s="25" t="str">
        <f ca="1">IFERROR(__xludf.DUMMYFUNCTION("""COMPUTED_VALUE"""),"accepted")</f>
        <v>accepted</v>
      </c>
      <c r="O753" s="28"/>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c r="AQ753" s="25"/>
      <c r="AR753" s="25"/>
      <c r="AS753" s="25"/>
      <c r="AT753" s="25"/>
      <c r="AU753" s="25"/>
      <c r="AV753" s="25"/>
      <c r="AW753" s="25"/>
      <c r="AX753" s="25"/>
      <c r="AY753" s="25"/>
      <c r="AZ753" s="25"/>
      <c r="BA753" s="25"/>
      <c r="BB753" s="25"/>
      <c r="BC753" s="25"/>
      <c r="BD753" s="25"/>
      <c r="BE753" s="25"/>
      <c r="BF753" s="25"/>
      <c r="BG753" s="25"/>
      <c r="BH753" s="25"/>
      <c r="BI753" s="25"/>
      <c r="BJ753" s="25"/>
      <c r="BK753" s="25"/>
      <c r="BL753" s="25"/>
      <c r="BM753" s="25"/>
      <c r="BN753" s="25"/>
      <c r="BO753" s="25"/>
      <c r="BP753" s="25"/>
      <c r="BQ753" s="25"/>
      <c r="BR753" s="25"/>
      <c r="BS753" s="25"/>
      <c r="BT753" s="25"/>
      <c r="BU753" s="25"/>
      <c r="BV753" s="25"/>
      <c r="BW753" s="25"/>
      <c r="BX753" s="25"/>
      <c r="BY753" s="25"/>
      <c r="BZ753" s="25"/>
      <c r="CA753" s="25"/>
      <c r="CB753" s="25"/>
    </row>
    <row r="754" spans="1:80" ht="13.5" hidden="1" customHeight="1">
      <c r="A754" s="10">
        <f ca="1">IFERROR(__xludf.DUMMYFUNCTION("""COMPUTED_VALUE"""),2012)</f>
        <v>2012</v>
      </c>
      <c r="B754" s="50">
        <f ca="1">IFERROR(__xludf.DUMMYFUNCTION("""COMPUTED_VALUE"""),44574)</f>
        <v>44574</v>
      </c>
      <c r="C754" s="41"/>
      <c r="D754" s="42" t="str">
        <f ca="1">IFERROR(__xludf.DUMMYFUNCTION("""COMPUTED_VALUE"""),"Little Swift")</f>
        <v>Little Swift</v>
      </c>
      <c r="E754" s="53"/>
      <c r="F754" s="15"/>
      <c r="G754" s="44" t="str">
        <f ca="1">IFERROR(__xludf.DUMMYFUNCTION("""COMPUTED_VALUE"""),"New Brighton")</f>
        <v>New Brighton</v>
      </c>
      <c r="H754" s="12">
        <f ca="1">IFERROR(__xludf.DUMMYFUNCTION("""COMPUTED_VALUE"""),41082)</f>
        <v>41082</v>
      </c>
      <c r="I754" s="12">
        <f ca="1">IFERROR(__xludf.DUMMYFUNCTION("""COMPUTED_VALUE"""),41119)</f>
        <v>41119</v>
      </c>
      <c r="J754" s="14"/>
      <c r="K754" s="15"/>
      <c r="L754" s="17" t="str">
        <f ca="1">IFERROR(__xludf.DUMMYFUNCTION("""COMPUTED_VALUE"""),"closed")</f>
        <v>closed</v>
      </c>
      <c r="M754" s="17"/>
      <c r="N754" s="15" t="str">
        <f ca="1">IFERROR(__xludf.DUMMYFUNCTION("""COMPUTED_VALUE"""),"BBRC-OK")</f>
        <v>BBRC-OK</v>
      </c>
      <c r="O754" s="18" t="str">
        <f ca="1">IFERROR(__xludf.DUMMYFUNCTION("""COMPUTED_VALUE"""),"New Brighton, Wirral, juvenile, 22nd to 29th June, photo")</f>
        <v>New Brighton, Wirral, juvenile, 22nd to 29th June, photo</v>
      </c>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c r="BQ754" s="15"/>
      <c r="BR754" s="15"/>
      <c r="BS754" s="15"/>
      <c r="BT754" s="15"/>
      <c r="BU754" s="15"/>
      <c r="BV754" s="15"/>
      <c r="BW754" s="15"/>
      <c r="BX754" s="15"/>
      <c r="BY754" s="15"/>
      <c r="BZ754" s="15"/>
      <c r="CA754" s="15"/>
      <c r="CB754" s="15"/>
    </row>
    <row r="755" spans="1:80" ht="13.5" hidden="1" customHeight="1">
      <c r="A755" s="20">
        <f ca="1">IFERROR(__xludf.DUMMYFUNCTION("""COMPUTED_VALUE"""),2012)</f>
        <v>2012</v>
      </c>
      <c r="B755" s="45">
        <f ca="1">IFERROR(__xludf.DUMMYFUNCTION("""COMPUTED_VALUE"""),41582)</f>
        <v>41582</v>
      </c>
      <c r="C755" s="46">
        <f ca="1">IFERROR(__xludf.DUMMYFUNCTION("""COMPUTED_VALUE"""),37199)</f>
        <v>37199</v>
      </c>
      <c r="D755" s="47" t="str">
        <f ca="1">IFERROR(__xludf.DUMMYFUNCTION("""COMPUTED_VALUE"""),"Wryneck")</f>
        <v>Wryneck</v>
      </c>
      <c r="E755" s="52">
        <f ca="1">IFERROR(__xludf.DUMMYFUNCTION("""COMPUTED_VALUE"""),1)</f>
        <v>1</v>
      </c>
      <c r="F755" s="25"/>
      <c r="G755" s="48" t="str">
        <f ca="1">IFERROR(__xludf.DUMMYFUNCTION("""COMPUTED_VALUE"""),"Maw Green Tip")</f>
        <v>Maw Green Tip</v>
      </c>
      <c r="H755" s="22">
        <f ca="1">IFERROR(__xludf.DUMMYFUNCTION("""COMPUTED_VALUE"""),41034)</f>
        <v>41034</v>
      </c>
      <c r="I755" s="22">
        <f ca="1">IFERROR(__xludf.DUMMYFUNCTION("""COMPUTED_VALUE"""),41066)</f>
        <v>41066</v>
      </c>
      <c r="J755" s="24" t="str">
        <f ca="1">IFERROR(__xludf.DUMMYFUNCTION("""COMPUTED_VALUE"""),"Goodwin, A")</f>
        <v>Goodwin, A</v>
      </c>
      <c r="K755" s="25" t="str">
        <f ca="1">IFERROR(__xludf.DUMMYFUNCTION("""COMPUTED_VALUE"""),"Goodwin, A")</f>
        <v>Goodwin, A</v>
      </c>
      <c r="L755" s="27" t="str">
        <f ca="1">IFERROR(__xludf.DUMMYFUNCTION("""COMPUTED_VALUE"""),"closed")</f>
        <v>closed</v>
      </c>
      <c r="M755" s="27" t="str">
        <f ca="1">IFERROR(__xludf.DUMMYFUNCTION("""COMPUTED_VALUE"""),"1st U")</f>
        <v>1st U</v>
      </c>
      <c r="N755" s="40" t="str">
        <f ca="1">IFERROR(__xludf.DUMMYFUNCTION("""COMPUTED_VALUE"""),"accepted")</f>
        <v>accepted</v>
      </c>
      <c r="O755" s="28"/>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c r="AQ755" s="25"/>
      <c r="AR755" s="25"/>
      <c r="AS755" s="25"/>
      <c r="AT755" s="25"/>
      <c r="AU755" s="25"/>
      <c r="AV755" s="25"/>
      <c r="AW755" s="25"/>
      <c r="AX755" s="25"/>
      <c r="AY755" s="25"/>
      <c r="AZ755" s="25"/>
      <c r="BA755" s="25"/>
      <c r="BB755" s="25"/>
      <c r="BC755" s="25"/>
      <c r="BD755" s="25"/>
      <c r="BE755" s="25"/>
      <c r="BF755" s="25"/>
      <c r="BG755" s="25"/>
      <c r="BH755" s="25"/>
      <c r="BI755" s="25"/>
      <c r="BJ755" s="25"/>
      <c r="BK755" s="25"/>
      <c r="BL755" s="25"/>
      <c r="BM755" s="25"/>
      <c r="BN755" s="25"/>
      <c r="BO755" s="25"/>
      <c r="BP755" s="25"/>
      <c r="BQ755" s="25"/>
      <c r="BR755" s="25"/>
      <c r="BS755" s="25"/>
      <c r="BT755" s="25"/>
      <c r="BU755" s="25"/>
      <c r="BV755" s="25"/>
      <c r="BW755" s="25"/>
      <c r="BX755" s="25"/>
      <c r="BY755" s="25"/>
      <c r="BZ755" s="25"/>
      <c r="CA755" s="25"/>
      <c r="CB755" s="25"/>
    </row>
    <row r="756" spans="1:80" ht="13.5" hidden="1" customHeight="1">
      <c r="A756" s="10">
        <f ca="1">IFERROR(__xludf.DUMMYFUNCTION("""COMPUTED_VALUE"""),2012)</f>
        <v>2012</v>
      </c>
      <c r="B756" s="50">
        <f ca="1">IFERROR(__xludf.DUMMYFUNCTION("""COMPUTED_VALUE"""),41582)</f>
        <v>41582</v>
      </c>
      <c r="C756" s="41">
        <f ca="1">IFERROR(__xludf.DUMMYFUNCTION("""COMPUTED_VALUE"""),37199)</f>
        <v>37199</v>
      </c>
      <c r="D756" s="42" t="str">
        <f ca="1">IFERROR(__xludf.DUMMYFUNCTION("""COMPUTED_VALUE"""),"Wryneck")</f>
        <v>Wryneck</v>
      </c>
      <c r="E756" s="53">
        <f ca="1">IFERROR(__xludf.DUMMYFUNCTION("""COMPUTED_VALUE"""),1)</f>
        <v>1</v>
      </c>
      <c r="F756" s="15"/>
      <c r="G756" s="44" t="str">
        <f ca="1">IFERROR(__xludf.DUMMYFUNCTION("""COMPUTED_VALUE"""),"Maw Green Tip")</f>
        <v>Maw Green Tip</v>
      </c>
      <c r="H756" s="12">
        <f ca="1">IFERROR(__xludf.DUMMYFUNCTION("""COMPUTED_VALUE"""),41034)</f>
        <v>41034</v>
      </c>
      <c r="I756" s="12">
        <f ca="1">IFERROR(__xludf.DUMMYFUNCTION("""COMPUTED_VALUE"""),41065)</f>
        <v>41065</v>
      </c>
      <c r="J756" s="14" t="str">
        <f ca="1">IFERROR(__xludf.DUMMYFUNCTION("""COMPUTED_VALUE"""),"Woollen, P")</f>
        <v>Woollen, P</v>
      </c>
      <c r="K756" s="15" t="str">
        <f ca="1">IFERROR(__xludf.DUMMYFUNCTION("""COMPUTED_VALUE"""),"Goodwin, A")</f>
        <v>Goodwin, A</v>
      </c>
      <c r="L756" s="17" t="str">
        <f ca="1">IFERROR(__xludf.DUMMYFUNCTION("""COMPUTED_VALUE"""),"closed")</f>
        <v>closed</v>
      </c>
      <c r="M756" s="17" t="str">
        <f ca="1">IFERROR(__xludf.DUMMYFUNCTION("""COMPUTED_VALUE"""),"1st U")</f>
        <v>1st U</v>
      </c>
      <c r="N756" s="15" t="str">
        <f ca="1">IFERROR(__xludf.DUMMYFUNCTION("""COMPUTED_VALUE"""),"accepted")</f>
        <v>accepted</v>
      </c>
      <c r="O756" s="18"/>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row>
    <row r="757" spans="1:80" ht="13.5" hidden="1" customHeight="1">
      <c r="A757" s="20">
        <f ca="1">IFERROR(__xludf.DUMMYFUNCTION("""COMPUTED_VALUE"""),2012)</f>
        <v>2012</v>
      </c>
      <c r="B757" s="45">
        <f ca="1">IFERROR(__xludf.DUMMYFUNCTION("""COMPUTED_VALUE"""),41582)</f>
        <v>41582</v>
      </c>
      <c r="C757" s="46">
        <f ca="1">IFERROR(__xludf.DUMMYFUNCTION("""COMPUTED_VALUE"""),37199)</f>
        <v>37199</v>
      </c>
      <c r="D757" s="47" t="str">
        <f ca="1">IFERROR(__xludf.DUMMYFUNCTION("""COMPUTED_VALUE"""),"Wryneck")</f>
        <v>Wryneck</v>
      </c>
      <c r="E757" s="52">
        <f ca="1">IFERROR(__xludf.DUMMYFUNCTION("""COMPUTED_VALUE"""),1)</f>
        <v>1</v>
      </c>
      <c r="F757" s="25"/>
      <c r="G757" s="48" t="str">
        <f ca="1">IFERROR(__xludf.DUMMYFUNCTION("""COMPUTED_VALUE"""),"Maw Green Tip")</f>
        <v>Maw Green Tip</v>
      </c>
      <c r="H757" s="22">
        <f ca="1">IFERROR(__xludf.DUMMYFUNCTION("""COMPUTED_VALUE"""),41034)</f>
        <v>41034</v>
      </c>
      <c r="I757" s="22">
        <f ca="1">IFERROR(__xludf.DUMMYFUNCTION("""COMPUTED_VALUE"""),41065)</f>
        <v>41065</v>
      </c>
      <c r="J757" s="24" t="str">
        <f ca="1">IFERROR(__xludf.DUMMYFUNCTION("""COMPUTED_VALUE"""),"POD")</f>
        <v>POD</v>
      </c>
      <c r="K757" s="25" t="str">
        <f ca="1">IFERROR(__xludf.DUMMYFUNCTION("""COMPUTED_VALUE"""),"Goodwin, A")</f>
        <v>Goodwin, A</v>
      </c>
      <c r="L757" s="27" t="str">
        <f ca="1">IFERROR(__xludf.DUMMYFUNCTION("""COMPUTED_VALUE"""),"closed")</f>
        <v>closed</v>
      </c>
      <c r="M757" s="27" t="str">
        <f ca="1">IFERROR(__xludf.DUMMYFUNCTION("""COMPUTED_VALUE"""),"1st U")</f>
        <v>1st U</v>
      </c>
      <c r="N757" s="64" t="str">
        <f ca="1">IFERROR(__xludf.DUMMYFUNCTION("""COMPUTED_VALUE"""),"accepted")</f>
        <v>accepted</v>
      </c>
      <c r="O757" s="28"/>
      <c r="P757" s="64"/>
      <c r="Q757" s="40"/>
      <c r="R757" s="40"/>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c r="AQ757" s="25"/>
      <c r="AR757" s="25"/>
      <c r="AS757" s="25"/>
      <c r="AT757" s="25"/>
      <c r="AU757" s="25"/>
      <c r="AV757" s="25"/>
      <c r="AW757" s="25"/>
      <c r="AX757" s="25"/>
      <c r="AY757" s="25"/>
      <c r="AZ757" s="25"/>
      <c r="BA757" s="25"/>
      <c r="BB757" s="25"/>
      <c r="BC757" s="25"/>
      <c r="BD757" s="25"/>
      <c r="BE757" s="25"/>
      <c r="BF757" s="25"/>
      <c r="BG757" s="25"/>
      <c r="BH757" s="25"/>
      <c r="BI757" s="25"/>
      <c r="BJ757" s="25"/>
      <c r="BK757" s="25"/>
      <c r="BL757" s="25"/>
      <c r="BM757" s="25"/>
      <c r="BN757" s="25"/>
      <c r="BO757" s="25"/>
      <c r="BP757" s="25"/>
      <c r="BQ757" s="25"/>
      <c r="BR757" s="25"/>
      <c r="BS757" s="25"/>
      <c r="BT757" s="25"/>
      <c r="BU757" s="25"/>
      <c r="BV757" s="25"/>
      <c r="BW757" s="25"/>
      <c r="BX757" s="25"/>
      <c r="BY757" s="25"/>
      <c r="BZ757" s="25"/>
      <c r="CA757" s="25"/>
      <c r="CB757" s="25"/>
    </row>
    <row r="758" spans="1:80" ht="13.5" hidden="1" customHeight="1">
      <c r="A758" s="10">
        <f ca="1">IFERROR(__xludf.DUMMYFUNCTION("""COMPUTED_VALUE"""),2012)</f>
        <v>2012</v>
      </c>
      <c r="B758" s="50">
        <f ca="1">IFERROR(__xludf.DUMMYFUNCTION("""COMPUTED_VALUE"""),41582)</f>
        <v>41582</v>
      </c>
      <c r="C758" s="41">
        <f ca="1">IFERROR(__xludf.DUMMYFUNCTION("""COMPUTED_VALUE"""),37199)</f>
        <v>37199</v>
      </c>
      <c r="D758" s="42" t="str">
        <f ca="1">IFERROR(__xludf.DUMMYFUNCTION("""COMPUTED_VALUE"""),"Wryneck")</f>
        <v>Wryneck</v>
      </c>
      <c r="E758" s="53">
        <f ca="1">IFERROR(__xludf.DUMMYFUNCTION("""COMPUTED_VALUE"""),1)</f>
        <v>1</v>
      </c>
      <c r="F758" s="15"/>
      <c r="G758" s="44" t="str">
        <f ca="1">IFERROR(__xludf.DUMMYFUNCTION("""COMPUTED_VALUE"""),"Maw Green Tip")</f>
        <v>Maw Green Tip</v>
      </c>
      <c r="H758" s="12">
        <f ca="1">IFERROR(__xludf.DUMMYFUNCTION("""COMPUTED_VALUE"""),41034)</f>
        <v>41034</v>
      </c>
      <c r="I758" s="12">
        <f ca="1">IFERROR(__xludf.DUMMYFUNCTION("""COMPUTED_VALUE"""),41065)</f>
        <v>41065</v>
      </c>
      <c r="J758" s="14" t="str">
        <f ca="1">IFERROR(__xludf.DUMMYFUNCTION("""COMPUTED_VALUE"""),"Robinson, D")</f>
        <v>Robinson, D</v>
      </c>
      <c r="K758" s="15" t="str">
        <f ca="1">IFERROR(__xludf.DUMMYFUNCTION("""COMPUTED_VALUE"""),"Goodwin, A")</f>
        <v>Goodwin, A</v>
      </c>
      <c r="L758" s="17" t="str">
        <f ca="1">IFERROR(__xludf.DUMMYFUNCTION("""COMPUTED_VALUE"""),"closed")</f>
        <v>closed</v>
      </c>
      <c r="M758" s="17" t="str">
        <f ca="1">IFERROR(__xludf.DUMMYFUNCTION("""COMPUTED_VALUE"""),"1st U")</f>
        <v>1st U</v>
      </c>
      <c r="N758" s="15" t="str">
        <f ca="1">IFERROR(__xludf.DUMMYFUNCTION("""COMPUTED_VALUE"""),"accepted")</f>
        <v>accepted</v>
      </c>
      <c r="O758" s="18"/>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row>
    <row r="759" spans="1:80" ht="13.5" hidden="1" customHeight="1">
      <c r="A759" s="20">
        <f ca="1">IFERROR(__xludf.DUMMYFUNCTION("""COMPUTED_VALUE"""),2012)</f>
        <v>2012</v>
      </c>
      <c r="B759" s="45">
        <f ca="1">IFERROR(__xludf.DUMMYFUNCTION("""COMPUTED_VALUE"""),41587)</f>
        <v>41587</v>
      </c>
      <c r="C759" s="46">
        <f ca="1">IFERROR(__xludf.DUMMYFUNCTION("""COMPUTED_VALUE"""),41582)</f>
        <v>41582</v>
      </c>
      <c r="D759" s="47" t="str">
        <f ca="1">IFERROR(__xludf.DUMMYFUNCTION("""COMPUTED_VALUE"""),"Water Pipit")</f>
        <v>Water Pipit</v>
      </c>
      <c r="E759" s="52"/>
      <c r="F759" s="25"/>
      <c r="G759" s="48" t="str">
        <f ca="1">IFERROR(__xludf.DUMMYFUNCTION("""COMPUTED_VALUE"""),"Neston Marsh, Dee Est Saltmarsh RSPB")</f>
        <v>Neston Marsh, Dee Est Saltmarsh RSPB</v>
      </c>
      <c r="H759" s="22">
        <f ca="1">IFERROR(__xludf.DUMMYFUNCTION("""COMPUTED_VALUE"""),40914)</f>
        <v>40914</v>
      </c>
      <c r="I759" s="22">
        <f ca="1">IFERROR(__xludf.DUMMYFUNCTION("""COMPUTED_VALUE"""),41310)</f>
        <v>41310</v>
      </c>
      <c r="J759" s="24" t="str">
        <f ca="1">IFERROR(__xludf.DUMMYFUNCTION("""COMPUTED_VALUE"""),"R Eades")</f>
        <v>R Eades</v>
      </c>
      <c r="K759" s="64" t="str">
        <f ca="1">IFERROR(__xludf.DUMMYFUNCTION("""COMPUTED_VALUE"""),"R Eades")</f>
        <v>R Eades</v>
      </c>
      <c r="L759" s="27" t="str">
        <f ca="1">IFERROR(__xludf.DUMMYFUNCTION("""COMPUTED_VALUE"""),"closed")</f>
        <v>closed</v>
      </c>
      <c r="M759" s="27" t="str">
        <f ca="1">IFERROR(__xludf.DUMMYFUNCTION("""COMPUTED_VALUE"""),"2ndM")</f>
        <v>2ndM</v>
      </c>
      <c r="N759" s="25" t="str">
        <f ca="1">IFERROR(__xludf.DUMMYFUNCTION("""COMPUTED_VALUE"""),"accepted")</f>
        <v>accepted</v>
      </c>
      <c r="O759" s="65" t="str">
        <f ca="1">IFERROR(__xludf.DUMMYFUNCTION("""COMPUTED_VALUE"""),"record as either littoralis or Water for 6th Jan and Water for Feb 5th")</f>
        <v>record as either littoralis or Water for 6th Jan and Water for Feb 5th</v>
      </c>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c r="AQ759" s="25"/>
      <c r="AR759" s="25"/>
      <c r="AS759" s="25"/>
      <c r="AT759" s="25"/>
      <c r="AU759" s="25"/>
      <c r="AV759" s="25"/>
      <c r="AW759" s="25"/>
      <c r="AX759" s="25"/>
      <c r="AY759" s="25"/>
      <c r="AZ759" s="25"/>
      <c r="BA759" s="25"/>
      <c r="BB759" s="25"/>
      <c r="BC759" s="25"/>
      <c r="BD759" s="25"/>
      <c r="BE759" s="25"/>
      <c r="BF759" s="25"/>
      <c r="BG759" s="25"/>
      <c r="BH759" s="25"/>
      <c r="BI759" s="25"/>
      <c r="BJ759" s="25"/>
      <c r="BK759" s="25"/>
      <c r="BL759" s="25"/>
      <c r="BM759" s="25"/>
      <c r="BN759" s="25"/>
      <c r="BO759" s="25"/>
      <c r="BP759" s="25"/>
      <c r="BQ759" s="25"/>
      <c r="BR759" s="25"/>
      <c r="BS759" s="25"/>
      <c r="BT759" s="25"/>
      <c r="BU759" s="25"/>
      <c r="BV759" s="25"/>
      <c r="BW759" s="25"/>
      <c r="BX759" s="25"/>
      <c r="BY759" s="25"/>
      <c r="BZ759" s="25"/>
      <c r="CA759" s="25"/>
      <c r="CB759" s="25"/>
    </row>
    <row r="760" spans="1:80" ht="13.5" hidden="1" customHeight="1">
      <c r="A760" s="10">
        <f ca="1">IFERROR(__xludf.DUMMYFUNCTION("""COMPUTED_VALUE"""),2012)</f>
        <v>2012</v>
      </c>
      <c r="B760" s="50">
        <f ca="1">IFERROR(__xludf.DUMMYFUNCTION("""COMPUTED_VALUE"""),41516)</f>
        <v>41516</v>
      </c>
      <c r="C760" s="41">
        <f ca="1">IFERROR(__xludf.DUMMYFUNCTION("""COMPUTED_VALUE"""),41333)</f>
        <v>41333</v>
      </c>
      <c r="D760" s="42" t="str">
        <f ca="1">IFERROR(__xludf.DUMMYFUNCTION("""COMPUTED_VALUE"""),"Water Pipit")</f>
        <v>Water Pipit</v>
      </c>
      <c r="E760" s="53">
        <f ca="1">IFERROR(__xludf.DUMMYFUNCTION("""COMPUTED_VALUE"""),1)</f>
        <v>1</v>
      </c>
      <c r="F760" s="15"/>
      <c r="G760" s="44" t="str">
        <f ca="1">IFERROR(__xludf.DUMMYFUNCTION("""COMPUTED_VALUE"""),"Neston Old Quay, Dee Est NR RSPB")</f>
        <v>Neston Old Quay, Dee Est NR RSPB</v>
      </c>
      <c r="H760" s="12">
        <f ca="1">IFERROR(__xludf.DUMMYFUNCTION("""COMPUTED_VALUE"""),40921)</f>
        <v>40921</v>
      </c>
      <c r="I760" s="13"/>
      <c r="J760" s="14" t="str">
        <f ca="1">IFERROR(__xludf.DUMMYFUNCTION("""COMPUTED_VALUE"""),"Barber, J")</f>
        <v>Barber, J</v>
      </c>
      <c r="K760" s="15"/>
      <c r="L760" s="17" t="str">
        <f ca="1">IFERROR(__xludf.DUMMYFUNCTION("""COMPUTED_VALUE"""),"closed")</f>
        <v>closed</v>
      </c>
      <c r="M760" s="17" t="str">
        <f ca="1">IFERROR(__xludf.DUMMYFUNCTION("""COMPUTED_VALUE"""),"1st M")</f>
        <v>1st M</v>
      </c>
      <c r="N760" s="15" t="str">
        <f ca="1">IFERROR(__xludf.DUMMYFUNCTION("""COMPUTED_VALUE"""),"accepted")</f>
        <v>accepted</v>
      </c>
      <c r="O760" s="18"/>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c r="BQ760" s="15"/>
      <c r="BR760" s="15"/>
      <c r="BS760" s="15"/>
      <c r="BT760" s="15"/>
      <c r="BU760" s="15"/>
      <c r="BV760" s="15"/>
      <c r="BW760" s="15"/>
      <c r="BX760" s="15"/>
      <c r="BY760" s="15"/>
      <c r="BZ760" s="15"/>
      <c r="CA760" s="15"/>
      <c r="CB760" s="15"/>
    </row>
    <row r="761" spans="1:80" ht="13.5" hidden="1" customHeight="1">
      <c r="A761" s="20">
        <f ca="1">IFERROR(__xludf.DUMMYFUNCTION("""COMPUTED_VALUE"""),2012)</f>
        <v>2012</v>
      </c>
      <c r="B761" s="45">
        <f ca="1">IFERROR(__xludf.DUMMYFUNCTION("""COMPUTED_VALUE"""),41587)</f>
        <v>41587</v>
      </c>
      <c r="C761" s="46">
        <f ca="1">IFERROR(__xludf.DUMMYFUNCTION("""COMPUTED_VALUE"""),41516)</f>
        <v>41516</v>
      </c>
      <c r="D761" s="47" t="str">
        <f ca="1">IFERROR(__xludf.DUMMYFUNCTION("""COMPUTED_VALUE"""),"Turtle Dove")</f>
        <v>Turtle Dove</v>
      </c>
      <c r="E761" s="52"/>
      <c r="F761" s="25"/>
      <c r="G761" s="48" t="str">
        <f ca="1">IFERROR(__xludf.DUMMYFUNCTION("""COMPUTED_VALUE"""),"Red Rocks, Hoylake")</f>
        <v>Red Rocks, Hoylake</v>
      </c>
      <c r="H761" s="22">
        <f ca="1">IFERROR(__xludf.DUMMYFUNCTION("""COMPUTED_VALUE"""),41054)</f>
        <v>41054</v>
      </c>
      <c r="I761" s="22">
        <f ca="1">IFERROR(__xludf.DUMMYFUNCTION("""COMPUTED_VALUE"""),41054)</f>
        <v>41054</v>
      </c>
      <c r="J761" s="24" t="str">
        <f ca="1">IFERROR(__xludf.DUMMYFUNCTION("""COMPUTED_VALUE"""),"Turner, JE")</f>
        <v>Turner, JE</v>
      </c>
      <c r="K761" s="25" t="str">
        <f ca="1">IFERROR(__xludf.DUMMYFUNCTION("""COMPUTED_VALUE"""),"Turner, JE")</f>
        <v>Turner, JE</v>
      </c>
      <c r="L761" s="27" t="str">
        <f ca="1">IFERROR(__xludf.DUMMYFUNCTION("""COMPUTED_VALUE"""),"closed")</f>
        <v>closed</v>
      </c>
      <c r="M761" s="27" t="str">
        <f ca="1">IFERROR(__xludf.DUMMYFUNCTION("""COMPUTED_VALUE"""),"2nd M")</f>
        <v>2nd M</v>
      </c>
      <c r="N761" s="25" t="str">
        <f ca="1">IFERROR(__xludf.DUMMYFUNCTION("""COMPUTED_VALUE"""),"accepted")</f>
        <v>accepted</v>
      </c>
      <c r="O761" s="28"/>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c r="AQ761" s="25"/>
      <c r="AR761" s="25"/>
      <c r="AS761" s="25"/>
      <c r="AT761" s="25"/>
      <c r="AU761" s="25"/>
      <c r="AV761" s="25"/>
      <c r="AW761" s="25"/>
      <c r="AX761" s="25"/>
      <c r="AY761" s="25"/>
      <c r="AZ761" s="25"/>
      <c r="BA761" s="25"/>
      <c r="BB761" s="25"/>
      <c r="BC761" s="25"/>
      <c r="BD761" s="25"/>
      <c r="BE761" s="25"/>
      <c r="BF761" s="25"/>
      <c r="BG761" s="25"/>
      <c r="BH761" s="25"/>
      <c r="BI761" s="25"/>
      <c r="BJ761" s="25"/>
      <c r="BK761" s="25"/>
      <c r="BL761" s="25"/>
      <c r="BM761" s="25"/>
      <c r="BN761" s="25"/>
      <c r="BO761" s="25"/>
      <c r="BP761" s="25"/>
      <c r="BQ761" s="25"/>
      <c r="BR761" s="25"/>
      <c r="BS761" s="25"/>
      <c r="BT761" s="25"/>
      <c r="BU761" s="25"/>
      <c r="BV761" s="25"/>
      <c r="BW761" s="25"/>
      <c r="BX761" s="25"/>
      <c r="BY761" s="25"/>
      <c r="BZ761" s="25"/>
      <c r="CA761" s="25"/>
      <c r="CB761" s="25"/>
    </row>
    <row r="762" spans="1:80" ht="13.5" hidden="1" customHeight="1">
      <c r="A762" s="10">
        <f ca="1">IFERROR(__xludf.DUMMYFUNCTION("""COMPUTED_VALUE"""),2012)</f>
        <v>2012</v>
      </c>
      <c r="B762" s="50">
        <f ca="1">IFERROR(__xludf.DUMMYFUNCTION("""COMPUTED_VALUE"""),41517)</f>
        <v>41517</v>
      </c>
      <c r="C762" s="41">
        <f ca="1">IFERROR(__xludf.DUMMYFUNCTION("""COMPUTED_VALUE"""),41513)</f>
        <v>41513</v>
      </c>
      <c r="D762" s="42" t="str">
        <f ca="1">IFERROR(__xludf.DUMMYFUNCTION("""COMPUTED_VALUE"""),"Corncrake")</f>
        <v>Corncrake</v>
      </c>
      <c r="E762" s="53">
        <f ca="1">IFERROR(__xludf.DUMMYFUNCTION("""COMPUTED_VALUE"""),1)</f>
        <v>1</v>
      </c>
      <c r="F762" s="15"/>
      <c r="G762" s="44" t="str">
        <f ca="1">IFERROR(__xludf.DUMMYFUNCTION("""COMPUTED_VALUE"""),"Red Rocks, Hoylake")</f>
        <v>Red Rocks, Hoylake</v>
      </c>
      <c r="H762" s="12">
        <f ca="1">IFERROR(__xludf.DUMMYFUNCTION("""COMPUTED_VALUE"""),41135)</f>
        <v>41135</v>
      </c>
      <c r="I762" s="12">
        <f ca="1">IFERROR(__xludf.DUMMYFUNCTION("""COMPUTED_VALUE"""),41135)</f>
        <v>41135</v>
      </c>
      <c r="J762" s="14" t="str">
        <f ca="1">IFERROR(__xludf.DUMMYFUNCTION("""COMPUTED_VALUE"""),"Turner, JE")</f>
        <v>Turner, JE</v>
      </c>
      <c r="K762" s="15" t="str">
        <f ca="1">IFERROR(__xludf.DUMMYFUNCTION("""COMPUTED_VALUE"""),"Turner, JE")</f>
        <v>Turner, JE</v>
      </c>
      <c r="L762" s="17" t="str">
        <f ca="1">IFERROR(__xludf.DUMMYFUNCTION("""COMPUTED_VALUE"""),"closed")</f>
        <v>closed</v>
      </c>
      <c r="M762" s="17" t="str">
        <f ca="1">IFERROR(__xludf.DUMMYFUNCTION("""COMPUTED_VALUE"""),"1st U")</f>
        <v>1st U</v>
      </c>
      <c r="N762" s="15" t="str">
        <f ca="1">IFERROR(__xludf.DUMMYFUNCTION("""COMPUTED_VALUE"""),"accepted")</f>
        <v>accepted</v>
      </c>
      <c r="O762" s="18"/>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c r="BQ762" s="15"/>
      <c r="BR762" s="15"/>
      <c r="BS762" s="15"/>
      <c r="BT762" s="15"/>
      <c r="BU762" s="15"/>
      <c r="BV762" s="15"/>
      <c r="BW762" s="15"/>
      <c r="BX762" s="15"/>
      <c r="BY762" s="15"/>
      <c r="BZ762" s="15"/>
      <c r="CA762" s="15"/>
      <c r="CB762" s="15"/>
    </row>
    <row r="763" spans="1:80" ht="13.5" hidden="1" customHeight="1">
      <c r="A763" s="20">
        <f ca="1">IFERROR(__xludf.DUMMYFUNCTION("""COMPUTED_VALUE"""),2012)</f>
        <v>2012</v>
      </c>
      <c r="B763" s="45">
        <f ca="1">IFERROR(__xludf.DUMMYFUNCTION("""COMPUTED_VALUE"""),41509)</f>
        <v>41509</v>
      </c>
      <c r="C763" s="46"/>
      <c r="D763" s="47" t="str">
        <f ca="1">IFERROR(__xludf.DUMMYFUNCTION("""COMPUTED_VALUE"""),"Crane")</f>
        <v>Crane</v>
      </c>
      <c r="E763" s="52"/>
      <c r="F763" s="25"/>
      <c r="G763" s="48" t="str">
        <f ca="1">IFERROR(__xludf.DUMMYFUNCTION("""COMPUTED_VALUE"""),"Antrobus")</f>
        <v>Antrobus</v>
      </c>
      <c r="H763" s="22">
        <f ca="1">IFERROR(__xludf.DUMMYFUNCTION("""COMPUTED_VALUE"""),41012)</f>
        <v>41012</v>
      </c>
      <c r="I763" s="22">
        <f ca="1">IFERROR(__xludf.DUMMYFUNCTION("""COMPUTED_VALUE"""),41012)</f>
        <v>41012</v>
      </c>
      <c r="J763" s="24" t="str">
        <f ca="1">IFERROR(__xludf.DUMMYFUNCTION("""COMPUTED_VALUE"""),"Pownall, A")</f>
        <v>Pownall, A</v>
      </c>
      <c r="K763" s="25"/>
      <c r="L763" s="27" t="str">
        <f ca="1">IFERROR(__xludf.DUMMYFUNCTION("""COMPUTED_VALUE"""),"closed")</f>
        <v>closed</v>
      </c>
      <c r="M763" s="27" t="str">
        <f ca="1">IFERROR(__xludf.DUMMYFUNCTION("""COMPUTED_VALUE"""),"1st U")</f>
        <v>1st U</v>
      </c>
      <c r="N763" s="25" t="str">
        <f ca="1">IFERROR(__xludf.DUMMYFUNCTION("""COMPUTED_VALUE"""),"accepted")</f>
        <v>accepted</v>
      </c>
      <c r="O763" s="28"/>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c r="AQ763" s="25"/>
      <c r="AR763" s="25"/>
      <c r="AS763" s="25"/>
      <c r="AT763" s="25"/>
      <c r="AU763" s="25"/>
      <c r="AV763" s="25"/>
      <c r="AW763" s="25"/>
      <c r="AX763" s="25"/>
      <c r="AY763" s="25"/>
      <c r="AZ763" s="25"/>
      <c r="BA763" s="25"/>
      <c r="BB763" s="25"/>
      <c r="BC763" s="25"/>
      <c r="BD763" s="25"/>
      <c r="BE763" s="25"/>
      <c r="BF763" s="25"/>
      <c r="BG763" s="25"/>
      <c r="BH763" s="25"/>
      <c r="BI763" s="25"/>
      <c r="BJ763" s="25"/>
      <c r="BK763" s="25"/>
      <c r="BL763" s="25"/>
      <c r="BM763" s="25"/>
      <c r="BN763" s="25"/>
      <c r="BO763" s="25"/>
      <c r="BP763" s="25"/>
      <c r="BQ763" s="25"/>
      <c r="BR763" s="25"/>
      <c r="BS763" s="25"/>
      <c r="BT763" s="25"/>
      <c r="BU763" s="25"/>
      <c r="BV763" s="25"/>
      <c r="BW763" s="25"/>
      <c r="BX763" s="25"/>
      <c r="BY763" s="25"/>
      <c r="BZ763" s="25"/>
      <c r="CA763" s="25"/>
      <c r="CB763" s="25"/>
    </row>
    <row r="764" spans="1:80" ht="13.5" hidden="1" customHeight="1">
      <c r="A764" s="10">
        <f ca="1">IFERROR(__xludf.DUMMYFUNCTION("""COMPUTED_VALUE"""),2012)</f>
        <v>2012</v>
      </c>
      <c r="B764" s="50">
        <f ca="1">IFERROR(__xludf.DUMMYFUNCTION("""COMPUTED_VALUE"""),41327)</f>
        <v>41327</v>
      </c>
      <c r="C764" s="41">
        <f ca="1">IFERROR(__xludf.DUMMYFUNCTION("""COMPUTED_VALUE"""),41327)</f>
        <v>41327</v>
      </c>
      <c r="D764" s="42" t="str">
        <f ca="1">IFERROR(__xludf.DUMMYFUNCTION("""COMPUTED_VALUE"""),"Crane")</f>
        <v>Crane</v>
      </c>
      <c r="E764" s="53">
        <f ca="1">IFERROR(__xludf.DUMMYFUNCTION("""COMPUTED_VALUE"""),3)</f>
        <v>3</v>
      </c>
      <c r="F764" s="15"/>
      <c r="G764" s="44" t="str">
        <f ca="1">IFERROR(__xludf.DUMMYFUNCTION("""COMPUTED_VALUE"""),"Antrobus")</f>
        <v>Antrobus</v>
      </c>
      <c r="H764" s="12">
        <f ca="1">IFERROR(__xludf.DUMMYFUNCTION("""COMPUTED_VALUE"""),41013)</f>
        <v>41013</v>
      </c>
      <c r="I764" s="12">
        <f ca="1">IFERROR(__xludf.DUMMYFUNCTION("""COMPUTED_VALUE"""),41013)</f>
        <v>41013</v>
      </c>
      <c r="J764" s="14" t="str">
        <f ca="1">IFERROR(__xludf.DUMMYFUNCTION("""COMPUTED_VALUE"""),"Pownall, A")</f>
        <v>Pownall, A</v>
      </c>
      <c r="K764" s="15" t="str">
        <f ca="1">IFERROR(__xludf.DUMMYFUNCTION("""COMPUTED_VALUE"""),"Pownall, A")</f>
        <v>Pownall, A</v>
      </c>
      <c r="L764" s="17" t="str">
        <f ca="1">IFERROR(__xludf.DUMMYFUNCTION("""COMPUTED_VALUE"""),"closed")</f>
        <v>closed</v>
      </c>
      <c r="M764" s="17" t="str">
        <f ca="1">IFERROR(__xludf.DUMMYFUNCTION("""COMPUTED_VALUE"""),"1st U")</f>
        <v>1st U</v>
      </c>
      <c r="N764" s="15" t="str">
        <f ca="1">IFERROR(__xludf.DUMMYFUNCTION("""COMPUTED_VALUE"""),"accepted")</f>
        <v>accepted</v>
      </c>
      <c r="O764" s="18"/>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row>
    <row r="765" spans="1:80" ht="13.5" hidden="1" customHeight="1">
      <c r="A765" s="20">
        <f ca="1">IFERROR(__xludf.DUMMYFUNCTION("""COMPUTED_VALUE"""),2012)</f>
        <v>2012</v>
      </c>
      <c r="B765" s="45">
        <f ca="1">IFERROR(__xludf.DUMMYFUNCTION("""COMPUTED_VALUE"""),41327)</f>
        <v>41327</v>
      </c>
      <c r="C765" s="46">
        <f ca="1">IFERROR(__xludf.DUMMYFUNCTION("""COMPUTED_VALUE"""),41327)</f>
        <v>41327</v>
      </c>
      <c r="D765" s="47" t="str">
        <f ca="1">IFERROR(__xludf.DUMMYFUNCTION("""COMPUTED_VALUE"""),"Crane")</f>
        <v>Crane</v>
      </c>
      <c r="E765" s="52">
        <f ca="1">IFERROR(__xludf.DUMMYFUNCTION("""COMPUTED_VALUE"""),2)</f>
        <v>2</v>
      </c>
      <c r="F765" s="25" t="str">
        <f ca="1">IFERROR(__xludf.DUMMYFUNCTION("""COMPUTED_VALUE"""),"ad")</f>
        <v>ad</v>
      </c>
      <c r="G765" s="48" t="str">
        <f ca="1">IFERROR(__xludf.DUMMYFUNCTION("""COMPUTED_VALUE"""),"Rixton")</f>
        <v>Rixton</v>
      </c>
      <c r="H765" s="22">
        <f ca="1">IFERROR(__xludf.DUMMYFUNCTION("""COMPUTED_VALUE"""),41014)</f>
        <v>41014</v>
      </c>
      <c r="I765" s="22">
        <f ca="1">IFERROR(__xludf.DUMMYFUNCTION("""COMPUTED_VALUE"""),41014)</f>
        <v>41014</v>
      </c>
      <c r="J765" s="24" t="str">
        <f ca="1">IFERROR(__xludf.DUMMYFUNCTION("""COMPUTED_VALUE"""),"Baron, Mike")</f>
        <v>Baron, Mike</v>
      </c>
      <c r="K765" s="25" t="str">
        <f ca="1">IFERROR(__xludf.DUMMYFUNCTION("""COMPUTED_VALUE"""),"Pete Hilton")</f>
        <v>Pete Hilton</v>
      </c>
      <c r="L765" s="27" t="str">
        <f ca="1">IFERROR(__xludf.DUMMYFUNCTION("""COMPUTED_VALUE"""),"closed")</f>
        <v>closed</v>
      </c>
      <c r="M765" s="27" t="str">
        <f ca="1">IFERROR(__xludf.DUMMYFUNCTION("""COMPUTED_VALUE"""),"1st U")</f>
        <v>1st U</v>
      </c>
      <c r="N765" s="25" t="str">
        <f ca="1">IFERROR(__xludf.DUMMYFUNCTION("""COMPUTED_VALUE"""),"accepted")</f>
        <v>accepted</v>
      </c>
      <c r="O765" s="28"/>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c r="AQ765" s="25"/>
      <c r="AR765" s="25"/>
      <c r="AS765" s="25"/>
      <c r="AT765" s="25"/>
      <c r="AU765" s="25"/>
      <c r="AV765" s="25"/>
      <c r="AW765" s="25"/>
      <c r="AX765" s="25"/>
      <c r="AY765" s="25"/>
      <c r="AZ765" s="25"/>
      <c r="BA765" s="25"/>
      <c r="BB765" s="25"/>
      <c r="BC765" s="25"/>
      <c r="BD765" s="25"/>
      <c r="BE765" s="25"/>
      <c r="BF765" s="25"/>
      <c r="BG765" s="25"/>
      <c r="BH765" s="25"/>
      <c r="BI765" s="25"/>
      <c r="BJ765" s="25"/>
      <c r="BK765" s="25"/>
      <c r="BL765" s="25"/>
      <c r="BM765" s="25"/>
      <c r="BN765" s="25"/>
      <c r="BO765" s="25"/>
      <c r="BP765" s="25"/>
      <c r="BQ765" s="25"/>
      <c r="BR765" s="25"/>
      <c r="BS765" s="25"/>
      <c r="BT765" s="25"/>
      <c r="BU765" s="25"/>
      <c r="BV765" s="25"/>
      <c r="BW765" s="25"/>
      <c r="BX765" s="25"/>
      <c r="BY765" s="25"/>
      <c r="BZ765" s="25"/>
      <c r="CA765" s="25"/>
      <c r="CB765" s="25"/>
    </row>
    <row r="766" spans="1:80" ht="13.5" hidden="1" customHeight="1">
      <c r="A766" s="10">
        <f ca="1">IFERROR(__xludf.DUMMYFUNCTION("""COMPUTED_VALUE"""),2012)</f>
        <v>2012</v>
      </c>
      <c r="B766" s="50">
        <f ca="1">IFERROR(__xludf.DUMMYFUNCTION("""COMPUTED_VALUE"""),41325)</f>
        <v>41325</v>
      </c>
      <c r="C766" s="41">
        <f ca="1">IFERROR(__xludf.DUMMYFUNCTION("""COMPUTED_VALUE"""),41325)</f>
        <v>41325</v>
      </c>
      <c r="D766" s="42" t="str">
        <f ca="1">IFERROR(__xludf.DUMMYFUNCTION("""COMPUTED_VALUE"""),"Crane")</f>
        <v>Crane</v>
      </c>
      <c r="E766" s="53">
        <f ca="1">IFERROR(__xludf.DUMMYFUNCTION("""COMPUTED_VALUE"""),2)</f>
        <v>2</v>
      </c>
      <c r="F766" s="15" t="str">
        <f ca="1">IFERROR(__xludf.DUMMYFUNCTION("""COMPUTED_VALUE"""),"ad")</f>
        <v>ad</v>
      </c>
      <c r="G766" s="44" t="str">
        <f ca="1">IFERROR(__xludf.DUMMYFUNCTION("""COMPUTED_VALUE"""),"Bickley Hall Farm")</f>
        <v>Bickley Hall Farm</v>
      </c>
      <c r="H766" s="12">
        <f ca="1">IFERROR(__xludf.DUMMYFUNCTION("""COMPUTED_VALUE"""),41028)</f>
        <v>41028</v>
      </c>
      <c r="I766" s="12">
        <f ca="1">IFERROR(__xludf.DUMMYFUNCTION("""COMPUTED_VALUE"""),41047)</f>
        <v>41047</v>
      </c>
      <c r="J766" s="14" t="str">
        <f ca="1">IFERROR(__xludf.DUMMYFUNCTION("""COMPUTED_VALUE"""),"Friswell, N")</f>
        <v>Friswell, N</v>
      </c>
      <c r="K766" s="15" t="str">
        <f ca="1">IFERROR(__xludf.DUMMYFUNCTION("""COMPUTED_VALUE"""),"??")</f>
        <v>??</v>
      </c>
      <c r="L766" s="17" t="str">
        <f ca="1">IFERROR(__xludf.DUMMYFUNCTION("""COMPUTED_VALUE"""),"closed")</f>
        <v>closed</v>
      </c>
      <c r="M766" s="17" t="str">
        <f ca="1">IFERROR(__xludf.DUMMYFUNCTION("""COMPUTED_VALUE"""),"1st U")</f>
        <v>1st U</v>
      </c>
      <c r="N766" s="15" t="str">
        <f ca="1">IFERROR(__xludf.DUMMYFUNCTION("""COMPUTED_VALUE"""),"Accepted")</f>
        <v>Accepted</v>
      </c>
      <c r="O766" s="18"/>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row>
    <row r="767" spans="1:80" ht="13.5" hidden="1" customHeight="1">
      <c r="A767" s="20">
        <f ca="1">IFERROR(__xludf.DUMMYFUNCTION("""COMPUTED_VALUE"""),2012)</f>
        <v>2012</v>
      </c>
      <c r="B767" s="45">
        <f ca="1">IFERROR(__xludf.DUMMYFUNCTION("""COMPUTED_VALUE"""),41587)</f>
        <v>41587</v>
      </c>
      <c r="C767" s="46">
        <f ca="1">IFERROR(__xludf.DUMMYFUNCTION("""COMPUTED_VALUE"""),41582)</f>
        <v>41582</v>
      </c>
      <c r="D767" s="47" t="str">
        <f ca="1">IFERROR(__xludf.DUMMYFUNCTION("""COMPUTED_VALUE"""),"Crane")</f>
        <v>Crane</v>
      </c>
      <c r="E767" s="52"/>
      <c r="F767" s="25"/>
      <c r="G767" s="48" t="str">
        <f ca="1">IFERROR(__xludf.DUMMYFUNCTION("""COMPUTED_VALUE"""),"Aldford")</f>
        <v>Aldford</v>
      </c>
      <c r="H767" s="22">
        <f ca="1">IFERROR(__xludf.DUMMYFUNCTION("""COMPUTED_VALUE"""),41057)</f>
        <v>41057</v>
      </c>
      <c r="I767" s="22">
        <f ca="1">IFERROR(__xludf.DUMMYFUNCTION("""COMPUTED_VALUE"""),41057)</f>
        <v>41057</v>
      </c>
      <c r="J767" s="24"/>
      <c r="K767" s="25"/>
      <c r="L767" s="27" t="str">
        <f ca="1">IFERROR(__xludf.DUMMYFUNCTION("""COMPUTED_VALUE"""),"closed")</f>
        <v>closed</v>
      </c>
      <c r="M767" s="27" t="str">
        <f ca="1">IFERROR(__xludf.DUMMYFUNCTION("""COMPUTED_VALUE"""),"2nd &lt;")</f>
        <v>2nd &lt;</v>
      </c>
      <c r="N767" s="25" t="str">
        <f ca="1">IFERROR(__xludf.DUMMYFUNCTION("""COMPUTED_VALUE"""),"unproven")</f>
        <v>unproven</v>
      </c>
      <c r="O767" s="28"/>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c r="AQ767" s="25"/>
      <c r="AR767" s="25"/>
      <c r="AS767" s="25"/>
      <c r="AT767" s="25"/>
      <c r="AU767" s="25"/>
      <c r="AV767" s="25"/>
      <c r="AW767" s="25"/>
      <c r="AX767" s="25"/>
      <c r="AY767" s="25"/>
      <c r="AZ767" s="25"/>
      <c r="BA767" s="25"/>
      <c r="BB767" s="25"/>
      <c r="BC767" s="25"/>
      <c r="BD767" s="25"/>
      <c r="BE767" s="25"/>
      <c r="BF767" s="25"/>
      <c r="BG767" s="25"/>
      <c r="BH767" s="25"/>
      <c r="BI767" s="25"/>
      <c r="BJ767" s="25"/>
      <c r="BK767" s="25"/>
      <c r="BL767" s="25"/>
      <c r="BM767" s="25"/>
      <c r="BN767" s="25"/>
      <c r="BO767" s="25"/>
      <c r="BP767" s="25"/>
      <c r="BQ767" s="25"/>
      <c r="BR767" s="25"/>
      <c r="BS767" s="25"/>
      <c r="BT767" s="25"/>
      <c r="BU767" s="25"/>
      <c r="BV767" s="25"/>
      <c r="BW767" s="25"/>
      <c r="BX767" s="25"/>
      <c r="BY767" s="25"/>
      <c r="BZ767" s="25"/>
      <c r="CA767" s="25"/>
      <c r="CB767" s="25"/>
    </row>
    <row r="768" spans="1:80" ht="13.5" hidden="1" customHeight="1">
      <c r="A768" s="10">
        <f ca="1">IFERROR(__xludf.DUMMYFUNCTION("""COMPUTED_VALUE"""),2012)</f>
        <v>2012</v>
      </c>
      <c r="B768" s="50">
        <f ca="1">IFERROR(__xludf.DUMMYFUNCTION("""COMPUTED_VALUE"""),41151)</f>
        <v>41151</v>
      </c>
      <c r="C768" s="41">
        <f ca="1">IFERROR(__xludf.DUMMYFUNCTION("""COMPUTED_VALUE"""),41513)</f>
        <v>41513</v>
      </c>
      <c r="D768" s="42" t="str">
        <f ca="1">IFERROR(__xludf.DUMMYFUNCTION("""COMPUTED_VALUE"""),"Crane")</f>
        <v>Crane</v>
      </c>
      <c r="E768" s="53">
        <f ca="1">IFERROR(__xludf.DUMMYFUNCTION("""COMPUTED_VALUE"""),3)</f>
        <v>3</v>
      </c>
      <c r="F768" s="15" t="str">
        <f ca="1">IFERROR(__xludf.DUMMYFUNCTION("""COMPUTED_VALUE"""),"2 ad")</f>
        <v>2 ad</v>
      </c>
      <c r="G768" s="44" t="str">
        <f ca="1">IFERROR(__xludf.DUMMYFUNCTION("""COMPUTED_VALUE"""),"Burton Point Farm, Burton")</f>
        <v>Burton Point Farm, Burton</v>
      </c>
      <c r="H768" s="12">
        <f ca="1">IFERROR(__xludf.DUMMYFUNCTION("""COMPUTED_VALUE"""),41191)</f>
        <v>41191</v>
      </c>
      <c r="I768" s="13"/>
      <c r="J768" s="14" t="str">
        <f ca="1">IFERROR(__xludf.DUMMYFUNCTION("""COMPUTED_VALUE"""),"Conlin, A + PLM")</f>
        <v>Conlin, A + PLM</v>
      </c>
      <c r="K768" s="15" t="str">
        <f ca="1">IFERROR(__xludf.DUMMYFUNCTION("""COMPUTED_VALUE"""),"?")</f>
        <v>?</v>
      </c>
      <c r="L768" s="17" t="str">
        <f ca="1">IFERROR(__xludf.DUMMYFUNCTION("""COMPUTED_VALUE"""),"closed")</f>
        <v>closed</v>
      </c>
      <c r="M768" s="17" t="str">
        <f ca="1">IFERROR(__xludf.DUMMYFUNCTION("""COMPUTED_VALUE"""),"1st U")</f>
        <v>1st U</v>
      </c>
      <c r="N768" s="15" t="str">
        <f ca="1">IFERROR(__xludf.DUMMYFUNCTION("""COMPUTED_VALUE"""),"accepted")</f>
        <v>accepted</v>
      </c>
      <c r="O768" s="18"/>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c r="BQ768" s="15"/>
      <c r="BR768" s="15"/>
      <c r="BS768" s="15"/>
      <c r="BT768" s="15"/>
      <c r="BU768" s="15"/>
      <c r="BV768" s="15"/>
      <c r="BW768" s="15"/>
      <c r="BX768" s="15"/>
      <c r="BY768" s="15"/>
      <c r="BZ768" s="15"/>
      <c r="CA768" s="15"/>
      <c r="CB768" s="15"/>
    </row>
    <row r="769" spans="1:80" ht="13.5" hidden="1" customHeight="1">
      <c r="A769" s="20">
        <f ca="1">IFERROR(__xludf.DUMMYFUNCTION("""COMPUTED_VALUE"""),2012)</f>
        <v>2012</v>
      </c>
      <c r="B769" s="45">
        <f ca="1">IFERROR(__xludf.DUMMYFUNCTION("""COMPUTED_VALUE"""),41151)</f>
        <v>41151</v>
      </c>
      <c r="C769" s="46">
        <f ca="1">IFERROR(__xludf.DUMMYFUNCTION("""COMPUTED_VALUE"""),41513)</f>
        <v>41513</v>
      </c>
      <c r="D769" s="47" t="str">
        <f ca="1">IFERROR(__xludf.DUMMYFUNCTION("""COMPUTED_VALUE"""),"Crane")</f>
        <v>Crane</v>
      </c>
      <c r="E769" s="52">
        <f ca="1">IFERROR(__xludf.DUMMYFUNCTION("""COMPUTED_VALUE"""),3)</f>
        <v>3</v>
      </c>
      <c r="F769" s="25" t="str">
        <f ca="1">IFERROR(__xludf.DUMMYFUNCTION("""COMPUTED_VALUE"""),"2 ad")</f>
        <v>2 ad</v>
      </c>
      <c r="G769" s="48" t="str">
        <f ca="1">IFERROR(__xludf.DUMMYFUNCTION("""COMPUTED_VALUE"""),"Burton Point Farm, Burton")</f>
        <v>Burton Point Farm, Burton</v>
      </c>
      <c r="H769" s="22">
        <f ca="1">IFERROR(__xludf.DUMMYFUNCTION("""COMPUTED_VALUE"""),41191)</f>
        <v>41191</v>
      </c>
      <c r="I769" s="23"/>
      <c r="J769" s="24" t="str">
        <f ca="1">IFERROR(__xludf.DUMMYFUNCTION("""COMPUTED_VALUE"""),"Turner, JE")</f>
        <v>Turner, JE</v>
      </c>
      <c r="K769" s="25" t="str">
        <f ca="1">IFERROR(__xludf.DUMMYFUNCTION("""COMPUTED_VALUE"""),"Turner, JE")</f>
        <v>Turner, JE</v>
      </c>
      <c r="L769" s="27" t="str">
        <f ca="1">IFERROR(__xludf.DUMMYFUNCTION("""COMPUTED_VALUE"""),"closed")</f>
        <v>closed</v>
      </c>
      <c r="M769" s="27" t="str">
        <f ca="1">IFERROR(__xludf.DUMMYFUNCTION("""COMPUTED_VALUE"""),"1st U")</f>
        <v>1st U</v>
      </c>
      <c r="N769" s="25" t="str">
        <f ca="1">IFERROR(__xludf.DUMMYFUNCTION("""COMPUTED_VALUE"""),"accepted")</f>
        <v>accepted</v>
      </c>
      <c r="O769" s="28"/>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c r="AQ769" s="25"/>
      <c r="AR769" s="25"/>
      <c r="AS769" s="25"/>
      <c r="AT769" s="25"/>
      <c r="AU769" s="25"/>
      <c r="AV769" s="25"/>
      <c r="AW769" s="25"/>
      <c r="AX769" s="25"/>
      <c r="AY769" s="25"/>
      <c r="AZ769" s="25"/>
      <c r="BA769" s="25"/>
      <c r="BB769" s="25"/>
      <c r="BC769" s="25"/>
      <c r="BD769" s="25"/>
      <c r="BE769" s="25"/>
      <c r="BF769" s="25"/>
      <c r="BG769" s="25"/>
      <c r="BH769" s="25"/>
      <c r="BI769" s="25"/>
      <c r="BJ769" s="25"/>
      <c r="BK769" s="25"/>
      <c r="BL769" s="25"/>
      <c r="BM769" s="25"/>
      <c r="BN769" s="25"/>
      <c r="BO769" s="25"/>
      <c r="BP769" s="25"/>
      <c r="BQ769" s="25"/>
      <c r="BR769" s="25"/>
      <c r="BS769" s="25"/>
      <c r="BT769" s="25"/>
      <c r="BU769" s="25"/>
      <c r="BV769" s="25"/>
      <c r="BW769" s="25"/>
      <c r="BX769" s="25"/>
      <c r="BY769" s="25"/>
      <c r="BZ769" s="25"/>
      <c r="CA769" s="25"/>
      <c r="CB769" s="25"/>
    </row>
    <row r="770" spans="1:80" ht="13.5" hidden="1" customHeight="1">
      <c r="A770" s="10">
        <f ca="1">IFERROR(__xludf.DUMMYFUNCTION("""COMPUTED_VALUE"""),2012)</f>
        <v>2012</v>
      </c>
      <c r="B770" s="50">
        <f ca="1">IFERROR(__xludf.DUMMYFUNCTION("""COMPUTED_VALUE"""),41528)</f>
        <v>41528</v>
      </c>
      <c r="C770" s="41">
        <f ca="1">IFERROR(__xludf.DUMMYFUNCTION("""COMPUTED_VALUE"""),41523)</f>
        <v>41523</v>
      </c>
      <c r="D770" s="42" t="str">
        <f ca="1">IFERROR(__xludf.DUMMYFUNCTION("""COMPUTED_VALUE"""),"Red-necked grebe")</f>
        <v>Red-necked grebe</v>
      </c>
      <c r="E770" s="53">
        <f ca="1">IFERROR(__xludf.DUMMYFUNCTION("""COMPUTED_VALUE"""),1)</f>
        <v>1</v>
      </c>
      <c r="F770" s="15"/>
      <c r="G770" s="44" t="str">
        <f ca="1">IFERROR(__xludf.DUMMYFUNCTION("""COMPUTED_VALUE"""),"Rostherne")</f>
        <v>Rostherne</v>
      </c>
      <c r="H770" s="12">
        <f ca="1">IFERROR(__xludf.DUMMYFUNCTION("""COMPUTED_VALUE"""),41112)</f>
        <v>41112</v>
      </c>
      <c r="I770" s="12"/>
      <c r="J770" s="14" t="str">
        <f ca="1">IFERROR(__xludf.DUMMYFUNCTION("""COMPUTED_VALUE"""),"Canovan, J")</f>
        <v>Canovan, J</v>
      </c>
      <c r="K770" s="15" t="str">
        <f ca="1">IFERROR(__xludf.DUMMYFUNCTION("""COMPUTED_VALUE"""),"Canovan, J")</f>
        <v>Canovan, J</v>
      </c>
      <c r="L770" s="17" t="str">
        <f ca="1">IFERROR(__xludf.DUMMYFUNCTION("""COMPUTED_VALUE"""),"closed")</f>
        <v>closed</v>
      </c>
      <c r="M770" s="17"/>
      <c r="N770" s="15" t="str">
        <f ca="1">IFERROR(__xludf.DUMMYFUNCTION("""COMPUTED_VALUE"""),"Accepted")</f>
        <v>Accepted</v>
      </c>
      <c r="O770" s="18"/>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c r="BQ770" s="15"/>
      <c r="BR770" s="15"/>
      <c r="BS770" s="15"/>
      <c r="BT770" s="15"/>
      <c r="BU770" s="15"/>
      <c r="BV770" s="15"/>
      <c r="BW770" s="15"/>
      <c r="BX770" s="15"/>
      <c r="BY770" s="15"/>
      <c r="BZ770" s="15"/>
      <c r="CA770" s="15"/>
      <c r="CB770" s="15"/>
    </row>
    <row r="771" spans="1:80" ht="13.5" hidden="1" customHeight="1">
      <c r="A771" s="20">
        <f ca="1">IFERROR(__xludf.DUMMYFUNCTION("""COMPUTED_VALUE"""),2012)</f>
        <v>2012</v>
      </c>
      <c r="B771" s="45">
        <f ca="1">IFERROR(__xludf.DUMMYFUNCTION("""COMPUTED_VALUE"""),41587)</f>
        <v>41587</v>
      </c>
      <c r="C771" s="46">
        <f ca="1">IFERROR(__xludf.DUMMYFUNCTION("""COMPUTED_VALUE"""),41584)</f>
        <v>41584</v>
      </c>
      <c r="D771" s="47" t="str">
        <f ca="1">IFERROR(__xludf.DUMMYFUNCTION("""COMPUTED_VALUE"""),"Slavonian Grebe")</f>
        <v>Slavonian Grebe</v>
      </c>
      <c r="E771" s="52">
        <f ca="1">IFERROR(__xludf.DUMMYFUNCTION("""COMPUTED_VALUE"""),1)</f>
        <v>1</v>
      </c>
      <c r="F771" s="25"/>
      <c r="G771" s="48" t="str">
        <f ca="1">IFERROR(__xludf.DUMMYFUNCTION("""COMPUTED_VALUE"""),"Hilbre")</f>
        <v>Hilbre</v>
      </c>
      <c r="H771" s="22">
        <f ca="1">IFERROR(__xludf.DUMMYFUNCTION("""COMPUTED_VALUE"""),41164)</f>
        <v>41164</v>
      </c>
      <c r="I771" s="22">
        <f ca="1">IFERROR(__xludf.DUMMYFUNCTION("""COMPUTED_VALUE"""),41164)</f>
        <v>41164</v>
      </c>
      <c r="J771" s="24" t="str">
        <f ca="1">IFERROR(__xludf.DUMMYFUNCTION("""COMPUTED_VALUE"""),"CC Schofield")</f>
        <v>CC Schofield</v>
      </c>
      <c r="K771" s="25" t="str">
        <f ca="1">IFERROR(__xludf.DUMMYFUNCTION("""COMPUTED_VALUE"""),"CC Schofield")</f>
        <v>CC Schofield</v>
      </c>
      <c r="L771" s="27" t="str">
        <f ca="1">IFERROR(__xludf.DUMMYFUNCTION("""COMPUTED_VALUE"""),"closed")</f>
        <v>closed</v>
      </c>
      <c r="M771" s="27" t="str">
        <f ca="1">IFERROR(__xludf.DUMMYFUNCTION("""COMPUTED_VALUE"""),"2nd M")</f>
        <v>2nd M</v>
      </c>
      <c r="N771" s="25" t="str">
        <f ca="1">IFERROR(__xludf.DUMMYFUNCTION("""COMPUTED_VALUE"""),"accepted")</f>
        <v>accepted</v>
      </c>
      <c r="O771" s="28"/>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c r="AQ771" s="25"/>
      <c r="AR771" s="25"/>
      <c r="AS771" s="25"/>
      <c r="AT771" s="25"/>
      <c r="AU771" s="25"/>
      <c r="AV771" s="25"/>
      <c r="AW771" s="25"/>
      <c r="AX771" s="25"/>
      <c r="AY771" s="25"/>
      <c r="AZ771" s="25"/>
      <c r="BA771" s="25"/>
      <c r="BB771" s="25"/>
      <c r="BC771" s="25"/>
      <c r="BD771" s="25"/>
      <c r="BE771" s="25"/>
      <c r="BF771" s="25"/>
      <c r="BG771" s="25"/>
      <c r="BH771" s="25"/>
      <c r="BI771" s="25"/>
      <c r="BJ771" s="25"/>
      <c r="BK771" s="25"/>
      <c r="BL771" s="25"/>
      <c r="BM771" s="25"/>
      <c r="BN771" s="25"/>
      <c r="BO771" s="25"/>
      <c r="BP771" s="25"/>
      <c r="BQ771" s="25"/>
      <c r="BR771" s="25"/>
      <c r="BS771" s="25"/>
      <c r="BT771" s="25"/>
      <c r="BU771" s="25"/>
      <c r="BV771" s="25"/>
      <c r="BW771" s="25"/>
      <c r="BX771" s="25"/>
      <c r="BY771" s="25"/>
      <c r="BZ771" s="25"/>
      <c r="CA771" s="25"/>
      <c r="CB771" s="25"/>
    </row>
    <row r="772" spans="1:80" ht="13.5" hidden="1" customHeight="1">
      <c r="A772" s="10">
        <f ca="1">IFERROR(__xludf.DUMMYFUNCTION("""COMPUTED_VALUE"""),2012)</f>
        <v>2012</v>
      </c>
      <c r="B772" s="50">
        <f ca="1">IFERROR(__xludf.DUMMYFUNCTION("""COMPUTED_VALUE"""),41515)</f>
        <v>41515</v>
      </c>
      <c r="C772" s="41"/>
      <c r="D772" s="42" t="str">
        <f ca="1">IFERROR(__xludf.DUMMYFUNCTION("""COMPUTED_VALUE"""),"Slavonian Grebe")</f>
        <v>Slavonian Grebe</v>
      </c>
      <c r="E772" s="53" t="str">
        <f ca="1">IFERROR(__xludf.DUMMYFUNCTION("""COMPUTED_VALUE"""),"1")</f>
        <v>1</v>
      </c>
      <c r="F772" s="15" t="str">
        <f ca="1">IFERROR(__xludf.DUMMYFUNCTION("""COMPUTED_VALUE"""),"")</f>
        <v/>
      </c>
      <c r="G772" s="44" t="str">
        <f ca="1">IFERROR(__xludf.DUMMYFUNCTION("""COMPUTED_VALUE"""),"Hilbre")</f>
        <v>Hilbre</v>
      </c>
      <c r="H772" s="12">
        <f ca="1">IFERROR(__xludf.DUMMYFUNCTION("""COMPUTED_VALUE"""),41260)</f>
        <v>41260</v>
      </c>
      <c r="I772" s="12">
        <f ca="1">IFERROR(__xludf.DUMMYFUNCTION("""COMPUTED_VALUE"""),41260)</f>
        <v>41260</v>
      </c>
      <c r="J772" s="68" t="str">
        <f ca="1">IFERROR(__xludf.DUMMYFUNCTION("""COMPUTED_VALUE"""),"Hilbre Bird Observatory")</f>
        <v>Hilbre Bird Observatory</v>
      </c>
      <c r="K772" s="15"/>
      <c r="L772" s="17" t="str">
        <f ca="1">IFERROR(__xludf.DUMMYFUNCTION("""COMPUTED_VALUE"""),"closed")</f>
        <v>closed</v>
      </c>
      <c r="M772" s="17" t="str">
        <f ca="1">IFERROR(__xludf.DUMMYFUNCTION("""COMPUTED_VALUE"""),"proxy")</f>
        <v>proxy</v>
      </c>
      <c r="N772" s="15" t="str">
        <f ca="1">IFERROR(__xludf.DUMMYFUNCTION("""COMPUTED_VALUE"""),"accepted")</f>
        <v>accepted</v>
      </c>
      <c r="O772" s="66" t="str">
        <f ca="1">IFERROR(__xludf.DUMMYFUNCTION("""COMPUTED_VALUE"""),"")</f>
        <v/>
      </c>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row>
    <row r="773" spans="1:80" ht="13.5" hidden="1" customHeight="1">
      <c r="A773" s="20">
        <f ca="1">IFERROR(__xludf.DUMMYFUNCTION("""COMPUTED_VALUE"""),2012)</f>
        <v>2012</v>
      </c>
      <c r="B773" s="45">
        <f ca="1">IFERROR(__xludf.DUMMYFUNCTION("""COMPUTED_VALUE"""),41515)</f>
        <v>41515</v>
      </c>
      <c r="C773" s="46"/>
      <c r="D773" s="47" t="str">
        <f ca="1">IFERROR(__xludf.DUMMYFUNCTION("""COMPUTED_VALUE"""),"Slavonian Grebe")</f>
        <v>Slavonian Grebe</v>
      </c>
      <c r="E773" s="52" t="str">
        <f ca="1">IFERROR(__xludf.DUMMYFUNCTION("""COMPUTED_VALUE"""),"1")</f>
        <v>1</v>
      </c>
      <c r="F773" s="25" t="str">
        <f ca="1">IFERROR(__xludf.DUMMYFUNCTION("""COMPUTED_VALUE"""),"")</f>
        <v/>
      </c>
      <c r="G773" s="48" t="str">
        <f ca="1">IFERROR(__xludf.DUMMYFUNCTION("""COMPUTED_VALUE"""),"Hilbre")</f>
        <v>Hilbre</v>
      </c>
      <c r="H773" s="22">
        <f ca="1">IFERROR(__xludf.DUMMYFUNCTION("""COMPUTED_VALUE"""),41268)</f>
        <v>41268</v>
      </c>
      <c r="I773" s="22">
        <f ca="1">IFERROR(__xludf.DUMMYFUNCTION("""COMPUTED_VALUE"""),41268)</f>
        <v>41268</v>
      </c>
      <c r="J773" s="67" t="str">
        <f ca="1">IFERROR(__xludf.DUMMYFUNCTION("""COMPUTED_VALUE"""),"Hilbre Bird Observatory")</f>
        <v>Hilbre Bird Observatory</v>
      </c>
      <c r="K773" s="25"/>
      <c r="L773" s="27" t="str">
        <f ca="1">IFERROR(__xludf.DUMMYFUNCTION("""COMPUTED_VALUE"""),"closed")</f>
        <v>closed</v>
      </c>
      <c r="M773" s="27" t="str">
        <f ca="1">IFERROR(__xludf.DUMMYFUNCTION("""COMPUTED_VALUE"""),"proxy")</f>
        <v>proxy</v>
      </c>
      <c r="N773" s="64" t="str">
        <f ca="1">IFERROR(__xludf.DUMMYFUNCTION("""COMPUTED_VALUE"""),"accepted")</f>
        <v>accepted</v>
      </c>
      <c r="O773" s="65" t="str">
        <f ca="1">IFERROR(__xludf.DUMMYFUNCTION("""COMPUTED_VALUE"""),"")</f>
        <v/>
      </c>
      <c r="P773" s="25"/>
      <c r="Q773" s="40"/>
      <c r="R773" s="40"/>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c r="AQ773" s="25"/>
      <c r="AR773" s="25"/>
      <c r="AS773" s="25"/>
      <c r="AT773" s="25"/>
      <c r="AU773" s="25"/>
      <c r="AV773" s="25"/>
      <c r="AW773" s="25"/>
      <c r="AX773" s="25"/>
      <c r="AY773" s="25"/>
      <c r="AZ773" s="25"/>
      <c r="BA773" s="25"/>
      <c r="BB773" s="25"/>
      <c r="BC773" s="25"/>
      <c r="BD773" s="25"/>
      <c r="BE773" s="25"/>
      <c r="BF773" s="25"/>
      <c r="BG773" s="25"/>
      <c r="BH773" s="25"/>
      <c r="BI773" s="25"/>
      <c r="BJ773" s="25"/>
      <c r="BK773" s="25"/>
      <c r="BL773" s="25"/>
      <c r="BM773" s="25"/>
      <c r="BN773" s="25"/>
      <c r="BO773" s="25"/>
      <c r="BP773" s="25"/>
      <c r="BQ773" s="25"/>
      <c r="BR773" s="25"/>
      <c r="BS773" s="25"/>
      <c r="BT773" s="25"/>
      <c r="BU773" s="25"/>
      <c r="BV773" s="25"/>
      <c r="BW773" s="25"/>
      <c r="BX773" s="25"/>
      <c r="BY773" s="25"/>
      <c r="BZ773" s="25"/>
      <c r="CA773" s="25"/>
      <c r="CB773" s="25"/>
    </row>
    <row r="774" spans="1:80" ht="13.5" hidden="1" customHeight="1">
      <c r="A774" s="10">
        <f ca="1">IFERROR(__xludf.DUMMYFUNCTION("""COMPUTED_VALUE"""),2012)</f>
        <v>2012</v>
      </c>
      <c r="B774" s="50">
        <f ca="1">IFERROR(__xludf.DUMMYFUNCTION("""COMPUTED_VALUE"""),41587)</f>
        <v>41587</v>
      </c>
      <c r="C774" s="41">
        <f ca="1">IFERROR(__xludf.DUMMYFUNCTION("""COMPUTED_VALUE"""),41582)</f>
        <v>41582</v>
      </c>
      <c r="D774" s="42" t="str">
        <f ca="1">IFERROR(__xludf.DUMMYFUNCTION("""COMPUTED_VALUE"""),"Small grebe spp (Black necked/Little)")</f>
        <v>Small grebe spp (Black necked/Little)</v>
      </c>
      <c r="E774" s="53"/>
      <c r="F774" s="15"/>
      <c r="G774" s="44" t="str">
        <f ca="1">IFERROR(__xludf.DUMMYFUNCTION("""COMPUTED_VALUE"""),"Hoylake")</f>
        <v>Hoylake</v>
      </c>
      <c r="H774" s="12">
        <f ca="1">IFERROR(__xludf.DUMMYFUNCTION("""COMPUTED_VALUE"""),40918)</f>
        <v>40918</v>
      </c>
      <c r="I774" s="12">
        <f ca="1">IFERROR(__xludf.DUMMYFUNCTION("""COMPUTED_VALUE"""),40918)</f>
        <v>40918</v>
      </c>
      <c r="J774" s="14" t="str">
        <f ca="1">IFERROR(__xludf.DUMMYFUNCTION("""COMPUTED_VALUE"""),"Turner, JE")</f>
        <v>Turner, JE</v>
      </c>
      <c r="K774" s="15" t="str">
        <f ca="1">IFERROR(__xludf.DUMMYFUNCTION("""COMPUTED_VALUE"""),"Turner, JE")</f>
        <v>Turner, JE</v>
      </c>
      <c r="L774" s="17" t="str">
        <f ca="1">IFERROR(__xludf.DUMMYFUNCTION("""COMPUTED_VALUE"""),"closed")</f>
        <v>closed</v>
      </c>
      <c r="M774" s="17" t="str">
        <f ca="1">IFERROR(__xludf.DUMMYFUNCTION("""COMPUTED_VALUE"""),"1st M")</f>
        <v>1st M</v>
      </c>
      <c r="N774" s="15" t="str">
        <f ca="1">IFERROR(__xludf.DUMMYFUNCTION("""COMPUTED_VALUE"""),"accepted")</f>
        <v>accepted</v>
      </c>
      <c r="O774" s="18" t="str">
        <f ca="1">IFERROR(__xludf.DUMMYFUNCTION("""COMPUTED_VALUE"""),"accept as small grebe spp")</f>
        <v>accept as small grebe spp</v>
      </c>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row>
    <row r="775" spans="1:80" ht="13.5" hidden="1" customHeight="1">
      <c r="A775" s="20">
        <f ca="1">IFERROR(__xludf.DUMMYFUNCTION("""COMPUTED_VALUE"""),2012)</f>
        <v>2012</v>
      </c>
      <c r="B775" s="45">
        <f ca="1">IFERROR(__xludf.DUMMYFUNCTION("""COMPUTED_VALUE"""),41587)</f>
        <v>41587</v>
      </c>
      <c r="C775" s="46">
        <f ca="1">IFERROR(__xludf.DUMMYFUNCTION("""COMPUTED_VALUE"""),41586)</f>
        <v>41586</v>
      </c>
      <c r="D775" s="47" t="str">
        <f ca="1">IFERROR(__xludf.DUMMYFUNCTION("""COMPUTED_VALUE"""),"American Golden Plover")</f>
        <v>American Golden Plover</v>
      </c>
      <c r="E775" s="52" t="str">
        <f ca="1">IFERROR(__xludf.DUMMYFUNCTION("""COMPUTED_VALUE"""),"1")</f>
        <v>1</v>
      </c>
      <c r="F775" s="25" t="str">
        <f ca="1">IFERROR(__xludf.DUMMYFUNCTION("""COMPUTED_VALUE"""),"")</f>
        <v/>
      </c>
      <c r="G775" s="48" t="str">
        <f ca="1">IFERROR(__xludf.DUMMYFUNCTION("""COMPUTED_VALUE"""),"Hilbre")</f>
        <v>Hilbre</v>
      </c>
      <c r="H775" s="22">
        <f ca="1">IFERROR(__xludf.DUMMYFUNCTION("""COMPUTED_VALUE"""),41175)</f>
        <v>41175</v>
      </c>
      <c r="I775" s="22">
        <f ca="1">IFERROR(__xludf.DUMMYFUNCTION("""COMPUTED_VALUE"""),41175)</f>
        <v>41175</v>
      </c>
      <c r="J775" s="67" t="str">
        <f ca="1">IFERROR(__xludf.DUMMYFUNCTION("""COMPUTED_VALUE"""),"Hilbre Bird Observatory")</f>
        <v>Hilbre Bird Observatory</v>
      </c>
      <c r="K775" s="25" t="str">
        <f ca="1">IFERROR(__xludf.DUMMYFUNCTION("""COMPUTED_VALUE"""),"SRW, ")</f>
        <v xml:space="preserve">SRW, </v>
      </c>
      <c r="L775" s="27" t="str">
        <f ca="1">IFERROR(__xludf.DUMMYFUNCTION("""COMPUTED_VALUE"""),"closed")</f>
        <v>closed</v>
      </c>
      <c r="M775" s="27" t="str">
        <f ca="1">IFERROR(__xludf.DUMMYFUNCTION("""COMPUTED_VALUE"""),"1st U")</f>
        <v>1st U</v>
      </c>
      <c r="N775" s="25" t="str">
        <f ca="1">IFERROR(__xludf.DUMMYFUNCTION("""COMPUTED_VALUE"""),"accepted")</f>
        <v>accepted</v>
      </c>
      <c r="O775" s="28"/>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c r="AQ775" s="25"/>
      <c r="AR775" s="25"/>
      <c r="AS775" s="25"/>
      <c r="AT775" s="25"/>
      <c r="AU775" s="25"/>
      <c r="AV775" s="25"/>
      <c r="AW775" s="25"/>
      <c r="AX775" s="25"/>
      <c r="AY775" s="25"/>
      <c r="AZ775" s="25"/>
      <c r="BA775" s="25"/>
      <c r="BB775" s="25"/>
      <c r="BC775" s="25"/>
      <c r="BD775" s="25"/>
      <c r="BE775" s="25"/>
      <c r="BF775" s="25"/>
      <c r="BG775" s="25"/>
      <c r="BH775" s="25"/>
      <c r="BI775" s="25"/>
      <c r="BJ775" s="25"/>
      <c r="BK775" s="25"/>
      <c r="BL775" s="25"/>
      <c r="BM775" s="25"/>
      <c r="BN775" s="25"/>
      <c r="BO775" s="25"/>
      <c r="BP775" s="25"/>
      <c r="BQ775" s="25"/>
      <c r="BR775" s="25"/>
      <c r="BS775" s="25"/>
      <c r="BT775" s="25"/>
      <c r="BU775" s="25"/>
      <c r="BV775" s="25"/>
      <c r="BW775" s="25"/>
      <c r="BX775" s="25"/>
      <c r="BY775" s="25"/>
      <c r="BZ775" s="25"/>
      <c r="CA775" s="25"/>
      <c r="CB775" s="25"/>
    </row>
    <row r="776" spans="1:80" ht="13.5" hidden="1" customHeight="1">
      <c r="A776" s="10">
        <f ca="1">IFERROR(__xludf.DUMMYFUNCTION("""COMPUTED_VALUE"""),2012)</f>
        <v>2012</v>
      </c>
      <c r="B776" s="50">
        <f ca="1">IFERROR(__xludf.DUMMYFUNCTION("""COMPUTED_VALUE"""),41587)</f>
        <v>41587</v>
      </c>
      <c r="C776" s="41">
        <f ca="1">IFERROR(__xludf.DUMMYFUNCTION("""COMPUTED_VALUE"""),41512)</f>
        <v>41512</v>
      </c>
      <c r="D776" s="42" t="str">
        <f ca="1">IFERROR(__xludf.DUMMYFUNCTION("""COMPUTED_VALUE"""),"American Golden plover")</f>
        <v>American Golden plover</v>
      </c>
      <c r="E776" s="53">
        <f ca="1">IFERROR(__xludf.DUMMYFUNCTION("""COMPUTED_VALUE"""),1)</f>
        <v>1</v>
      </c>
      <c r="F776" s="15"/>
      <c r="G776" s="44" t="str">
        <f ca="1">IFERROR(__xludf.DUMMYFUNCTION("""COMPUTED_VALUE"""),"Red Rocks, Hoylake")</f>
        <v>Red Rocks, Hoylake</v>
      </c>
      <c r="H776" s="12">
        <f ca="1">IFERROR(__xludf.DUMMYFUNCTION("""COMPUTED_VALUE"""),41179)</f>
        <v>41179</v>
      </c>
      <c r="I776" s="12">
        <f ca="1">IFERROR(__xludf.DUMMYFUNCTION("""COMPUTED_VALUE"""),41191)</f>
        <v>41191</v>
      </c>
      <c r="J776" s="14" t="str">
        <f ca="1">IFERROR(__xludf.DUMMYFUNCTION("""COMPUTED_VALUE"""),"Turner, JE")</f>
        <v>Turner, JE</v>
      </c>
      <c r="K776" s="15" t="str">
        <f ca="1">IFERROR(__xludf.DUMMYFUNCTION("""COMPUTED_VALUE"""),"Turner, JE")</f>
        <v>Turner, JE</v>
      </c>
      <c r="L776" s="17" t="str">
        <f ca="1">IFERROR(__xludf.DUMMYFUNCTION("""COMPUTED_VALUE"""),"closed")</f>
        <v>closed</v>
      </c>
      <c r="M776" s="17" t="str">
        <f ca="1">IFERROR(__xludf.DUMMYFUNCTION("""COMPUTED_VALUE"""),"1st U")</f>
        <v>1st U</v>
      </c>
      <c r="N776" s="15" t="str">
        <f ca="1">IFERROR(__xludf.DUMMYFUNCTION("""COMPUTED_VALUE"""),"accepted")</f>
        <v>accepted</v>
      </c>
      <c r="O776" s="18" t="str">
        <f ca="1">IFERROR(__xludf.DUMMYFUNCTION("""COMPUTED_VALUE"""),"Publish for 1st date")</f>
        <v>Publish for 1st date</v>
      </c>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row>
    <row r="777" spans="1:80" ht="13.5" hidden="1" customHeight="1">
      <c r="A777" s="20">
        <f ca="1">IFERROR(__xludf.DUMMYFUNCTION("""COMPUTED_VALUE"""),2012)</f>
        <v>2012</v>
      </c>
      <c r="B777" s="45">
        <f ca="1">IFERROR(__xludf.DUMMYFUNCTION("""COMPUTED_VALUE"""),41540)</f>
        <v>41540</v>
      </c>
      <c r="C777" s="46">
        <f ca="1">IFERROR(__xludf.DUMMYFUNCTION("""COMPUTED_VALUE"""),41515)</f>
        <v>41515</v>
      </c>
      <c r="D777" s="47" t="str">
        <f ca="1">IFERROR(__xludf.DUMMYFUNCTION("""COMPUTED_VALUE"""),"Dotterel")</f>
        <v>Dotterel</v>
      </c>
      <c r="E777" s="52">
        <f ca="1">IFERROR(__xludf.DUMMYFUNCTION("""COMPUTED_VALUE"""),5)</f>
        <v>5</v>
      </c>
      <c r="F777" s="25" t="str">
        <f ca="1">IFERROR(__xludf.DUMMYFUNCTION("""COMPUTED_VALUE"""),"f")</f>
        <v>f</v>
      </c>
      <c r="G777" s="48" t="str">
        <f ca="1">IFERROR(__xludf.DUMMYFUNCTION("""COMPUTED_VALUE"""),"Bakestonedale Moor, NE of Pott Shrigley")</f>
        <v>Bakestonedale Moor, NE of Pott Shrigley</v>
      </c>
      <c r="H777" s="22">
        <f ca="1">IFERROR(__xludf.DUMMYFUNCTION("""COMPUTED_VALUE"""),41034)</f>
        <v>41034</v>
      </c>
      <c r="I777" s="22">
        <f ca="1">IFERROR(__xludf.DUMMYFUNCTION("""COMPUTED_VALUE"""),41034)</f>
        <v>41034</v>
      </c>
      <c r="J777" s="24" t="str">
        <f ca="1">IFERROR(__xludf.DUMMYFUNCTION("""COMPUTED_VALUE"""),"Broome, AM")</f>
        <v>Broome, AM</v>
      </c>
      <c r="K777" s="25" t="str">
        <f ca="1">IFERROR(__xludf.DUMMYFUNCTION("""COMPUTED_VALUE"""),"Scally, Ray")</f>
        <v>Scally, Ray</v>
      </c>
      <c r="L777" s="27" t="str">
        <f ca="1">IFERROR(__xludf.DUMMYFUNCTION("""COMPUTED_VALUE"""),"closed")</f>
        <v>closed</v>
      </c>
      <c r="M777" s="27" t="str">
        <f ca="1">IFERROR(__xludf.DUMMYFUNCTION("""COMPUTED_VALUE"""),"1st U")</f>
        <v>1st U</v>
      </c>
      <c r="N777" s="64" t="str">
        <f ca="1">IFERROR(__xludf.DUMMYFUNCTION("""COMPUTED_VALUE"""),"accepted")</f>
        <v>accepted</v>
      </c>
      <c r="O777" s="65" t="str">
        <f ca="1">IFERROR(__xludf.DUMMYFUNCTION("""COMPUTED_VALUE"""),"5 birds later, photo by Nigel Troup")</f>
        <v>5 birds later, photo by Nigel Troup</v>
      </c>
      <c r="P777" s="25"/>
      <c r="Q777" s="40"/>
      <c r="R777" s="40"/>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c r="AQ777" s="25"/>
      <c r="AR777" s="25"/>
      <c r="AS777" s="25"/>
      <c r="AT777" s="25"/>
      <c r="AU777" s="25"/>
      <c r="AV777" s="25"/>
      <c r="AW777" s="25"/>
      <c r="AX777" s="25"/>
      <c r="AY777" s="25"/>
      <c r="AZ777" s="25"/>
      <c r="BA777" s="25"/>
      <c r="BB777" s="25"/>
      <c r="BC777" s="25"/>
      <c r="BD777" s="25"/>
      <c r="BE777" s="25"/>
      <c r="BF777" s="25"/>
      <c r="BG777" s="25"/>
      <c r="BH777" s="25"/>
      <c r="BI777" s="25"/>
      <c r="BJ777" s="25"/>
      <c r="BK777" s="25"/>
      <c r="BL777" s="25"/>
      <c r="BM777" s="25"/>
      <c r="BN777" s="25"/>
      <c r="BO777" s="25"/>
      <c r="BP777" s="25"/>
      <c r="BQ777" s="25"/>
      <c r="BR777" s="25"/>
      <c r="BS777" s="25"/>
      <c r="BT777" s="25"/>
      <c r="BU777" s="25"/>
      <c r="BV777" s="25"/>
      <c r="BW777" s="25"/>
      <c r="BX777" s="25"/>
      <c r="BY777" s="25"/>
      <c r="BZ777" s="25"/>
      <c r="CA777" s="25"/>
      <c r="CB777" s="25"/>
    </row>
    <row r="778" spans="1:80" ht="13.5" hidden="1" customHeight="1">
      <c r="A778" s="10">
        <f ca="1">IFERROR(__xludf.DUMMYFUNCTION("""COMPUTED_VALUE"""),2012)</f>
        <v>2012</v>
      </c>
      <c r="B778" s="50">
        <f ca="1">IFERROR(__xludf.DUMMYFUNCTION("""COMPUTED_VALUE"""),41587)</f>
        <v>41587</v>
      </c>
      <c r="C778" s="41">
        <f ca="1">IFERROR(__xludf.DUMMYFUNCTION("""COMPUTED_VALUE"""),41587)</f>
        <v>41587</v>
      </c>
      <c r="D778" s="42" t="str">
        <f ca="1">IFERROR(__xludf.DUMMYFUNCTION("""COMPUTED_VALUE"""),"Dotterel")</f>
        <v>Dotterel</v>
      </c>
      <c r="E778" s="53">
        <f ca="1">IFERROR(__xludf.DUMMYFUNCTION("""COMPUTED_VALUE"""),1)</f>
        <v>1</v>
      </c>
      <c r="F778" s="15"/>
      <c r="G778" s="44" t="str">
        <f ca="1">IFERROR(__xludf.DUMMYFUNCTION("""COMPUTED_VALUE"""),"West Kirby")</f>
        <v>West Kirby</v>
      </c>
      <c r="H778" s="12">
        <f ca="1">IFERROR(__xludf.DUMMYFUNCTION("""COMPUTED_VALUE"""),41049)</f>
        <v>41049</v>
      </c>
      <c r="I778" s="12">
        <f ca="1">IFERROR(__xludf.DUMMYFUNCTION("""COMPUTED_VALUE"""),41049)</f>
        <v>41049</v>
      </c>
      <c r="J778" s="14" t="str">
        <f ca="1">IFERROR(__xludf.DUMMYFUNCTION("""COMPUTED_VALUE"""),"Hitchmough, A")</f>
        <v>Hitchmough, A</v>
      </c>
      <c r="K778" s="15" t="str">
        <f ca="1">IFERROR(__xludf.DUMMYFUNCTION("""COMPUTED_VALUE"""),"Hitchmough, A")</f>
        <v>Hitchmough, A</v>
      </c>
      <c r="L778" s="17" t="str">
        <f ca="1">IFERROR(__xludf.DUMMYFUNCTION("""COMPUTED_VALUE"""),"closed")</f>
        <v>closed</v>
      </c>
      <c r="M778" s="17"/>
      <c r="N778" s="43" t="str">
        <f ca="1">IFERROR(__xludf.DUMMYFUNCTION("""COMPUTED_VALUE"""),"accepted")</f>
        <v>accepted</v>
      </c>
      <c r="O778" s="18"/>
      <c r="P778" s="15"/>
      <c r="Q778" s="58"/>
      <c r="R778" s="58"/>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c r="BQ778" s="15"/>
      <c r="BR778" s="15"/>
      <c r="BS778" s="15"/>
      <c r="BT778" s="15"/>
      <c r="BU778" s="15"/>
      <c r="BV778" s="15"/>
      <c r="BW778" s="15"/>
      <c r="BX778" s="15"/>
      <c r="BY778" s="15"/>
      <c r="BZ778" s="15"/>
      <c r="CA778" s="15"/>
      <c r="CB778" s="15"/>
    </row>
    <row r="779" spans="1:80" ht="13.5" hidden="1" customHeight="1">
      <c r="A779" s="20">
        <f ca="1">IFERROR(__xludf.DUMMYFUNCTION("""COMPUTED_VALUE"""),2012)</f>
        <v>2012</v>
      </c>
      <c r="B779" s="45">
        <f ca="1">IFERROR(__xludf.DUMMYFUNCTION("""COMPUTED_VALUE"""),41332)</f>
        <v>41332</v>
      </c>
      <c r="C779" s="46">
        <f ca="1">IFERROR(__xludf.DUMMYFUNCTION("""COMPUTED_VALUE"""),41332)</f>
        <v>41332</v>
      </c>
      <c r="D779" s="47" t="str">
        <f ca="1">IFERROR(__xludf.DUMMYFUNCTION("""COMPUTED_VALUE"""),"Temminck's Stint")</f>
        <v>Temminck's Stint</v>
      </c>
      <c r="E779" s="52">
        <f ca="1">IFERROR(__xludf.DUMMYFUNCTION("""COMPUTED_VALUE"""),1)</f>
        <v>1</v>
      </c>
      <c r="F779" s="25"/>
      <c r="G779" s="48" t="str">
        <f ca="1">IFERROR(__xludf.DUMMYFUNCTION("""COMPUTED_VALUE"""),"Parkgate, Donkey Stand Flash")</f>
        <v>Parkgate, Donkey Stand Flash</v>
      </c>
      <c r="H779" s="22">
        <f ca="1">IFERROR(__xludf.DUMMYFUNCTION("""COMPUTED_VALUE"""),41033)</f>
        <v>41033</v>
      </c>
      <c r="I779" s="22"/>
      <c r="J779" s="24" t="str">
        <f ca="1">IFERROR(__xludf.DUMMYFUNCTION("""COMPUTED_VALUE"""),"Eades, R")</f>
        <v>Eades, R</v>
      </c>
      <c r="K779" s="25" t="str">
        <f ca="1">IFERROR(__xludf.DUMMYFUNCTION("""COMPUTED_VALUE"""),"Wells, C")</f>
        <v>Wells, C</v>
      </c>
      <c r="L779" s="27" t="str">
        <f ca="1">IFERROR(__xludf.DUMMYFUNCTION("""COMPUTED_VALUE"""),"closed")</f>
        <v>closed</v>
      </c>
      <c r="M779" s="27" t="str">
        <f ca="1">IFERROR(__xludf.DUMMYFUNCTION("""COMPUTED_VALUE"""),"1st U")</f>
        <v>1st U</v>
      </c>
      <c r="N779" s="64" t="str">
        <f ca="1">IFERROR(__xludf.DUMMYFUNCTION("""COMPUTED_VALUE"""),"accepted")</f>
        <v>accepted</v>
      </c>
      <c r="O779" s="28"/>
      <c r="P779" s="25"/>
      <c r="Q779" s="40"/>
      <c r="R779" s="40"/>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c r="AQ779" s="25"/>
      <c r="AR779" s="25"/>
      <c r="AS779" s="25"/>
      <c r="AT779" s="25"/>
      <c r="AU779" s="25"/>
      <c r="AV779" s="25"/>
      <c r="AW779" s="25"/>
      <c r="AX779" s="25"/>
      <c r="AY779" s="25"/>
      <c r="AZ779" s="25"/>
      <c r="BA779" s="25"/>
      <c r="BB779" s="25"/>
      <c r="BC779" s="25"/>
      <c r="BD779" s="25"/>
      <c r="BE779" s="25"/>
      <c r="BF779" s="25"/>
      <c r="BG779" s="25"/>
      <c r="BH779" s="25"/>
      <c r="BI779" s="25"/>
      <c r="BJ779" s="25"/>
      <c r="BK779" s="25"/>
      <c r="BL779" s="25"/>
      <c r="BM779" s="25"/>
      <c r="BN779" s="25"/>
      <c r="BO779" s="25"/>
      <c r="BP779" s="25"/>
      <c r="BQ779" s="25"/>
      <c r="BR779" s="25"/>
      <c r="BS779" s="25"/>
      <c r="BT779" s="25"/>
      <c r="BU779" s="25"/>
      <c r="BV779" s="25"/>
      <c r="BW779" s="25"/>
      <c r="BX779" s="25"/>
      <c r="BY779" s="25"/>
      <c r="BZ779" s="25"/>
      <c r="CA779" s="25"/>
      <c r="CB779" s="25"/>
    </row>
    <row r="780" spans="1:80" ht="13.5" hidden="1" customHeight="1">
      <c r="A780" s="10">
        <f ca="1">IFERROR(__xludf.DUMMYFUNCTION("""COMPUTED_VALUE"""),2012)</f>
        <v>2012</v>
      </c>
      <c r="B780" s="50">
        <f ca="1">IFERROR(__xludf.DUMMYFUNCTION("""COMPUTED_VALUE"""),41332)</f>
        <v>41332</v>
      </c>
      <c r="C780" s="41">
        <f ca="1">IFERROR(__xludf.DUMMYFUNCTION("""COMPUTED_VALUE"""),41332)</f>
        <v>41332</v>
      </c>
      <c r="D780" s="42" t="str">
        <f ca="1">IFERROR(__xludf.DUMMYFUNCTION("""COMPUTED_VALUE"""),"Temminck's Stint")</f>
        <v>Temminck's Stint</v>
      </c>
      <c r="E780" s="53">
        <f ca="1">IFERROR(__xludf.DUMMYFUNCTION("""COMPUTED_VALUE"""),1)</f>
        <v>1</v>
      </c>
      <c r="F780" s="15"/>
      <c r="G780" s="44" t="str">
        <f ca="1">IFERROR(__xludf.DUMMYFUNCTION("""COMPUTED_VALUE"""),"Parkgate, Donkey Stand Flash")</f>
        <v>Parkgate, Donkey Stand Flash</v>
      </c>
      <c r="H780" s="12">
        <f ca="1">IFERROR(__xludf.DUMMYFUNCTION("""COMPUTED_VALUE"""),41033)</f>
        <v>41033</v>
      </c>
      <c r="I780" s="12"/>
      <c r="J780" s="14" t="str">
        <f ca="1">IFERROR(__xludf.DUMMYFUNCTION("""COMPUTED_VALUE"""),"Boyce, William")</f>
        <v>Boyce, William</v>
      </c>
      <c r="K780" s="15" t="str">
        <f ca="1">IFERROR(__xludf.DUMMYFUNCTION("""COMPUTED_VALUE"""),"Wells, C")</f>
        <v>Wells, C</v>
      </c>
      <c r="L780" s="17" t="str">
        <f ca="1">IFERROR(__xludf.DUMMYFUNCTION("""COMPUTED_VALUE"""),"closed")</f>
        <v>closed</v>
      </c>
      <c r="M780" s="17" t="str">
        <f ca="1">IFERROR(__xludf.DUMMYFUNCTION("""COMPUTED_VALUE"""),"1st U")</f>
        <v>1st U</v>
      </c>
      <c r="N780" s="43" t="str">
        <f ca="1">IFERROR(__xludf.DUMMYFUNCTION("""COMPUTED_VALUE"""),"accepted")</f>
        <v>accepted</v>
      </c>
      <c r="O780" s="18"/>
      <c r="P780" s="15"/>
      <c r="Q780" s="58"/>
      <c r="R780" s="58"/>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c r="BR780" s="15"/>
      <c r="BS780" s="15"/>
      <c r="BT780" s="15"/>
      <c r="BU780" s="15"/>
      <c r="BV780" s="15"/>
      <c r="BW780" s="15"/>
      <c r="BX780" s="15"/>
      <c r="BY780" s="15"/>
      <c r="BZ780" s="15"/>
      <c r="CA780" s="15"/>
      <c r="CB780" s="15"/>
    </row>
    <row r="781" spans="1:80" ht="13.5" hidden="1" customHeight="1">
      <c r="A781" s="20">
        <f ca="1">IFERROR(__xludf.DUMMYFUNCTION("""COMPUTED_VALUE"""),2012)</f>
        <v>2012</v>
      </c>
      <c r="B781" s="45" t="str">
        <f ca="1">IFERROR(__xludf.DUMMYFUNCTION("""COMPUTED_VALUE"""),"9/13/13")</f>
        <v>9/13/13</v>
      </c>
      <c r="C781" s="46">
        <f ca="1">IFERROR(__xludf.DUMMYFUNCTION("""COMPUTED_VALUE"""),41339)</f>
        <v>41339</v>
      </c>
      <c r="D781" s="47" t="str">
        <f ca="1">IFERROR(__xludf.DUMMYFUNCTION("""COMPUTED_VALUE"""),"White-rumped sandpiper")</f>
        <v>White-rumped sandpiper</v>
      </c>
      <c r="E781" s="52">
        <f ca="1">IFERROR(__xludf.DUMMYFUNCTION("""COMPUTED_VALUE"""),1)</f>
        <v>1</v>
      </c>
      <c r="F781" s="25" t="str">
        <f ca="1">IFERROR(__xludf.DUMMYFUNCTION("""COMPUTED_VALUE"""),"ad")</f>
        <v>ad</v>
      </c>
      <c r="G781" s="48" t="str">
        <f ca="1">IFERROR(__xludf.DUMMYFUNCTION("""COMPUTED_VALUE"""),"Hoylake")</f>
        <v>Hoylake</v>
      </c>
      <c r="H781" s="22">
        <f ca="1">IFERROR(__xludf.DUMMYFUNCTION("""COMPUTED_VALUE"""),41173)</f>
        <v>41173</v>
      </c>
      <c r="I781" s="23"/>
      <c r="J781" s="24" t="str">
        <f ca="1">IFERROR(__xludf.DUMMYFUNCTION("""COMPUTED_VALUE"""),"Griffiths, A ")</f>
        <v xml:space="preserve">Griffiths, A </v>
      </c>
      <c r="K781" s="25" t="str">
        <f ca="1">IFERROR(__xludf.DUMMYFUNCTION("""COMPUTED_VALUE"""),"Griffiths, A ")</f>
        <v xml:space="preserve">Griffiths, A </v>
      </c>
      <c r="L781" s="27" t="str">
        <f ca="1">IFERROR(__xludf.DUMMYFUNCTION("""COMPUTED_VALUE"""),"closed")</f>
        <v>closed</v>
      </c>
      <c r="M781" s="27" t="str">
        <f ca="1">IFERROR(__xludf.DUMMYFUNCTION("""COMPUTED_VALUE"""),"1st U")</f>
        <v>1st U</v>
      </c>
      <c r="N781" s="64" t="str">
        <f ca="1">IFERROR(__xludf.DUMMYFUNCTION("""COMPUTED_VALUE"""),"accepted")</f>
        <v>accepted</v>
      </c>
      <c r="O781" s="28"/>
      <c r="P781" s="25"/>
      <c r="Q781" s="40"/>
      <c r="R781" s="40"/>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c r="AQ781" s="25"/>
      <c r="AR781" s="25"/>
      <c r="AS781" s="25"/>
      <c r="AT781" s="25"/>
      <c r="AU781" s="25"/>
      <c r="AV781" s="25"/>
      <c r="AW781" s="25"/>
      <c r="AX781" s="25"/>
      <c r="AY781" s="25"/>
      <c r="AZ781" s="25"/>
      <c r="BA781" s="25"/>
      <c r="BB781" s="25"/>
      <c r="BC781" s="25"/>
      <c r="BD781" s="25"/>
      <c r="BE781" s="25"/>
      <c r="BF781" s="25"/>
      <c r="BG781" s="25"/>
      <c r="BH781" s="25"/>
      <c r="BI781" s="25"/>
      <c r="BJ781" s="25"/>
      <c r="BK781" s="25"/>
      <c r="BL781" s="25"/>
      <c r="BM781" s="25"/>
      <c r="BN781" s="25"/>
      <c r="BO781" s="25"/>
      <c r="BP781" s="25"/>
      <c r="BQ781" s="25"/>
      <c r="BR781" s="25"/>
      <c r="BS781" s="25"/>
      <c r="BT781" s="25"/>
      <c r="BU781" s="25"/>
      <c r="BV781" s="25"/>
      <c r="BW781" s="25"/>
      <c r="BX781" s="25"/>
      <c r="BY781" s="25"/>
      <c r="BZ781" s="25"/>
      <c r="CA781" s="25"/>
      <c r="CB781" s="25"/>
    </row>
    <row r="782" spans="1:80" ht="13.5" hidden="1" customHeight="1">
      <c r="A782" s="10">
        <f ca="1">IFERROR(__xludf.DUMMYFUNCTION("""COMPUTED_VALUE"""),2012)</f>
        <v>2012</v>
      </c>
      <c r="B782" s="50" t="str">
        <f ca="1">IFERROR(__xludf.DUMMYFUNCTION("""COMPUTED_VALUE"""),"9/13/13")</f>
        <v>9/13/13</v>
      </c>
      <c r="C782" s="41">
        <f ca="1">IFERROR(__xludf.DUMMYFUNCTION("""COMPUTED_VALUE"""),41339)</f>
        <v>41339</v>
      </c>
      <c r="D782" s="42" t="str">
        <f ca="1">IFERROR(__xludf.DUMMYFUNCTION("""COMPUTED_VALUE"""),"White-rumped sandpiper")</f>
        <v>White-rumped sandpiper</v>
      </c>
      <c r="E782" s="53">
        <f ca="1">IFERROR(__xludf.DUMMYFUNCTION("""COMPUTED_VALUE"""),1)</f>
        <v>1</v>
      </c>
      <c r="F782" s="15" t="str">
        <f ca="1">IFERROR(__xludf.DUMMYFUNCTION("""COMPUTED_VALUE"""),"ad")</f>
        <v>ad</v>
      </c>
      <c r="G782" s="44" t="str">
        <f ca="1">IFERROR(__xludf.DUMMYFUNCTION("""COMPUTED_VALUE"""),"Hoylake")</f>
        <v>Hoylake</v>
      </c>
      <c r="H782" s="12">
        <f ca="1">IFERROR(__xludf.DUMMYFUNCTION("""COMPUTED_VALUE"""),41175)</f>
        <v>41175</v>
      </c>
      <c r="I782" s="13"/>
      <c r="J782" s="14" t="str">
        <f ca="1">IFERROR(__xludf.DUMMYFUNCTION("""COMPUTED_VALUE"""),"Turner, JE")</f>
        <v>Turner, JE</v>
      </c>
      <c r="K782" s="15" t="str">
        <f ca="1">IFERROR(__xludf.DUMMYFUNCTION("""COMPUTED_VALUE"""),"Griffiths, A")</f>
        <v>Griffiths, A</v>
      </c>
      <c r="L782" s="17" t="str">
        <f ca="1">IFERROR(__xludf.DUMMYFUNCTION("""COMPUTED_VALUE"""),"closed")</f>
        <v>closed</v>
      </c>
      <c r="M782" s="17" t="str">
        <f ca="1">IFERROR(__xludf.DUMMYFUNCTION("""COMPUTED_VALUE"""),"1st M")</f>
        <v>1st M</v>
      </c>
      <c r="N782" s="15" t="str">
        <f ca="1">IFERROR(__xludf.DUMMYFUNCTION("""COMPUTED_VALUE"""),"accepted")</f>
        <v>accepted</v>
      </c>
      <c r="O782" s="18"/>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row>
    <row r="783" spans="1:80" ht="13.5" hidden="1" customHeight="1">
      <c r="A783" s="20">
        <f ca="1">IFERROR(__xludf.DUMMYFUNCTION("""COMPUTED_VALUE"""),2012)</f>
        <v>2012</v>
      </c>
      <c r="B783" s="45">
        <f ca="1">IFERROR(__xludf.DUMMYFUNCTION("""COMPUTED_VALUE"""),41515)</f>
        <v>41515</v>
      </c>
      <c r="C783" s="46">
        <f ca="1">IFERROR(__xludf.DUMMYFUNCTION("""COMPUTED_VALUE"""),41344)</f>
        <v>41344</v>
      </c>
      <c r="D783" s="47" t="str">
        <f ca="1">IFERROR(__xludf.DUMMYFUNCTION("""COMPUTED_VALUE"""),"Buff-breasted Sandpiper")</f>
        <v>Buff-breasted Sandpiper</v>
      </c>
      <c r="E783" s="52">
        <f ca="1">IFERROR(__xludf.DUMMYFUNCTION("""COMPUTED_VALUE"""),1)</f>
        <v>1</v>
      </c>
      <c r="F783" s="25" t="str">
        <f ca="1">IFERROR(__xludf.DUMMYFUNCTION("""COMPUTED_VALUE"""),"ad  ")</f>
        <v xml:space="preserve">ad  </v>
      </c>
      <c r="G783" s="48" t="str">
        <f ca="1">IFERROR(__xludf.DUMMYFUNCTION("""COMPUTED_VALUE"""),"Frodsham")</f>
        <v>Frodsham</v>
      </c>
      <c r="H783" s="22">
        <f ca="1">IFERROR(__xludf.DUMMYFUNCTION("""COMPUTED_VALUE"""),41118)</f>
        <v>41118</v>
      </c>
      <c r="I783" s="22">
        <f ca="1">IFERROR(__xludf.DUMMYFUNCTION("""COMPUTED_VALUE"""),41120)</f>
        <v>41120</v>
      </c>
      <c r="J783" s="24" t="str">
        <f ca="1">IFERROR(__xludf.DUMMYFUNCTION("""COMPUTED_VALUE"""),"Duff, F")</f>
        <v>Duff, F</v>
      </c>
      <c r="K783" s="25" t="str">
        <f ca="1">IFERROR(__xludf.DUMMYFUNCTION("""COMPUTED_VALUE"""),"Roger Wilkinson")</f>
        <v>Roger Wilkinson</v>
      </c>
      <c r="L783" s="27" t="str">
        <f ca="1">IFERROR(__xludf.DUMMYFUNCTION("""COMPUTED_VALUE"""),"closed")</f>
        <v>closed</v>
      </c>
      <c r="M783" s="27" t="str">
        <f ca="1">IFERROR(__xludf.DUMMYFUNCTION("""COMPUTED_VALUE"""),"1st U")</f>
        <v>1st U</v>
      </c>
      <c r="N783" s="64" t="str">
        <f ca="1">IFERROR(__xludf.DUMMYFUNCTION("""COMPUTED_VALUE"""),"accepted")</f>
        <v>accepted</v>
      </c>
      <c r="O783" s="28"/>
      <c r="P783" s="25"/>
      <c r="Q783" s="40"/>
      <c r="R783" s="40"/>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c r="AQ783" s="25"/>
      <c r="AR783" s="25"/>
      <c r="AS783" s="25"/>
      <c r="AT783" s="25"/>
      <c r="AU783" s="25"/>
      <c r="AV783" s="25"/>
      <c r="AW783" s="25"/>
      <c r="AX783" s="25"/>
      <c r="AY783" s="25"/>
      <c r="AZ783" s="25"/>
      <c r="BA783" s="25"/>
      <c r="BB783" s="25"/>
      <c r="BC783" s="25"/>
      <c r="BD783" s="25"/>
      <c r="BE783" s="25"/>
      <c r="BF783" s="25"/>
      <c r="BG783" s="25"/>
      <c r="BH783" s="25"/>
      <c r="BI783" s="25"/>
      <c r="BJ783" s="25"/>
      <c r="BK783" s="25"/>
      <c r="BL783" s="25"/>
      <c r="BM783" s="25"/>
      <c r="BN783" s="25"/>
      <c r="BO783" s="25"/>
      <c r="BP783" s="25"/>
      <c r="BQ783" s="25"/>
      <c r="BR783" s="25"/>
      <c r="BS783" s="25"/>
      <c r="BT783" s="25"/>
      <c r="BU783" s="25"/>
      <c r="BV783" s="25"/>
      <c r="BW783" s="25"/>
      <c r="BX783" s="25"/>
      <c r="BY783" s="25"/>
      <c r="BZ783" s="25"/>
      <c r="CA783" s="25"/>
      <c r="CB783" s="25"/>
    </row>
    <row r="784" spans="1:80" ht="13.5" hidden="1" customHeight="1">
      <c r="A784" s="10">
        <f ca="1">IFERROR(__xludf.DUMMYFUNCTION("""COMPUTED_VALUE"""),2012)</f>
        <v>2012</v>
      </c>
      <c r="B784" s="50">
        <f ca="1">IFERROR(__xludf.DUMMYFUNCTION("""COMPUTED_VALUE"""),41515)</f>
        <v>41515</v>
      </c>
      <c r="C784" s="41">
        <f ca="1">IFERROR(__xludf.DUMMYFUNCTION("""COMPUTED_VALUE"""),41283)</f>
        <v>41283</v>
      </c>
      <c r="D784" s="42" t="str">
        <f ca="1">IFERROR(__xludf.DUMMYFUNCTION("""COMPUTED_VALUE"""),"Buff-breasted Sandpiper")</f>
        <v>Buff-breasted Sandpiper</v>
      </c>
      <c r="E784" s="53">
        <f ca="1">IFERROR(__xludf.DUMMYFUNCTION("""COMPUTED_VALUE"""),1)</f>
        <v>1</v>
      </c>
      <c r="F784" s="15" t="str">
        <f ca="1">IFERROR(__xludf.DUMMYFUNCTION("""COMPUTED_VALUE"""),"ad  ")</f>
        <v xml:space="preserve">ad  </v>
      </c>
      <c r="G784" s="44" t="str">
        <f ca="1">IFERROR(__xludf.DUMMYFUNCTION("""COMPUTED_VALUE"""),"Frodsham")</f>
        <v>Frodsham</v>
      </c>
      <c r="H784" s="12">
        <f ca="1">IFERROR(__xludf.DUMMYFUNCTION("""COMPUTED_VALUE"""),41118)</f>
        <v>41118</v>
      </c>
      <c r="I784" s="12">
        <f ca="1">IFERROR(__xludf.DUMMYFUNCTION("""COMPUTED_VALUE"""),41120)</f>
        <v>41120</v>
      </c>
      <c r="J784" s="14" t="str">
        <f ca="1">IFERROR(__xludf.DUMMYFUNCTION("""COMPUTED_VALUE"""),"Turner, JE")</f>
        <v>Turner, JE</v>
      </c>
      <c r="K784" s="15" t="str">
        <f ca="1">IFERROR(__xludf.DUMMYFUNCTION("""COMPUTED_VALUE"""),"Roger Wilkinson")</f>
        <v>Roger Wilkinson</v>
      </c>
      <c r="L784" s="17" t="str">
        <f ca="1">IFERROR(__xludf.DUMMYFUNCTION("""COMPUTED_VALUE"""),"closed")</f>
        <v>closed</v>
      </c>
      <c r="M784" s="17" t="str">
        <f ca="1">IFERROR(__xludf.DUMMYFUNCTION("""COMPUTED_VALUE"""),"1st U")</f>
        <v>1st U</v>
      </c>
      <c r="N784" s="15" t="str">
        <f ca="1">IFERROR(__xludf.DUMMYFUNCTION("""COMPUTED_VALUE"""),"accepted")</f>
        <v>accepted</v>
      </c>
      <c r="O784" s="18" t="str">
        <f ca="1">IFERROR(__xludf.DUMMYFUNCTION("""COMPUTED_VALUE"""),"online photo")</f>
        <v>online photo</v>
      </c>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c r="BQ784" s="15"/>
      <c r="BR784" s="15"/>
      <c r="BS784" s="15"/>
      <c r="BT784" s="15"/>
      <c r="BU784" s="15"/>
      <c r="BV784" s="15"/>
      <c r="BW784" s="15"/>
      <c r="BX784" s="15"/>
      <c r="BY784" s="15"/>
      <c r="BZ784" s="15"/>
      <c r="CA784" s="15"/>
      <c r="CB784" s="15"/>
    </row>
    <row r="785" spans="1:80" ht="13.5" hidden="1" customHeight="1">
      <c r="A785" s="20">
        <f ca="1">IFERROR(__xludf.DUMMYFUNCTION("""COMPUTED_VALUE"""),2012)</f>
        <v>2012</v>
      </c>
      <c r="B785" s="45">
        <f ca="1">IFERROR(__xludf.DUMMYFUNCTION("""COMPUTED_VALUE"""),41582)</f>
        <v>41582</v>
      </c>
      <c r="C785" s="46">
        <f ca="1">IFERROR(__xludf.DUMMYFUNCTION("""COMPUTED_VALUE"""),41582)</f>
        <v>41582</v>
      </c>
      <c r="D785" s="47" t="str">
        <f ca="1">IFERROR(__xludf.DUMMYFUNCTION("""COMPUTED_VALUE"""),"Pectoral Sandpiper")</f>
        <v>Pectoral Sandpiper</v>
      </c>
      <c r="E785" s="52">
        <f ca="1">IFERROR(__xludf.DUMMYFUNCTION("""COMPUTED_VALUE"""),1)</f>
        <v>1</v>
      </c>
      <c r="F785" s="25"/>
      <c r="G785" s="48" t="str">
        <f ca="1">IFERROR(__xludf.DUMMYFUNCTION("""COMPUTED_VALUE"""),"Burton Mere Wetlands RSPB")</f>
        <v>Burton Mere Wetlands RSPB</v>
      </c>
      <c r="H785" s="22">
        <f ca="1">IFERROR(__xludf.DUMMYFUNCTION("""COMPUTED_VALUE"""),41154)</f>
        <v>41154</v>
      </c>
      <c r="I785" s="23"/>
      <c r="J785" s="24" t="str">
        <f ca="1">IFERROR(__xludf.DUMMYFUNCTION("""COMPUTED_VALUE"""),"SG.Birdforum")</f>
        <v>SG.Birdforum</v>
      </c>
      <c r="K785" s="25" t="str">
        <f ca="1">IFERROR(__xludf.DUMMYFUNCTION("""COMPUTED_VALUE"""),"tbd")</f>
        <v>tbd</v>
      </c>
      <c r="L785" s="27" t="str">
        <f ca="1">IFERROR(__xludf.DUMMYFUNCTION("""COMPUTED_VALUE"""),"closed")</f>
        <v>closed</v>
      </c>
      <c r="M785" s="27" t="str">
        <f ca="1">IFERROR(__xludf.DUMMYFUNCTION("""COMPUTED_VALUE"""),"1st U")</f>
        <v>1st U</v>
      </c>
      <c r="N785" s="64" t="str">
        <f ca="1">IFERROR(__xludf.DUMMYFUNCTION("""COMPUTED_VALUE"""),"accepted")</f>
        <v>accepted</v>
      </c>
      <c r="O785" s="28"/>
      <c r="P785" s="25"/>
      <c r="Q785" s="40"/>
      <c r="R785" s="40"/>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c r="AQ785" s="25"/>
      <c r="AR785" s="25"/>
      <c r="AS785" s="25"/>
      <c r="AT785" s="25"/>
      <c r="AU785" s="25"/>
      <c r="AV785" s="25"/>
      <c r="AW785" s="25"/>
      <c r="AX785" s="25"/>
      <c r="AY785" s="25"/>
      <c r="AZ785" s="25"/>
      <c r="BA785" s="25"/>
      <c r="BB785" s="25"/>
      <c r="BC785" s="25"/>
      <c r="BD785" s="25"/>
      <c r="BE785" s="25"/>
      <c r="BF785" s="25"/>
      <c r="BG785" s="25"/>
      <c r="BH785" s="25"/>
      <c r="BI785" s="25"/>
      <c r="BJ785" s="25"/>
      <c r="BK785" s="25"/>
      <c r="BL785" s="25"/>
      <c r="BM785" s="25"/>
      <c r="BN785" s="25"/>
      <c r="BO785" s="25"/>
      <c r="BP785" s="25"/>
      <c r="BQ785" s="25"/>
      <c r="BR785" s="25"/>
      <c r="BS785" s="25"/>
      <c r="BT785" s="25"/>
      <c r="BU785" s="25"/>
      <c r="BV785" s="25"/>
      <c r="BW785" s="25"/>
      <c r="BX785" s="25"/>
      <c r="BY785" s="25"/>
      <c r="BZ785" s="25"/>
      <c r="CA785" s="25"/>
      <c r="CB785" s="25"/>
    </row>
    <row r="786" spans="1:80" ht="13.5" hidden="1" customHeight="1">
      <c r="A786" s="10">
        <f ca="1">IFERROR(__xludf.DUMMYFUNCTION("""COMPUTED_VALUE"""),2012)</f>
        <v>2012</v>
      </c>
      <c r="B786" s="50">
        <f ca="1">IFERROR(__xludf.DUMMYFUNCTION("""COMPUTED_VALUE"""),41339)</f>
        <v>41339</v>
      </c>
      <c r="C786" s="41">
        <f ca="1">IFERROR(__xludf.DUMMYFUNCTION("""COMPUTED_VALUE"""),41339)</f>
        <v>41339</v>
      </c>
      <c r="D786" s="42" t="str">
        <f ca="1">IFERROR(__xludf.DUMMYFUNCTION("""COMPUTED_VALUE"""),"Pectoral Sandpiper")</f>
        <v>Pectoral Sandpiper</v>
      </c>
      <c r="E786" s="53">
        <f ca="1">IFERROR(__xludf.DUMMYFUNCTION("""COMPUTED_VALUE"""),1)</f>
        <v>1</v>
      </c>
      <c r="F786" s="15" t="str">
        <f ca="1">IFERROR(__xludf.DUMMYFUNCTION("""COMPUTED_VALUE"""),"juv")</f>
        <v>juv</v>
      </c>
      <c r="G786" s="44" t="str">
        <f ca="1">IFERROR(__xludf.DUMMYFUNCTION("""COMPUTED_VALUE"""),"Hale")</f>
        <v>Hale</v>
      </c>
      <c r="H786" s="12">
        <f ca="1">IFERROR(__xludf.DUMMYFUNCTION("""COMPUTED_VALUE"""),41163)</f>
        <v>41163</v>
      </c>
      <c r="I786" s="12">
        <f ca="1">IFERROR(__xludf.DUMMYFUNCTION("""COMPUTED_VALUE"""),41167)</f>
        <v>41167</v>
      </c>
      <c r="J786" s="14" t="str">
        <f ca="1">IFERROR(__xludf.DUMMYFUNCTION("""COMPUTED_VALUE"""),"Cockbain, RP&amp;CA")</f>
        <v>Cockbain, RP&amp;CA</v>
      </c>
      <c r="K786" s="15" t="str">
        <f ca="1">IFERROR(__xludf.DUMMYFUNCTION("""COMPUTED_VALUE"""),"Cockbain, RP&amp;CA")</f>
        <v>Cockbain, RP&amp;CA</v>
      </c>
      <c r="L786" s="17" t="str">
        <f ca="1">IFERROR(__xludf.DUMMYFUNCTION("""COMPUTED_VALUE"""),"closed")</f>
        <v>closed</v>
      </c>
      <c r="M786" s="17" t="str">
        <f ca="1">IFERROR(__xludf.DUMMYFUNCTION("""COMPUTED_VALUE"""),"1st U")</f>
        <v>1st U</v>
      </c>
      <c r="N786" s="15" t="str">
        <f ca="1">IFERROR(__xludf.DUMMYFUNCTION("""COMPUTED_VALUE"""),"accepted")</f>
        <v>accepted</v>
      </c>
      <c r="O786" s="18"/>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row>
    <row r="787" spans="1:80" ht="13.5" hidden="1" customHeight="1">
      <c r="A787" s="20">
        <f ca="1">IFERROR(__xludf.DUMMYFUNCTION("""COMPUTED_VALUE"""),2012)</f>
        <v>2012</v>
      </c>
      <c r="B787" s="45">
        <f ca="1">IFERROR(__xludf.DUMMYFUNCTION("""COMPUTED_VALUE"""),44568)</f>
        <v>44568</v>
      </c>
      <c r="C787" s="46"/>
      <c r="D787" s="47" t="str">
        <f ca="1">IFERROR(__xludf.DUMMYFUNCTION("""COMPUTED_VALUE"""),"Western Sandpiper")</f>
        <v>Western Sandpiper</v>
      </c>
      <c r="E787" s="52"/>
      <c r="F787" s="25"/>
      <c r="G787" s="48" t="str">
        <f ca="1">IFERROR(__xludf.DUMMYFUNCTION("""COMPUTED_VALUE"""),"Hoylake")</f>
        <v>Hoylake</v>
      </c>
      <c r="H787" s="22">
        <f ca="1">IFERROR(__xludf.DUMMYFUNCTION("""COMPUTED_VALUE"""),41171)</f>
        <v>41171</v>
      </c>
      <c r="I787" s="22">
        <f ca="1">IFERROR(__xludf.DUMMYFUNCTION("""COMPUTED_VALUE"""),41176)</f>
        <v>41176</v>
      </c>
      <c r="J787" s="24"/>
      <c r="K787" s="25"/>
      <c r="L787" s="27" t="str">
        <f ca="1">IFERROR(__xludf.DUMMYFUNCTION("""COMPUTED_VALUE"""),"closed")</f>
        <v>closed</v>
      </c>
      <c r="M787" s="27"/>
      <c r="N787" s="25" t="str">
        <f ca="1">IFERROR(__xludf.DUMMYFUNCTION("""COMPUTED_VALUE"""),"BBRC-OK")</f>
        <v>BBRC-OK</v>
      </c>
      <c r="O787" s="28" t="str">
        <f ca="1">IFERROR(__xludf.DUMMYFUNCTION("""COMPUTED_VALUE"""),"Hoylake, 1CY, 19th–24th September, photo")</f>
        <v>Hoylake, 1CY, 19th–24th September, photo</v>
      </c>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c r="AQ787" s="25"/>
      <c r="AR787" s="25"/>
      <c r="AS787" s="25"/>
      <c r="AT787" s="25"/>
      <c r="AU787" s="25"/>
      <c r="AV787" s="25"/>
      <c r="AW787" s="25"/>
      <c r="AX787" s="25"/>
      <c r="AY787" s="25"/>
      <c r="AZ787" s="25"/>
      <c r="BA787" s="25"/>
      <c r="BB787" s="25"/>
      <c r="BC787" s="25"/>
      <c r="BD787" s="25"/>
      <c r="BE787" s="25"/>
      <c r="BF787" s="25"/>
      <c r="BG787" s="25"/>
      <c r="BH787" s="25"/>
      <c r="BI787" s="25"/>
      <c r="BJ787" s="25"/>
      <c r="BK787" s="25"/>
      <c r="BL787" s="25"/>
      <c r="BM787" s="25"/>
      <c r="BN787" s="25"/>
      <c r="BO787" s="25"/>
      <c r="BP787" s="25"/>
      <c r="BQ787" s="25"/>
      <c r="BR787" s="25"/>
      <c r="BS787" s="25"/>
      <c r="BT787" s="25"/>
      <c r="BU787" s="25"/>
      <c r="BV787" s="25"/>
      <c r="BW787" s="25"/>
      <c r="BX787" s="25"/>
      <c r="BY787" s="25"/>
      <c r="BZ787" s="25"/>
      <c r="CA787" s="25"/>
      <c r="CB787" s="25"/>
    </row>
    <row r="788" spans="1:80" ht="13.5" hidden="1" customHeight="1">
      <c r="A788" s="10">
        <f ca="1">IFERROR(__xludf.DUMMYFUNCTION("""COMPUTED_VALUE"""),2012)</f>
        <v>2012</v>
      </c>
      <c r="B788" s="50">
        <f ca="1">IFERROR(__xludf.DUMMYFUNCTION("""COMPUTED_VALUE"""),44568)</f>
        <v>44568</v>
      </c>
      <c r="C788" s="41"/>
      <c r="D788" s="42" t="str">
        <f ca="1">IFERROR(__xludf.DUMMYFUNCTION("""COMPUTED_VALUE"""),"Long-billed Dowitcher")</f>
        <v>Long-billed Dowitcher</v>
      </c>
      <c r="E788" s="53"/>
      <c r="F788" s="15"/>
      <c r="G788" s="44" t="str">
        <f ca="1">IFERROR(__xludf.DUMMYFUNCTION("""COMPUTED_VALUE"""),"Burton")</f>
        <v>Burton</v>
      </c>
      <c r="H788" s="12">
        <f ca="1">IFERROR(__xludf.DUMMYFUNCTION("""COMPUTED_VALUE"""),41183)</f>
        <v>41183</v>
      </c>
      <c r="I788" s="13"/>
      <c r="J788" s="14"/>
      <c r="K788" s="15"/>
      <c r="L788" s="17" t="str">
        <f ca="1">IFERROR(__xludf.DUMMYFUNCTION("""COMPUTED_VALUE"""),"closed")</f>
        <v>closed</v>
      </c>
      <c r="M788" s="17"/>
      <c r="N788" s="43" t="str">
        <f ca="1">IFERROR(__xludf.DUMMYFUNCTION("""COMPUTED_VALUE"""),"BBRC-OK")</f>
        <v>BBRC-OK</v>
      </c>
      <c r="O788" s="18" t="str">
        <f ca="1">IFERROR(__xludf.DUMMYFUNCTION("""COMPUTED_VALUE"""),"Burton Mere Wetlands RSPB, juvenile to first-winter, 1st to 19th October, photo.")</f>
        <v>Burton Mere Wetlands RSPB, juvenile to first-winter, 1st to 19th October, photo.</v>
      </c>
      <c r="P788" s="15"/>
      <c r="Q788" s="58"/>
      <c r="R788" s="58"/>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c r="BQ788" s="15"/>
      <c r="BR788" s="15"/>
      <c r="BS788" s="15"/>
      <c r="BT788" s="15"/>
      <c r="BU788" s="15"/>
      <c r="BV788" s="15"/>
      <c r="BW788" s="15"/>
      <c r="BX788" s="15"/>
      <c r="BY788" s="15"/>
      <c r="BZ788" s="15"/>
      <c r="CA788" s="15"/>
      <c r="CB788" s="15"/>
    </row>
    <row r="789" spans="1:80" ht="13.5" hidden="1" customHeight="1">
      <c r="A789" s="20">
        <f ca="1">IFERROR(__xludf.DUMMYFUNCTION("""COMPUTED_VALUE"""),2012)</f>
        <v>2012</v>
      </c>
      <c r="B789" s="45">
        <f ca="1">IFERROR(__xludf.DUMMYFUNCTION("""COMPUTED_VALUE"""),41515)</f>
        <v>41515</v>
      </c>
      <c r="C789" s="46" t="str">
        <f ca="1">IFERROR(__xludf.DUMMYFUNCTION("""COMPUTED_VALUE"""),"24/22/13")</f>
        <v>24/22/13</v>
      </c>
      <c r="D789" s="47" t="str">
        <f ca="1">IFERROR(__xludf.DUMMYFUNCTION("""COMPUTED_VALUE"""),"Grey Phalarope")</f>
        <v>Grey Phalarope</v>
      </c>
      <c r="E789" s="52" t="str">
        <f ca="1">IFERROR(__xludf.DUMMYFUNCTION("""COMPUTED_VALUE"""),"1")</f>
        <v>1</v>
      </c>
      <c r="F789" s="25" t="str">
        <f ca="1">IFERROR(__xludf.DUMMYFUNCTION("""COMPUTED_VALUE"""),"")</f>
        <v/>
      </c>
      <c r="G789" s="48" t="str">
        <f ca="1">IFERROR(__xludf.DUMMYFUNCTION("""COMPUTED_VALUE"""),"Hilbre")</f>
        <v>Hilbre</v>
      </c>
      <c r="H789" s="22">
        <f ca="1">IFERROR(__xludf.DUMMYFUNCTION("""COMPUTED_VALUE"""),41166)</f>
        <v>41166</v>
      </c>
      <c r="I789" s="22">
        <f ca="1">IFERROR(__xludf.DUMMYFUNCTION("""COMPUTED_VALUE"""),41166)</f>
        <v>41166</v>
      </c>
      <c r="J789" s="67" t="str">
        <f ca="1">IFERROR(__xludf.DUMMYFUNCTION("""COMPUTED_VALUE"""),"Woolen, PS")</f>
        <v>Woolen, PS</v>
      </c>
      <c r="K789" s="25" t="str">
        <f ca="1">IFERROR(__xludf.DUMMYFUNCTION("""COMPUTED_VALUE"""),"Williams, SR")</f>
        <v>Williams, SR</v>
      </c>
      <c r="L789" s="27" t="str">
        <f ca="1">IFERROR(__xludf.DUMMYFUNCTION("""COMPUTED_VALUE"""),"closed")</f>
        <v>closed</v>
      </c>
      <c r="M789" s="27" t="str">
        <f ca="1">IFERROR(__xludf.DUMMYFUNCTION("""COMPUTED_VALUE"""),"1st U")</f>
        <v>1st U</v>
      </c>
      <c r="N789" s="25" t="str">
        <f ca="1">IFERROR(__xludf.DUMMYFUNCTION("""COMPUTED_VALUE"""),"accepted")</f>
        <v>accepted</v>
      </c>
      <c r="O789" s="65" t="str">
        <f ca="1">IFERROR(__xludf.DUMMYFUNCTION("""COMPUTED_VALUE"""),"")</f>
        <v/>
      </c>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c r="AQ789" s="25"/>
      <c r="AR789" s="25"/>
      <c r="AS789" s="25"/>
      <c r="AT789" s="25"/>
      <c r="AU789" s="25"/>
      <c r="AV789" s="25"/>
      <c r="AW789" s="25"/>
      <c r="AX789" s="25"/>
      <c r="AY789" s="25"/>
      <c r="AZ789" s="25"/>
      <c r="BA789" s="25"/>
      <c r="BB789" s="25"/>
      <c r="BC789" s="25"/>
      <c r="BD789" s="25"/>
      <c r="BE789" s="25"/>
      <c r="BF789" s="25"/>
      <c r="BG789" s="25"/>
      <c r="BH789" s="25"/>
      <c r="BI789" s="25"/>
      <c r="BJ789" s="25"/>
      <c r="BK789" s="25"/>
      <c r="BL789" s="25"/>
      <c r="BM789" s="25"/>
      <c r="BN789" s="25"/>
      <c r="BO789" s="25"/>
      <c r="BP789" s="25"/>
      <c r="BQ789" s="25"/>
      <c r="BR789" s="25"/>
      <c r="BS789" s="25"/>
      <c r="BT789" s="25"/>
      <c r="BU789" s="25"/>
      <c r="BV789" s="25"/>
      <c r="BW789" s="25"/>
      <c r="BX789" s="25"/>
      <c r="BY789" s="25"/>
      <c r="BZ789" s="25"/>
      <c r="CA789" s="25"/>
      <c r="CB789" s="25"/>
    </row>
    <row r="790" spans="1:80" ht="13.5" hidden="1" customHeight="1">
      <c r="A790" s="10">
        <f ca="1">IFERROR(__xludf.DUMMYFUNCTION("""COMPUTED_VALUE"""),2012)</f>
        <v>2012</v>
      </c>
      <c r="B790" s="50">
        <f ca="1">IFERROR(__xludf.DUMMYFUNCTION("""COMPUTED_VALUE"""),41152)</f>
        <v>41152</v>
      </c>
      <c r="C790" s="41">
        <f ca="1">IFERROR(__xludf.DUMMYFUNCTION("""COMPUTED_VALUE"""),41151)</f>
        <v>41151</v>
      </c>
      <c r="D790" s="42" t="str">
        <f ca="1">IFERROR(__xludf.DUMMYFUNCTION("""COMPUTED_VALUE"""),"Sabine's Gull")</f>
        <v>Sabine's Gull</v>
      </c>
      <c r="E790" s="53">
        <f ca="1">IFERROR(__xludf.DUMMYFUNCTION("""COMPUTED_VALUE"""),1)</f>
        <v>1</v>
      </c>
      <c r="F790" s="15" t="str">
        <f ca="1">IFERROR(__xludf.DUMMYFUNCTION("""COMPUTED_VALUE"""),"juv")</f>
        <v>juv</v>
      </c>
      <c r="G790" s="44" t="str">
        <f ca="1">IFERROR(__xludf.DUMMYFUNCTION("""COMPUTED_VALUE"""),"Mersey Estuary - Mouth, New Brighton")</f>
        <v>Mersey Estuary - Mouth, New Brighton</v>
      </c>
      <c r="H790" s="12">
        <f ca="1">IFERROR(__xludf.DUMMYFUNCTION("""COMPUTED_VALUE"""),41165)</f>
        <v>41165</v>
      </c>
      <c r="I790" s="13"/>
      <c r="J790" s="14" t="str">
        <f ca="1">IFERROR(__xludf.DUMMYFUNCTION("""COMPUTED_VALUE"""),"Vaughan, T")</f>
        <v>Vaughan, T</v>
      </c>
      <c r="K790" s="15"/>
      <c r="L790" s="17" t="str">
        <f ca="1">IFERROR(__xludf.DUMMYFUNCTION("""COMPUTED_VALUE"""),"closed")</f>
        <v>closed</v>
      </c>
      <c r="M790" s="17" t="str">
        <f ca="1">IFERROR(__xludf.DUMMYFUNCTION("""COMPUTED_VALUE"""),"1st U")</f>
        <v>1st U</v>
      </c>
      <c r="N790" s="43" t="str">
        <f ca="1">IFERROR(__xludf.DUMMYFUNCTION("""COMPUTED_VALUE"""),"accepted")</f>
        <v>accepted</v>
      </c>
      <c r="O790" s="18"/>
      <c r="P790" s="15"/>
      <c r="Q790" s="58"/>
      <c r="R790" s="58"/>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row>
    <row r="791" spans="1:80" ht="13.5" hidden="1" customHeight="1">
      <c r="A791" s="20">
        <f ca="1">IFERROR(__xludf.DUMMYFUNCTION("""COMPUTED_VALUE"""),2012)</f>
        <v>2012</v>
      </c>
      <c r="B791" s="45">
        <f ca="1">IFERROR(__xludf.DUMMYFUNCTION("""COMPUTED_VALUE"""),41602)</f>
        <v>41602</v>
      </c>
      <c r="C791" s="46">
        <f ca="1">IFERROR(__xludf.DUMMYFUNCTION("""COMPUTED_VALUE"""),41602)</f>
        <v>41602</v>
      </c>
      <c r="D791" s="47" t="str">
        <f ca="1">IFERROR(__xludf.DUMMYFUNCTION("""COMPUTED_VALUE"""),"Sabine's Gull")</f>
        <v>Sabine's Gull</v>
      </c>
      <c r="E791" s="52" t="str">
        <f ca="1">IFERROR(__xludf.DUMMYFUNCTION("""COMPUTED_VALUE"""),"1")</f>
        <v>1</v>
      </c>
      <c r="F791" s="25" t="str">
        <f ca="1">IFERROR(__xludf.DUMMYFUNCTION("""COMPUTED_VALUE"""),"")</f>
        <v/>
      </c>
      <c r="G791" s="48" t="str">
        <f ca="1">IFERROR(__xludf.DUMMYFUNCTION("""COMPUTED_VALUE"""),"Hilbre")</f>
        <v>Hilbre</v>
      </c>
      <c r="H791" s="22">
        <f ca="1">IFERROR(__xludf.DUMMYFUNCTION("""COMPUTED_VALUE"""),41166)</f>
        <v>41166</v>
      </c>
      <c r="I791" s="22">
        <f ca="1">IFERROR(__xludf.DUMMYFUNCTION("""COMPUTED_VALUE"""),41166)</f>
        <v>41166</v>
      </c>
      <c r="J791" s="67" t="str">
        <f ca="1">IFERROR(__xludf.DUMMYFUNCTION("""COMPUTED_VALUE"""),"Williams, SR")</f>
        <v>Williams, SR</v>
      </c>
      <c r="K791" s="64" t="str">
        <f ca="1">IFERROR(__xludf.DUMMYFUNCTION("""COMPUTED_VALUE"""),"Williams, SR")</f>
        <v>Williams, SR</v>
      </c>
      <c r="L791" s="27" t="str">
        <f ca="1">IFERROR(__xludf.DUMMYFUNCTION("""COMPUTED_VALUE"""),"closed")</f>
        <v>closed</v>
      </c>
      <c r="M791" s="27" t="str">
        <f ca="1">IFERROR(__xludf.DUMMYFUNCTION("""COMPUTED_VALUE"""),"1st U")</f>
        <v>1st U</v>
      </c>
      <c r="N791" s="64" t="str">
        <f ca="1">IFERROR(__xludf.DUMMYFUNCTION("""COMPUTED_VALUE"""),"accepted")</f>
        <v>accepted</v>
      </c>
      <c r="O791" s="65" t="str">
        <f ca="1">IFERROR(__xludf.DUMMYFUNCTION("""COMPUTED_VALUE"""),"")</f>
        <v/>
      </c>
      <c r="P791" s="25"/>
      <c r="Q791" s="40"/>
      <c r="R791" s="40"/>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c r="AQ791" s="25"/>
      <c r="AR791" s="25"/>
      <c r="AS791" s="25"/>
      <c r="AT791" s="25"/>
      <c r="AU791" s="25"/>
      <c r="AV791" s="25"/>
      <c r="AW791" s="25"/>
      <c r="AX791" s="25"/>
      <c r="AY791" s="25"/>
      <c r="AZ791" s="25"/>
      <c r="BA791" s="25"/>
      <c r="BB791" s="25"/>
      <c r="BC791" s="25"/>
      <c r="BD791" s="25"/>
      <c r="BE791" s="25"/>
      <c r="BF791" s="25"/>
      <c r="BG791" s="25"/>
      <c r="BH791" s="25"/>
      <c r="BI791" s="25"/>
      <c r="BJ791" s="25"/>
      <c r="BK791" s="25"/>
      <c r="BL791" s="25"/>
      <c r="BM791" s="25"/>
      <c r="BN791" s="25"/>
      <c r="BO791" s="25"/>
      <c r="BP791" s="25"/>
      <c r="BQ791" s="25"/>
      <c r="BR791" s="25"/>
      <c r="BS791" s="25"/>
      <c r="BT791" s="25"/>
      <c r="BU791" s="25"/>
      <c r="BV791" s="25"/>
      <c r="BW791" s="25"/>
      <c r="BX791" s="25"/>
      <c r="BY791" s="25"/>
      <c r="BZ791" s="25"/>
      <c r="CA791" s="25"/>
      <c r="CB791" s="25"/>
    </row>
    <row r="792" spans="1:80" ht="13.5" hidden="1" customHeight="1">
      <c r="A792" s="10">
        <f ca="1">IFERROR(__xludf.DUMMYFUNCTION("""COMPUTED_VALUE"""),2012)</f>
        <v>2012</v>
      </c>
      <c r="B792" s="50">
        <f ca="1">IFERROR(__xludf.DUMMYFUNCTION("""COMPUTED_VALUE"""),41583)</f>
        <v>41583</v>
      </c>
      <c r="C792" s="41">
        <f ca="1">IFERROR(__xludf.DUMMYFUNCTION("""COMPUTED_VALUE"""),41582)</f>
        <v>41582</v>
      </c>
      <c r="D792" s="42" t="str">
        <f ca="1">IFERROR(__xludf.DUMMYFUNCTION("""COMPUTED_VALUE"""),"Sabine's Gull")</f>
        <v>Sabine's Gull</v>
      </c>
      <c r="E792" s="53">
        <f ca="1">IFERROR(__xludf.DUMMYFUNCTION("""COMPUTED_VALUE"""),1)</f>
        <v>1</v>
      </c>
      <c r="F792" s="15" t="str">
        <f ca="1">IFERROR(__xludf.DUMMYFUNCTION("""COMPUTED_VALUE"""),"juv")</f>
        <v>juv</v>
      </c>
      <c r="G792" s="44" t="str">
        <f ca="1">IFERROR(__xludf.DUMMYFUNCTION("""COMPUTED_VALUE"""),"Hoylake")</f>
        <v>Hoylake</v>
      </c>
      <c r="H792" s="12">
        <f ca="1">IFERROR(__xludf.DUMMYFUNCTION("""COMPUTED_VALUE"""),41166)</f>
        <v>41166</v>
      </c>
      <c r="I792" s="12"/>
      <c r="J792" s="14" t="str">
        <f ca="1">IFERROR(__xludf.DUMMYFUNCTION("""COMPUTED_VALUE"""),"Turner, JE")</f>
        <v>Turner, JE</v>
      </c>
      <c r="K792" s="15" t="str">
        <f ca="1">IFERROR(__xludf.DUMMYFUNCTION("""COMPUTED_VALUE"""),"Turner, JE")</f>
        <v>Turner, JE</v>
      </c>
      <c r="L792" s="17" t="str">
        <f ca="1">IFERROR(__xludf.DUMMYFUNCTION("""COMPUTED_VALUE"""),"closed")</f>
        <v>closed</v>
      </c>
      <c r="M792" s="17" t="str">
        <f ca="1">IFERROR(__xludf.DUMMYFUNCTION("""COMPUTED_VALUE"""),"1st U")</f>
        <v>1st U</v>
      </c>
      <c r="N792" s="43" t="str">
        <f ca="1">IFERROR(__xludf.DUMMYFUNCTION("""COMPUTED_VALUE"""),"accepted")</f>
        <v>accepted</v>
      </c>
      <c r="O792" s="18"/>
      <c r="P792" s="15"/>
      <c r="Q792" s="58"/>
      <c r="R792" s="58"/>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row>
    <row r="793" spans="1:80" ht="13.5" hidden="1" customHeight="1">
      <c r="A793" s="20">
        <f ca="1">IFERROR(__xludf.DUMMYFUNCTION("""COMPUTED_VALUE"""),2012)</f>
        <v>2012</v>
      </c>
      <c r="B793" s="45">
        <f ca="1">IFERROR(__xludf.DUMMYFUNCTION("""COMPUTED_VALUE"""),41582)</f>
        <v>41582</v>
      </c>
      <c r="C793" s="46">
        <f ca="1">IFERROR(__xludf.DUMMYFUNCTION("""COMPUTED_VALUE"""),37199)</f>
        <v>37199</v>
      </c>
      <c r="D793" s="47" t="str">
        <f ca="1">IFERROR(__xludf.DUMMYFUNCTION("""COMPUTED_VALUE"""),"Sabine's Gull")</f>
        <v>Sabine's Gull</v>
      </c>
      <c r="E793" s="52">
        <f ca="1">IFERROR(__xludf.DUMMYFUNCTION("""COMPUTED_VALUE"""),1)</f>
        <v>1</v>
      </c>
      <c r="F793" s="25" t="str">
        <f ca="1">IFERROR(__xludf.DUMMYFUNCTION("""COMPUTED_VALUE"""),"ad")</f>
        <v>ad</v>
      </c>
      <c r="G793" s="48" t="str">
        <f ca="1">IFERROR(__xludf.DUMMYFUNCTION("""COMPUTED_VALUE"""),"Leasowe, Gunsight")</f>
        <v>Leasowe, Gunsight</v>
      </c>
      <c r="H793" s="22">
        <f ca="1">IFERROR(__xludf.DUMMYFUNCTION("""COMPUTED_VALUE"""),41166)</f>
        <v>41166</v>
      </c>
      <c r="I793" s="23"/>
      <c r="J793" s="24" t="str">
        <f ca="1">IFERROR(__xludf.DUMMYFUNCTION("""COMPUTED_VALUE"""),"Conlin, A")</f>
        <v>Conlin, A</v>
      </c>
      <c r="K793" s="25" t="str">
        <f ca="1">IFERROR(__xludf.DUMMYFUNCTION("""COMPUTED_VALUE"""),"Conlin, A")</f>
        <v>Conlin, A</v>
      </c>
      <c r="L793" s="27" t="str">
        <f ca="1">IFERROR(__xludf.DUMMYFUNCTION("""COMPUTED_VALUE"""),"closed")</f>
        <v>closed</v>
      </c>
      <c r="M793" s="27" t="str">
        <f ca="1">IFERROR(__xludf.DUMMYFUNCTION("""COMPUTED_VALUE"""),"1st U")</f>
        <v>1st U</v>
      </c>
      <c r="N793" s="64" t="str">
        <f ca="1">IFERROR(__xludf.DUMMYFUNCTION("""COMPUTED_VALUE"""),"accepted")</f>
        <v>accepted</v>
      </c>
      <c r="O793" s="28"/>
      <c r="P793" s="25"/>
      <c r="Q793" s="40"/>
      <c r="R793" s="40"/>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c r="AQ793" s="25"/>
      <c r="AR793" s="25"/>
      <c r="AS793" s="25"/>
      <c r="AT793" s="25"/>
      <c r="AU793" s="25"/>
      <c r="AV793" s="25"/>
      <c r="AW793" s="25"/>
      <c r="AX793" s="25"/>
      <c r="AY793" s="25"/>
      <c r="AZ793" s="25"/>
      <c r="BA793" s="25"/>
      <c r="BB793" s="25"/>
      <c r="BC793" s="25"/>
      <c r="BD793" s="25"/>
      <c r="BE793" s="25"/>
      <c r="BF793" s="25"/>
      <c r="BG793" s="25"/>
      <c r="BH793" s="25"/>
      <c r="BI793" s="25"/>
      <c r="BJ793" s="25"/>
      <c r="BK793" s="25"/>
      <c r="BL793" s="25"/>
      <c r="BM793" s="25"/>
      <c r="BN793" s="25"/>
      <c r="BO793" s="25"/>
      <c r="BP793" s="25"/>
      <c r="BQ793" s="25"/>
      <c r="BR793" s="25"/>
      <c r="BS793" s="25"/>
      <c r="BT793" s="25"/>
      <c r="BU793" s="25"/>
      <c r="BV793" s="25"/>
      <c r="BW793" s="25"/>
      <c r="BX793" s="25"/>
      <c r="BY793" s="25"/>
      <c r="BZ793" s="25"/>
      <c r="CA793" s="25"/>
      <c r="CB793" s="25"/>
    </row>
    <row r="794" spans="1:80" ht="13.5" hidden="1" customHeight="1">
      <c r="A794" s="10">
        <f ca="1">IFERROR(__xludf.DUMMYFUNCTION("""COMPUTED_VALUE"""),2012)</f>
        <v>2012</v>
      </c>
      <c r="B794" s="50">
        <f ca="1">IFERROR(__xludf.DUMMYFUNCTION("""COMPUTED_VALUE"""),41602)</f>
        <v>41602</v>
      </c>
      <c r="C794" s="41">
        <f ca="1">IFERROR(__xludf.DUMMYFUNCTION("""COMPUTED_VALUE"""),41602)</f>
        <v>41602</v>
      </c>
      <c r="D794" s="42" t="str">
        <f ca="1">IFERROR(__xludf.DUMMYFUNCTION("""COMPUTED_VALUE"""),"Sabine's Gull")</f>
        <v>Sabine's Gull</v>
      </c>
      <c r="E794" s="53" t="str">
        <f ca="1">IFERROR(__xludf.DUMMYFUNCTION("""COMPUTED_VALUE"""),"1")</f>
        <v>1</v>
      </c>
      <c r="F794" s="15" t="str">
        <f ca="1">IFERROR(__xludf.DUMMYFUNCTION("""COMPUTED_VALUE"""),"")</f>
        <v/>
      </c>
      <c r="G794" s="44" t="str">
        <f ca="1">IFERROR(__xludf.DUMMYFUNCTION("""COMPUTED_VALUE"""),"Hilbre")</f>
        <v>Hilbre</v>
      </c>
      <c r="H794" s="12">
        <f ca="1">IFERROR(__xludf.DUMMYFUNCTION("""COMPUTED_VALUE"""),41170)</f>
        <v>41170</v>
      </c>
      <c r="I794" s="12">
        <f ca="1">IFERROR(__xludf.DUMMYFUNCTION("""COMPUTED_VALUE"""),41170)</f>
        <v>41170</v>
      </c>
      <c r="J794" s="68" t="str">
        <f ca="1">IFERROR(__xludf.DUMMYFUNCTION("""COMPUTED_VALUE"""),"Hilbre Bird Observatory")</f>
        <v>Hilbre Bird Observatory</v>
      </c>
      <c r="K794" s="15"/>
      <c r="L794" s="17" t="str">
        <f ca="1">IFERROR(__xludf.DUMMYFUNCTION("""COMPUTED_VALUE"""),"closed")</f>
        <v>closed</v>
      </c>
      <c r="M794" s="17" t="str">
        <f ca="1">IFERROR(__xludf.DUMMYFUNCTION("""COMPUTED_VALUE"""),"1st U")</f>
        <v>1st U</v>
      </c>
      <c r="N794" s="15" t="str">
        <f ca="1">IFERROR(__xludf.DUMMYFUNCTION("""COMPUTED_VALUE"""),"accepted")</f>
        <v>accepted</v>
      </c>
      <c r="O794" s="66" t="str">
        <f ca="1">IFERROR(__xludf.DUMMYFUNCTION("""COMPUTED_VALUE"""),"")</f>
        <v/>
      </c>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c r="BQ794" s="15"/>
      <c r="BR794" s="15"/>
      <c r="BS794" s="15"/>
      <c r="BT794" s="15"/>
      <c r="BU794" s="15"/>
      <c r="BV794" s="15"/>
      <c r="BW794" s="15"/>
      <c r="BX794" s="15"/>
      <c r="BY794" s="15"/>
      <c r="BZ794" s="15"/>
      <c r="CA794" s="15"/>
      <c r="CB794" s="15"/>
    </row>
    <row r="795" spans="1:80" ht="13.5" hidden="1" customHeight="1">
      <c r="A795" s="20">
        <f ca="1">IFERROR(__xludf.DUMMYFUNCTION("""COMPUTED_VALUE"""),2012)</f>
        <v>2012</v>
      </c>
      <c r="B795" s="45">
        <f ca="1">IFERROR(__xludf.DUMMYFUNCTION("""COMPUTED_VALUE"""),41583)</f>
        <v>41583</v>
      </c>
      <c r="C795" s="46">
        <f ca="1">IFERROR(__xludf.DUMMYFUNCTION("""COMPUTED_VALUE"""),41582)</f>
        <v>41582</v>
      </c>
      <c r="D795" s="47" t="str">
        <f ca="1">IFERROR(__xludf.DUMMYFUNCTION("""COMPUTED_VALUE"""),"Sabine's Gull")</f>
        <v>Sabine's Gull</v>
      </c>
      <c r="E795" s="52"/>
      <c r="F795" s="25"/>
      <c r="G795" s="48" t="str">
        <f ca="1">IFERROR(__xludf.DUMMYFUNCTION("""COMPUTED_VALUE"""),"Hoylake")</f>
        <v>Hoylake</v>
      </c>
      <c r="H795" s="22">
        <f ca="1">IFERROR(__xludf.DUMMYFUNCTION("""COMPUTED_VALUE"""),41170)</f>
        <v>41170</v>
      </c>
      <c r="I795" s="22">
        <f ca="1">IFERROR(__xludf.DUMMYFUNCTION("""COMPUTED_VALUE"""),41170)</f>
        <v>41170</v>
      </c>
      <c r="J795" s="24" t="str">
        <f ca="1">IFERROR(__xludf.DUMMYFUNCTION("""COMPUTED_VALUE"""),"Turner, JE")</f>
        <v>Turner, JE</v>
      </c>
      <c r="K795" s="25" t="str">
        <f ca="1">IFERROR(__xludf.DUMMYFUNCTION("""COMPUTED_VALUE"""),"Turner, JE")</f>
        <v>Turner, JE</v>
      </c>
      <c r="L795" s="27" t="str">
        <f ca="1">IFERROR(__xludf.DUMMYFUNCTION("""COMPUTED_VALUE"""),"closed")</f>
        <v>closed</v>
      </c>
      <c r="M795" s="27" t="str">
        <f ca="1">IFERROR(__xludf.DUMMYFUNCTION("""COMPUTED_VALUE"""),"1st U")</f>
        <v>1st U</v>
      </c>
      <c r="N795" s="25" t="str">
        <f ca="1">IFERROR(__xludf.DUMMYFUNCTION("""COMPUTED_VALUE"""),"accepted")</f>
        <v>accepted</v>
      </c>
      <c r="O795" s="28"/>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c r="AQ795" s="25"/>
      <c r="AR795" s="25"/>
      <c r="AS795" s="25"/>
      <c r="AT795" s="25"/>
      <c r="AU795" s="25"/>
      <c r="AV795" s="25"/>
      <c r="AW795" s="25"/>
      <c r="AX795" s="25"/>
      <c r="AY795" s="25"/>
      <c r="AZ795" s="25"/>
      <c r="BA795" s="25"/>
      <c r="BB795" s="25"/>
      <c r="BC795" s="25"/>
      <c r="BD795" s="25"/>
      <c r="BE795" s="25"/>
      <c r="BF795" s="25"/>
      <c r="BG795" s="25"/>
      <c r="BH795" s="25"/>
      <c r="BI795" s="25"/>
      <c r="BJ795" s="25"/>
      <c r="BK795" s="25"/>
      <c r="BL795" s="25"/>
      <c r="BM795" s="25"/>
      <c r="BN795" s="25"/>
      <c r="BO795" s="25"/>
      <c r="BP795" s="25"/>
      <c r="BQ795" s="25"/>
      <c r="BR795" s="25"/>
      <c r="BS795" s="25"/>
      <c r="BT795" s="25"/>
      <c r="BU795" s="25"/>
      <c r="BV795" s="25"/>
      <c r="BW795" s="25"/>
      <c r="BX795" s="25"/>
      <c r="BY795" s="25"/>
      <c r="BZ795" s="25"/>
      <c r="CA795" s="25"/>
      <c r="CB795" s="25"/>
    </row>
    <row r="796" spans="1:80" ht="13.5" hidden="1" customHeight="1">
      <c r="A796" s="10">
        <f ca="1">IFERROR(__xludf.DUMMYFUNCTION("""COMPUTED_VALUE"""),2012)</f>
        <v>2012</v>
      </c>
      <c r="B796" s="50">
        <f ca="1">IFERROR(__xludf.DUMMYFUNCTION("""COMPUTED_VALUE"""),41583)</f>
        <v>41583</v>
      </c>
      <c r="C796" s="41"/>
      <c r="D796" s="42" t="str">
        <f ca="1">IFERROR(__xludf.DUMMYFUNCTION("""COMPUTED_VALUE"""),"Sabine's Gull")</f>
        <v>Sabine's Gull</v>
      </c>
      <c r="E796" s="53">
        <f ca="1">IFERROR(__xludf.DUMMYFUNCTION("""COMPUTED_VALUE"""),1)</f>
        <v>1</v>
      </c>
      <c r="F796" s="15" t="str">
        <f ca="1">IFERROR(__xludf.DUMMYFUNCTION("""COMPUTED_VALUE"""),"juv")</f>
        <v>juv</v>
      </c>
      <c r="G796" s="44" t="str">
        <f ca="1">IFERROR(__xludf.DUMMYFUNCTION("""COMPUTED_VALUE"""),"Reception Scrape, BMW RSPB")</f>
        <v>Reception Scrape, BMW RSPB</v>
      </c>
      <c r="H796" s="12">
        <f ca="1">IFERROR(__xludf.DUMMYFUNCTION("""COMPUTED_VALUE"""),41172)</f>
        <v>41172</v>
      </c>
      <c r="I796" s="12">
        <f ca="1">IFERROR(__xludf.DUMMYFUNCTION("""COMPUTED_VALUE"""),41175)</f>
        <v>41175</v>
      </c>
      <c r="J796" s="14" t="str">
        <f ca="1">IFERROR(__xludf.DUMMYFUNCTION("""COMPUTED_VALUE"""),"Turner, JE")</f>
        <v>Turner, JE</v>
      </c>
      <c r="K796" s="15" t="str">
        <f ca="1">IFERROR(__xludf.DUMMYFUNCTION("""COMPUTED_VALUE"""),"Wells, C")</f>
        <v>Wells, C</v>
      </c>
      <c r="L796" s="17" t="str">
        <f ca="1">IFERROR(__xludf.DUMMYFUNCTION("""COMPUTED_VALUE"""),"closed")</f>
        <v>closed</v>
      </c>
      <c r="M796" s="17" t="str">
        <f ca="1">IFERROR(__xludf.DUMMYFUNCTION("""COMPUTED_VALUE"""),"1st U")</f>
        <v>1st U</v>
      </c>
      <c r="N796" s="15" t="str">
        <f ca="1">IFERROR(__xludf.DUMMYFUNCTION("""COMPUTED_VALUE"""),"accepted")</f>
        <v>accepted</v>
      </c>
      <c r="O796" s="18" t="str">
        <f ca="1">IFERROR(__xludf.DUMMYFUNCTION("""COMPUTED_VALUE"""),"online photo")</f>
        <v>online photo</v>
      </c>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c r="BQ796" s="15"/>
      <c r="BR796" s="15"/>
      <c r="BS796" s="15"/>
      <c r="BT796" s="15"/>
      <c r="BU796" s="15"/>
      <c r="BV796" s="15"/>
      <c r="BW796" s="15"/>
      <c r="BX796" s="15"/>
      <c r="BY796" s="15"/>
      <c r="BZ796" s="15"/>
      <c r="CA796" s="15"/>
      <c r="CB796" s="15"/>
    </row>
    <row r="797" spans="1:80" ht="13.5" hidden="1" customHeight="1">
      <c r="A797" s="20">
        <f ca="1">IFERROR(__xludf.DUMMYFUNCTION("""COMPUTED_VALUE"""),2012)</f>
        <v>2012</v>
      </c>
      <c r="B797" s="45">
        <f ca="1">IFERROR(__xludf.DUMMYFUNCTION("""COMPUTED_VALUE"""),41587)</f>
        <v>41587</v>
      </c>
      <c r="C797" s="46">
        <f ca="1">IFERROR(__xludf.DUMMYFUNCTION("""COMPUTED_VALUE"""),41582)</f>
        <v>41582</v>
      </c>
      <c r="D797" s="47" t="str">
        <f ca="1">IFERROR(__xludf.DUMMYFUNCTION("""COMPUTED_VALUE"""),"Ring-billed Gull")</f>
        <v>Ring-billed Gull</v>
      </c>
      <c r="E797" s="52">
        <f ca="1">IFERROR(__xludf.DUMMYFUNCTION("""COMPUTED_VALUE"""),1)</f>
        <v>1</v>
      </c>
      <c r="F797" s="25" t="str">
        <f ca="1">IFERROR(__xludf.DUMMYFUNCTION("""COMPUTED_VALUE"""),"1st S")</f>
        <v>1st S</v>
      </c>
      <c r="G797" s="48" t="str">
        <f ca="1">IFERROR(__xludf.DUMMYFUNCTION("""COMPUTED_VALUE"""),"Frodsham No6")</f>
        <v>Frodsham No6</v>
      </c>
      <c r="H797" s="22">
        <f ca="1">IFERROR(__xludf.DUMMYFUNCTION("""COMPUTED_VALUE"""),41124)</f>
        <v>41124</v>
      </c>
      <c r="I797" s="23"/>
      <c r="J797" s="24" t="str">
        <f ca="1">IFERROR(__xludf.DUMMYFUNCTION("""COMPUTED_VALUE"""),"Duff, F")</f>
        <v>Duff, F</v>
      </c>
      <c r="K797" s="25" t="str">
        <f ca="1">IFERROR(__xludf.DUMMYFUNCTION("""COMPUTED_VALUE"""),"Duff, F")</f>
        <v>Duff, F</v>
      </c>
      <c r="L797" s="27" t="str">
        <f ca="1">IFERROR(__xludf.DUMMYFUNCTION("""COMPUTED_VALUE"""),"closed")</f>
        <v>closed</v>
      </c>
      <c r="M797" s="27" t="str">
        <f ca="1">IFERROR(__xludf.DUMMYFUNCTION("""COMPUTED_VALUE"""),"1st M")</f>
        <v>1st M</v>
      </c>
      <c r="N797" s="25" t="str">
        <f ca="1">IFERROR(__xludf.DUMMYFUNCTION("""COMPUTED_VALUE"""),"accepted")</f>
        <v>accepted</v>
      </c>
      <c r="O797" s="28"/>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c r="AQ797" s="25"/>
      <c r="AR797" s="25"/>
      <c r="AS797" s="25"/>
      <c r="AT797" s="25"/>
      <c r="AU797" s="25"/>
      <c r="AV797" s="25"/>
      <c r="AW797" s="25"/>
      <c r="AX797" s="25"/>
      <c r="AY797" s="25"/>
      <c r="AZ797" s="25"/>
      <c r="BA797" s="25"/>
      <c r="BB797" s="25"/>
      <c r="BC797" s="25"/>
      <c r="BD797" s="25"/>
      <c r="BE797" s="25"/>
      <c r="BF797" s="25"/>
      <c r="BG797" s="25"/>
      <c r="BH797" s="25"/>
      <c r="BI797" s="25"/>
      <c r="BJ797" s="25"/>
      <c r="BK797" s="25"/>
      <c r="BL797" s="25"/>
      <c r="BM797" s="25"/>
      <c r="BN797" s="25"/>
      <c r="BO797" s="25"/>
      <c r="BP797" s="25"/>
      <c r="BQ797" s="25"/>
      <c r="BR797" s="25"/>
      <c r="BS797" s="25"/>
      <c r="BT797" s="25"/>
      <c r="BU797" s="25"/>
      <c r="BV797" s="25"/>
      <c r="BW797" s="25"/>
      <c r="BX797" s="25"/>
      <c r="BY797" s="25"/>
      <c r="BZ797" s="25"/>
      <c r="CA797" s="25"/>
      <c r="CB797" s="25"/>
    </row>
    <row r="798" spans="1:80" ht="13.5" hidden="1" customHeight="1">
      <c r="A798" s="10">
        <f ca="1">IFERROR(__xludf.DUMMYFUNCTION("""COMPUTED_VALUE"""),2012)</f>
        <v>2012</v>
      </c>
      <c r="B798" s="50">
        <f ca="1">IFERROR(__xludf.DUMMYFUNCTION("""COMPUTED_VALUE"""),41022)</f>
        <v>41022</v>
      </c>
      <c r="C798" s="41"/>
      <c r="D798" s="42" t="str">
        <f ca="1">IFERROR(__xludf.DUMMYFUNCTION("""COMPUTED_VALUE"""),"Caspian Gull")</f>
        <v>Caspian Gull</v>
      </c>
      <c r="E798" s="53">
        <f ca="1">IFERROR(__xludf.DUMMYFUNCTION("""COMPUTED_VALUE"""),1)</f>
        <v>1</v>
      </c>
      <c r="F798" s="15" t="str">
        <f ca="1">IFERROR(__xludf.DUMMYFUNCTION("""COMPUTED_VALUE"""),"1st W")</f>
        <v>1st W</v>
      </c>
      <c r="G798" s="44" t="str">
        <f ca="1">IFERROR(__xludf.DUMMYFUNCTION("""COMPUTED_VALUE"""),"Richmond Bank")</f>
        <v>Richmond Bank</v>
      </c>
      <c r="H798" s="12">
        <f ca="1">IFERROR(__xludf.DUMMYFUNCTION("""COMPUTED_VALUE"""),40999)</f>
        <v>40999</v>
      </c>
      <c r="I798" s="12">
        <f ca="1">IFERROR(__xludf.DUMMYFUNCTION("""COMPUTED_VALUE"""),40999)</f>
        <v>40999</v>
      </c>
      <c r="J798" s="14" t="str">
        <f ca="1">IFERROR(__xludf.DUMMYFUNCTION("""COMPUTED_VALUE"""),"Kinsella, P")</f>
        <v>Kinsella, P</v>
      </c>
      <c r="K798" s="15" t="str">
        <f ca="1">IFERROR(__xludf.DUMMYFUNCTION("""COMPUTED_VALUE"""),"Pete Kinsella and Mark Garner")</f>
        <v>Pete Kinsella and Mark Garner</v>
      </c>
      <c r="L798" s="17" t="str">
        <f ca="1">IFERROR(__xludf.DUMMYFUNCTION("""COMPUTED_VALUE"""),"closed")</f>
        <v>closed</v>
      </c>
      <c r="M798" s="17" t="str">
        <f ca="1">IFERROR(__xludf.DUMMYFUNCTION("""COMPUTED_VALUE"""),"panel")</f>
        <v>panel</v>
      </c>
      <c r="N798" s="15" t="str">
        <f ca="1">IFERROR(__xludf.DUMMYFUNCTION("""COMPUTED_VALUE"""),"accepted")</f>
        <v>accepted</v>
      </c>
      <c r="O798" s="18"/>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c r="BQ798" s="15"/>
      <c r="BR798" s="15"/>
      <c r="BS798" s="15"/>
      <c r="BT798" s="15"/>
      <c r="BU798" s="15"/>
      <c r="BV798" s="15"/>
      <c r="BW798" s="15"/>
      <c r="BX798" s="15"/>
      <c r="BY798" s="15"/>
      <c r="BZ798" s="15"/>
      <c r="CA798" s="15"/>
      <c r="CB798" s="15"/>
    </row>
    <row r="799" spans="1:80" ht="13.5" hidden="1" customHeight="1">
      <c r="A799" s="20">
        <f ca="1">IFERROR(__xludf.DUMMYFUNCTION("""COMPUTED_VALUE"""),2012)</f>
        <v>2012</v>
      </c>
      <c r="B799" s="45">
        <f ca="1">IFERROR(__xludf.DUMMYFUNCTION("""COMPUTED_VALUE"""),41584)</f>
        <v>41584</v>
      </c>
      <c r="C799" s="46"/>
      <c r="D799" s="47" t="str">
        <f ca="1">IFERROR(__xludf.DUMMYFUNCTION("""COMPUTED_VALUE"""),"Pomarine Skua")</f>
        <v>Pomarine Skua</v>
      </c>
      <c r="E799" s="52" t="str">
        <f ca="1">IFERROR(__xludf.DUMMYFUNCTION("""COMPUTED_VALUE"""),"2")</f>
        <v>2</v>
      </c>
      <c r="F799" s="25" t="str">
        <f ca="1">IFERROR(__xludf.DUMMYFUNCTION("""COMPUTED_VALUE"""),"")</f>
        <v/>
      </c>
      <c r="G799" s="48" t="str">
        <f ca="1">IFERROR(__xludf.DUMMYFUNCTION("""COMPUTED_VALUE"""),"Hilbre")</f>
        <v>Hilbre</v>
      </c>
      <c r="H799" s="22">
        <f ca="1">IFERROR(__xludf.DUMMYFUNCTION("""COMPUTED_VALUE"""),41166)</f>
        <v>41166</v>
      </c>
      <c r="I799" s="22">
        <f ca="1">IFERROR(__xludf.DUMMYFUNCTION("""COMPUTED_VALUE"""),41166)</f>
        <v>41166</v>
      </c>
      <c r="J799" s="67" t="str">
        <f ca="1">IFERROR(__xludf.DUMMYFUNCTION("""COMPUTED_VALUE"""),"Hilbre Bird Observatory")</f>
        <v>Hilbre Bird Observatory</v>
      </c>
      <c r="K799" s="25"/>
      <c r="L799" s="27" t="str">
        <f ca="1">IFERROR(__xludf.DUMMYFUNCTION("""COMPUTED_VALUE"""),"closed")</f>
        <v>closed</v>
      </c>
      <c r="M799" s="27" t="str">
        <f ca="1">IFERROR(__xludf.DUMMYFUNCTION("""COMPUTED_VALUE"""),"proxy")</f>
        <v>proxy</v>
      </c>
      <c r="N799" s="25" t="str">
        <f ca="1">IFERROR(__xludf.DUMMYFUNCTION("""COMPUTED_VALUE"""),"accepted")</f>
        <v>accepted</v>
      </c>
      <c r="O799" s="65" t="str">
        <f ca="1">IFERROR(__xludf.DUMMYFUNCTION("""COMPUTED_VALUE"""),"same as Hoylake")</f>
        <v>same as Hoylake</v>
      </c>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c r="AQ799" s="25"/>
      <c r="AR799" s="25"/>
      <c r="AS799" s="25"/>
      <c r="AT799" s="25"/>
      <c r="AU799" s="25"/>
      <c r="AV799" s="25"/>
      <c r="AW799" s="25"/>
      <c r="AX799" s="25"/>
      <c r="AY799" s="25"/>
      <c r="AZ799" s="25"/>
      <c r="BA799" s="25"/>
      <c r="BB799" s="25"/>
      <c r="BC799" s="25"/>
      <c r="BD799" s="25"/>
      <c r="BE799" s="25"/>
      <c r="BF799" s="25"/>
      <c r="BG799" s="25"/>
      <c r="BH799" s="25"/>
      <c r="BI799" s="25"/>
      <c r="BJ799" s="25"/>
      <c r="BK799" s="25"/>
      <c r="BL799" s="25"/>
      <c r="BM799" s="25"/>
      <c r="BN799" s="25"/>
      <c r="BO799" s="25"/>
      <c r="BP799" s="25"/>
      <c r="BQ799" s="25"/>
      <c r="BR799" s="25"/>
      <c r="BS799" s="25"/>
      <c r="BT799" s="25"/>
      <c r="BU799" s="25"/>
      <c r="BV799" s="25"/>
      <c r="BW799" s="25"/>
      <c r="BX799" s="25"/>
      <c r="BY799" s="25"/>
      <c r="BZ799" s="25"/>
      <c r="CA799" s="25"/>
      <c r="CB799" s="25"/>
    </row>
    <row r="800" spans="1:80" ht="13.5" hidden="1" customHeight="1">
      <c r="A800" s="10">
        <f ca="1">IFERROR(__xludf.DUMMYFUNCTION("""COMPUTED_VALUE"""),2012)</f>
        <v>2012</v>
      </c>
      <c r="B800" s="50">
        <f ca="1">IFERROR(__xludf.DUMMYFUNCTION("""COMPUTED_VALUE"""),41583)</f>
        <v>41583</v>
      </c>
      <c r="C800" s="41">
        <f ca="1">IFERROR(__xludf.DUMMYFUNCTION("""COMPUTED_VALUE"""),41582)</f>
        <v>41582</v>
      </c>
      <c r="D800" s="42" t="str">
        <f ca="1">IFERROR(__xludf.DUMMYFUNCTION("""COMPUTED_VALUE"""),"Pomarine Skua")</f>
        <v>Pomarine Skua</v>
      </c>
      <c r="E800" s="53">
        <f ca="1">IFERROR(__xludf.DUMMYFUNCTION("""COMPUTED_VALUE"""),2)</f>
        <v>2</v>
      </c>
      <c r="F800" s="15" t="str">
        <f ca="1">IFERROR(__xludf.DUMMYFUNCTION("""COMPUTED_VALUE"""),"spooned adult and ""imm""")</f>
        <v>spooned adult and "imm"</v>
      </c>
      <c r="G800" s="44" t="str">
        <f ca="1">IFERROR(__xludf.DUMMYFUNCTION("""COMPUTED_VALUE"""),"Hoylake")</f>
        <v>Hoylake</v>
      </c>
      <c r="H800" s="12">
        <f ca="1">IFERROR(__xludf.DUMMYFUNCTION("""COMPUTED_VALUE"""),41166)</f>
        <v>41166</v>
      </c>
      <c r="I800" s="12">
        <f ca="1">IFERROR(__xludf.DUMMYFUNCTION("""COMPUTED_VALUE"""),41166)</f>
        <v>41166</v>
      </c>
      <c r="J800" s="14" t="str">
        <f ca="1">IFERROR(__xludf.DUMMYFUNCTION("""COMPUTED_VALUE"""),"Turner, JE")</f>
        <v>Turner, JE</v>
      </c>
      <c r="K800" s="15" t="str">
        <f ca="1">IFERROR(__xludf.DUMMYFUNCTION("""COMPUTED_VALUE"""),"Turner, JE")</f>
        <v>Turner, JE</v>
      </c>
      <c r="L800" s="17" t="str">
        <f ca="1">IFERROR(__xludf.DUMMYFUNCTION("""COMPUTED_VALUE"""),"closed")</f>
        <v>closed</v>
      </c>
      <c r="M800" s="17" t="str">
        <f ca="1">IFERROR(__xludf.DUMMYFUNCTION("""COMPUTED_VALUE"""),"1st U")</f>
        <v>1st U</v>
      </c>
      <c r="N800" s="15" t="str">
        <f ca="1">IFERROR(__xludf.DUMMYFUNCTION("""COMPUTED_VALUE"""),"accepted")</f>
        <v>accepted</v>
      </c>
      <c r="O800" s="18"/>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c r="BQ800" s="15"/>
      <c r="BR800" s="15"/>
      <c r="BS800" s="15"/>
      <c r="BT800" s="15"/>
      <c r="BU800" s="15"/>
      <c r="BV800" s="15"/>
      <c r="BW800" s="15"/>
      <c r="BX800" s="15"/>
      <c r="BY800" s="15"/>
      <c r="BZ800" s="15"/>
      <c r="CA800" s="15"/>
      <c r="CB800" s="15"/>
    </row>
    <row r="801" spans="1:80" ht="13.5" hidden="1" customHeight="1">
      <c r="A801" s="20">
        <f ca="1">IFERROR(__xludf.DUMMYFUNCTION("""COMPUTED_VALUE"""),2012)</f>
        <v>2012</v>
      </c>
      <c r="B801" s="45">
        <f ca="1">IFERROR(__xludf.DUMMYFUNCTION("""COMPUTED_VALUE"""),41337)</f>
        <v>41337</v>
      </c>
      <c r="C801" s="46">
        <f ca="1">IFERROR(__xludf.DUMMYFUNCTION("""COMPUTED_VALUE"""),41336)</f>
        <v>41336</v>
      </c>
      <c r="D801" s="47" t="str">
        <f ca="1">IFERROR(__xludf.DUMMYFUNCTION("""COMPUTED_VALUE"""),"Long-tailed Skua")</f>
        <v>Long-tailed Skua</v>
      </c>
      <c r="E801" s="52">
        <f ca="1">IFERROR(__xludf.DUMMYFUNCTION("""COMPUTED_VALUE"""),2)</f>
        <v>2</v>
      </c>
      <c r="F801" s="25" t="str">
        <f ca="1">IFERROR(__xludf.DUMMYFUNCTION("""COMPUTED_VALUE"""),"juv")</f>
        <v>juv</v>
      </c>
      <c r="G801" s="48" t="str">
        <f ca="1">IFERROR(__xludf.DUMMYFUNCTION("""COMPUTED_VALUE"""),"Hoylake")</f>
        <v>Hoylake</v>
      </c>
      <c r="H801" s="22">
        <f ca="1">IFERROR(__xludf.DUMMYFUNCTION("""COMPUTED_VALUE"""),41165)</f>
        <v>41165</v>
      </c>
      <c r="I801" s="22">
        <f ca="1">IFERROR(__xludf.DUMMYFUNCTION("""COMPUTED_VALUE"""),41170)</f>
        <v>41170</v>
      </c>
      <c r="J801" s="24" t="str">
        <f ca="1">IFERROR(__xludf.DUMMYFUNCTION("""COMPUTED_VALUE"""),"Turner, JE")</f>
        <v>Turner, JE</v>
      </c>
      <c r="K801" s="25" t="str">
        <f ca="1">IFERROR(__xludf.DUMMYFUNCTION("""COMPUTED_VALUE"""),"Turner, JE")</f>
        <v>Turner, JE</v>
      </c>
      <c r="L801" s="27" t="str">
        <f ca="1">IFERROR(__xludf.DUMMYFUNCTION("""COMPUTED_VALUE"""),"closed")</f>
        <v>closed</v>
      </c>
      <c r="M801" s="27" t="str">
        <f ca="1">IFERROR(__xludf.DUMMYFUNCTION("""COMPUTED_VALUE"""),"1st U")</f>
        <v>1st U</v>
      </c>
      <c r="N801" s="25" t="str">
        <f ca="1">IFERROR(__xludf.DUMMYFUNCTION("""COMPUTED_VALUE"""),"accepted")</f>
        <v>accepted</v>
      </c>
      <c r="O801" s="28"/>
      <c r="P801" s="25"/>
      <c r="Q801" s="40"/>
      <c r="R801" s="40"/>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c r="AQ801" s="25"/>
      <c r="AR801" s="25"/>
      <c r="AS801" s="25"/>
      <c r="AT801" s="25"/>
      <c r="AU801" s="25"/>
      <c r="AV801" s="25"/>
      <c r="AW801" s="25"/>
      <c r="AX801" s="25"/>
      <c r="AY801" s="25"/>
      <c r="AZ801" s="25"/>
      <c r="BA801" s="25"/>
      <c r="BB801" s="25"/>
      <c r="BC801" s="25"/>
      <c r="BD801" s="25"/>
      <c r="BE801" s="25"/>
      <c r="BF801" s="25"/>
      <c r="BG801" s="25"/>
      <c r="BH801" s="25"/>
      <c r="BI801" s="25"/>
      <c r="BJ801" s="25"/>
      <c r="BK801" s="25"/>
      <c r="BL801" s="25"/>
      <c r="BM801" s="25"/>
      <c r="BN801" s="25"/>
      <c r="BO801" s="25"/>
      <c r="BP801" s="25"/>
      <c r="BQ801" s="25"/>
      <c r="BR801" s="25"/>
      <c r="BS801" s="25"/>
      <c r="BT801" s="25"/>
      <c r="BU801" s="25"/>
      <c r="BV801" s="25"/>
      <c r="BW801" s="25"/>
      <c r="BX801" s="25"/>
      <c r="BY801" s="25"/>
      <c r="BZ801" s="25"/>
      <c r="CA801" s="25"/>
      <c r="CB801" s="25"/>
    </row>
    <row r="802" spans="1:80" ht="13.5" hidden="1" customHeight="1">
      <c r="A802" s="10">
        <f ca="1">IFERROR(__xludf.DUMMYFUNCTION("""COMPUTED_VALUE"""),2012)</f>
        <v>2012</v>
      </c>
      <c r="B802" s="50">
        <f ca="1">IFERROR(__xludf.DUMMYFUNCTION("""COMPUTED_VALUE"""),41514)</f>
        <v>41514</v>
      </c>
      <c r="C802" s="41">
        <f ca="1">IFERROR(__xludf.DUMMYFUNCTION("""COMPUTED_VALUE"""),41514)</f>
        <v>41514</v>
      </c>
      <c r="D802" s="42" t="str">
        <f ca="1">IFERROR(__xludf.DUMMYFUNCTION("""COMPUTED_VALUE"""),"Long-tailed Skua")</f>
        <v>Long-tailed Skua</v>
      </c>
      <c r="E802" s="53">
        <f ca="1">IFERROR(__xludf.DUMMYFUNCTION("""COMPUTED_VALUE"""),1)</f>
        <v>1</v>
      </c>
      <c r="F802" s="15" t="str">
        <f ca="1">IFERROR(__xludf.DUMMYFUNCTION("""COMPUTED_VALUE"""),"juv")</f>
        <v>juv</v>
      </c>
      <c r="G802" s="44" t="str">
        <f ca="1">IFERROR(__xludf.DUMMYFUNCTION("""COMPUTED_VALUE"""),"Dovepoint Meols")</f>
        <v>Dovepoint Meols</v>
      </c>
      <c r="H802" s="12">
        <f ca="1">IFERROR(__xludf.DUMMYFUNCTION("""COMPUTED_VALUE"""),41166)</f>
        <v>41166</v>
      </c>
      <c r="I802" s="13"/>
      <c r="J802" s="14" t="str">
        <f ca="1">IFERROR(__xludf.DUMMYFUNCTION("""COMPUTED_VALUE"""),"Conlin, A")</f>
        <v>Conlin, A</v>
      </c>
      <c r="K802" s="15" t="str">
        <f ca="1">IFERROR(__xludf.DUMMYFUNCTION("""COMPUTED_VALUE"""),"Conlin, A")</f>
        <v>Conlin, A</v>
      </c>
      <c r="L802" s="17" t="str">
        <f ca="1">IFERROR(__xludf.DUMMYFUNCTION("""COMPUTED_VALUE"""),"closed")</f>
        <v>closed</v>
      </c>
      <c r="M802" s="17" t="str">
        <f ca="1">IFERROR(__xludf.DUMMYFUNCTION("""COMPUTED_VALUE"""),"1st U")</f>
        <v>1st U</v>
      </c>
      <c r="N802" s="15" t="str">
        <f ca="1">IFERROR(__xludf.DUMMYFUNCTION("""COMPUTED_VALUE"""),"accepted")</f>
        <v>accepted</v>
      </c>
      <c r="O802" s="18"/>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row>
    <row r="803" spans="1:80" ht="13.5" hidden="1" customHeight="1">
      <c r="A803" s="20">
        <f ca="1">IFERROR(__xludf.DUMMYFUNCTION("""COMPUTED_VALUE"""),2012)</f>
        <v>2012</v>
      </c>
      <c r="B803" s="45">
        <f ca="1">IFERROR(__xludf.DUMMYFUNCTION("""COMPUTED_VALUE"""),41517)</f>
        <v>41517</v>
      </c>
      <c r="C803" s="46"/>
      <c r="D803" s="47" t="str">
        <f ca="1">IFERROR(__xludf.DUMMYFUNCTION("""COMPUTED_VALUE"""),"Long-tailed Skua")</f>
        <v>Long-tailed Skua</v>
      </c>
      <c r="E803" s="52" t="str">
        <f ca="1">IFERROR(__xludf.DUMMYFUNCTION("""COMPUTED_VALUE"""),"2")</f>
        <v>2</v>
      </c>
      <c r="F803" s="25" t="str">
        <f ca="1">IFERROR(__xludf.DUMMYFUNCTION("""COMPUTED_VALUE"""),"")</f>
        <v/>
      </c>
      <c r="G803" s="48" t="str">
        <f ca="1">IFERROR(__xludf.DUMMYFUNCTION("""COMPUTED_VALUE"""),"Hilbre")</f>
        <v>Hilbre</v>
      </c>
      <c r="H803" s="22">
        <f ca="1">IFERROR(__xludf.DUMMYFUNCTION("""COMPUTED_VALUE"""),41166)</f>
        <v>41166</v>
      </c>
      <c r="I803" s="22">
        <f ca="1">IFERROR(__xludf.DUMMYFUNCTION("""COMPUTED_VALUE"""),41166)</f>
        <v>41166</v>
      </c>
      <c r="J803" s="67" t="str">
        <f ca="1">IFERROR(__xludf.DUMMYFUNCTION("""COMPUTED_VALUE"""),"Hilbre Bird Observatory")</f>
        <v>Hilbre Bird Observatory</v>
      </c>
      <c r="K803" s="25"/>
      <c r="L803" s="27" t="str">
        <f ca="1">IFERROR(__xludf.DUMMYFUNCTION("""COMPUTED_VALUE"""),"closed")</f>
        <v>closed</v>
      </c>
      <c r="M803" s="27" t="str">
        <f ca="1">IFERROR(__xludf.DUMMYFUNCTION("""COMPUTED_VALUE"""),"proxy")</f>
        <v>proxy</v>
      </c>
      <c r="N803" s="25" t="str">
        <f ca="1">IFERROR(__xludf.DUMMYFUNCTION("""COMPUTED_VALUE"""),"accepted")</f>
        <v>accepted</v>
      </c>
      <c r="O803" s="65" t="str">
        <f ca="1">IFERROR(__xludf.DUMMYFUNCTION("""COMPUTED_VALUE"""),"")</f>
        <v/>
      </c>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c r="AQ803" s="25"/>
      <c r="AR803" s="25"/>
      <c r="AS803" s="25"/>
      <c r="AT803" s="25"/>
      <c r="AU803" s="25"/>
      <c r="AV803" s="25"/>
      <c r="AW803" s="25"/>
      <c r="AX803" s="25"/>
      <c r="AY803" s="25"/>
      <c r="AZ803" s="25"/>
      <c r="BA803" s="25"/>
      <c r="BB803" s="25"/>
      <c r="BC803" s="25"/>
      <c r="BD803" s="25"/>
      <c r="BE803" s="25"/>
      <c r="BF803" s="25"/>
      <c r="BG803" s="25"/>
      <c r="BH803" s="25"/>
      <c r="BI803" s="25"/>
      <c r="BJ803" s="25"/>
      <c r="BK803" s="25"/>
      <c r="BL803" s="25"/>
      <c r="BM803" s="25"/>
      <c r="BN803" s="25"/>
      <c r="BO803" s="25"/>
      <c r="BP803" s="25"/>
      <c r="BQ803" s="25"/>
      <c r="BR803" s="25"/>
      <c r="BS803" s="25"/>
      <c r="BT803" s="25"/>
      <c r="BU803" s="25"/>
      <c r="BV803" s="25"/>
      <c r="BW803" s="25"/>
      <c r="BX803" s="25"/>
      <c r="BY803" s="25"/>
      <c r="BZ803" s="25"/>
      <c r="CA803" s="25"/>
      <c r="CB803" s="25"/>
    </row>
    <row r="804" spans="1:80" ht="13.5" hidden="1" customHeight="1">
      <c r="A804" s="10">
        <f ca="1">IFERROR(__xludf.DUMMYFUNCTION("""COMPUTED_VALUE"""),2012)</f>
        <v>2012</v>
      </c>
      <c r="B804" s="50">
        <f ca="1">IFERROR(__xludf.DUMMYFUNCTION("""COMPUTED_VALUE"""),41337)</f>
        <v>41337</v>
      </c>
      <c r="C804" s="41">
        <f ca="1">IFERROR(__xludf.DUMMYFUNCTION("""COMPUTED_VALUE"""),41336)</f>
        <v>41336</v>
      </c>
      <c r="D804" s="42" t="str">
        <f ca="1">IFERROR(__xludf.DUMMYFUNCTION("""COMPUTED_VALUE"""),"Long-tailed Skua")</f>
        <v>Long-tailed Skua</v>
      </c>
      <c r="E804" s="53">
        <f ca="1">IFERROR(__xludf.DUMMYFUNCTION("""COMPUTED_VALUE"""),1)</f>
        <v>1</v>
      </c>
      <c r="F804" s="15" t="str">
        <f ca="1">IFERROR(__xludf.DUMMYFUNCTION("""COMPUTED_VALUE"""),"juv")</f>
        <v>juv</v>
      </c>
      <c r="G804" s="44" t="str">
        <f ca="1">IFERROR(__xludf.DUMMYFUNCTION("""COMPUTED_VALUE"""),"Hilbre")</f>
        <v>Hilbre</v>
      </c>
      <c r="H804" s="12">
        <f ca="1">IFERROR(__xludf.DUMMYFUNCTION("""COMPUTED_VALUE"""),41167)</f>
        <v>41167</v>
      </c>
      <c r="I804" s="13"/>
      <c r="J804" s="14" t="str">
        <f ca="1">IFERROR(__xludf.DUMMYFUNCTION("""COMPUTED_VALUE"""),"Slade, S")</f>
        <v>Slade, S</v>
      </c>
      <c r="K804" s="15"/>
      <c r="L804" s="17" t="str">
        <f ca="1">IFERROR(__xludf.DUMMYFUNCTION("""COMPUTED_VALUE"""),"closed")</f>
        <v>closed</v>
      </c>
      <c r="M804" s="17" t="str">
        <f ca="1">IFERROR(__xludf.DUMMYFUNCTION("""COMPUTED_VALUE"""),"1st U")</f>
        <v>1st U</v>
      </c>
      <c r="N804" s="15" t="str">
        <f ca="1">IFERROR(__xludf.DUMMYFUNCTION("""COMPUTED_VALUE"""),"accepted")</f>
        <v>accepted</v>
      </c>
      <c r="O804" s="18"/>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c r="BQ804" s="15"/>
      <c r="BR804" s="15"/>
      <c r="BS804" s="15"/>
      <c r="BT804" s="15"/>
      <c r="BU804" s="15"/>
      <c r="BV804" s="15"/>
      <c r="BW804" s="15"/>
      <c r="BX804" s="15"/>
      <c r="BY804" s="15"/>
      <c r="BZ804" s="15"/>
      <c r="CA804" s="15"/>
      <c r="CB804" s="15"/>
    </row>
    <row r="805" spans="1:80" ht="13.5" hidden="1" customHeight="1">
      <c r="A805" s="20">
        <f ca="1">IFERROR(__xludf.DUMMYFUNCTION("""COMPUTED_VALUE"""),2012)</f>
        <v>2012</v>
      </c>
      <c r="B805" s="45">
        <f ca="1">IFERROR(__xludf.DUMMYFUNCTION("""COMPUTED_VALUE"""),41515)</f>
        <v>41515</v>
      </c>
      <c r="C805" s="46"/>
      <c r="D805" s="47" t="str">
        <f ca="1">IFERROR(__xludf.DUMMYFUNCTION("""COMPUTED_VALUE"""),"Long-tailed Skua")</f>
        <v>Long-tailed Skua</v>
      </c>
      <c r="E805" s="52" t="str">
        <f ca="1">IFERROR(__xludf.DUMMYFUNCTION("""COMPUTED_VALUE"""),"1")</f>
        <v>1</v>
      </c>
      <c r="F805" s="25" t="str">
        <f ca="1">IFERROR(__xludf.DUMMYFUNCTION("""COMPUTED_VALUE"""),"")</f>
        <v/>
      </c>
      <c r="G805" s="48" t="str">
        <f ca="1">IFERROR(__xludf.DUMMYFUNCTION("""COMPUTED_VALUE"""),"Hilbre")</f>
        <v>Hilbre</v>
      </c>
      <c r="H805" s="22">
        <f ca="1">IFERROR(__xludf.DUMMYFUNCTION("""COMPUTED_VALUE"""),41167)</f>
        <v>41167</v>
      </c>
      <c r="I805" s="22">
        <f ca="1">IFERROR(__xludf.DUMMYFUNCTION("""COMPUTED_VALUE"""),41167)</f>
        <v>41167</v>
      </c>
      <c r="J805" s="67" t="str">
        <f ca="1">IFERROR(__xludf.DUMMYFUNCTION("""COMPUTED_VALUE"""),"Hilbre Bird Observatory")</f>
        <v>Hilbre Bird Observatory</v>
      </c>
      <c r="K805" s="25"/>
      <c r="L805" s="27" t="str">
        <f ca="1">IFERROR(__xludf.DUMMYFUNCTION("""COMPUTED_VALUE"""),"closed")</f>
        <v>closed</v>
      </c>
      <c r="M805" s="27" t="str">
        <f ca="1">IFERROR(__xludf.DUMMYFUNCTION("""COMPUTED_VALUE"""),"proxy")</f>
        <v>proxy</v>
      </c>
      <c r="N805" s="25" t="str">
        <f ca="1">IFERROR(__xludf.DUMMYFUNCTION("""COMPUTED_VALUE"""),"accepted")</f>
        <v>accepted</v>
      </c>
      <c r="O805" s="65" t="str">
        <f ca="1">IFERROR(__xludf.DUMMYFUNCTION("""COMPUTED_VALUE"""),"")</f>
        <v/>
      </c>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c r="AQ805" s="25"/>
      <c r="AR805" s="25"/>
      <c r="AS805" s="25"/>
      <c r="AT805" s="25"/>
      <c r="AU805" s="25"/>
      <c r="AV805" s="25"/>
      <c r="AW805" s="25"/>
      <c r="AX805" s="25"/>
      <c r="AY805" s="25"/>
      <c r="AZ805" s="25"/>
      <c r="BA805" s="25"/>
      <c r="BB805" s="25"/>
      <c r="BC805" s="25"/>
      <c r="BD805" s="25"/>
      <c r="BE805" s="25"/>
      <c r="BF805" s="25"/>
      <c r="BG805" s="25"/>
      <c r="BH805" s="25"/>
      <c r="BI805" s="25"/>
      <c r="BJ805" s="25"/>
      <c r="BK805" s="25"/>
      <c r="BL805" s="25"/>
      <c r="BM805" s="25"/>
      <c r="BN805" s="25"/>
      <c r="BO805" s="25"/>
      <c r="BP805" s="25"/>
      <c r="BQ805" s="25"/>
      <c r="BR805" s="25"/>
      <c r="BS805" s="25"/>
      <c r="BT805" s="25"/>
      <c r="BU805" s="25"/>
      <c r="BV805" s="25"/>
      <c r="BW805" s="25"/>
      <c r="BX805" s="25"/>
      <c r="BY805" s="25"/>
      <c r="BZ805" s="25"/>
      <c r="CA805" s="25"/>
      <c r="CB805" s="25"/>
    </row>
    <row r="806" spans="1:80" ht="13.5" hidden="1" customHeight="1">
      <c r="A806" s="10">
        <f ca="1">IFERROR(__xludf.DUMMYFUNCTION("""COMPUTED_VALUE"""),2012)</f>
        <v>2012</v>
      </c>
      <c r="B806" s="50">
        <f ca="1">IFERROR(__xludf.DUMMYFUNCTION("""COMPUTED_VALUE"""),41584)</f>
        <v>41584</v>
      </c>
      <c r="C806" s="41"/>
      <c r="D806" s="42" t="str">
        <f ca="1">IFERROR(__xludf.DUMMYFUNCTION("""COMPUTED_VALUE"""),"Puffin")</f>
        <v>Puffin</v>
      </c>
      <c r="E806" s="53" t="str">
        <f ca="1">IFERROR(__xludf.DUMMYFUNCTION("""COMPUTED_VALUE"""),"1")</f>
        <v>1</v>
      </c>
      <c r="F806" s="15" t="str">
        <f ca="1">IFERROR(__xludf.DUMMYFUNCTION("""COMPUTED_VALUE"""),"")</f>
        <v/>
      </c>
      <c r="G806" s="44" t="str">
        <f ca="1">IFERROR(__xludf.DUMMYFUNCTION("""COMPUTED_VALUE"""),"Hilbre")</f>
        <v>Hilbre</v>
      </c>
      <c r="H806" s="12">
        <f ca="1">IFERROR(__xludf.DUMMYFUNCTION("""COMPUTED_VALUE"""),40979)</f>
        <v>40979</v>
      </c>
      <c r="I806" s="12">
        <f ca="1">IFERROR(__xludf.DUMMYFUNCTION("""COMPUTED_VALUE"""),40979)</f>
        <v>40979</v>
      </c>
      <c r="J806" s="68" t="str">
        <f ca="1">IFERROR(__xludf.DUMMYFUNCTION("""COMPUTED_VALUE"""),"Hilbre Bird Observatory")</f>
        <v>Hilbre Bird Observatory</v>
      </c>
      <c r="K806" s="15"/>
      <c r="L806" s="17" t="str">
        <f ca="1">IFERROR(__xludf.DUMMYFUNCTION("""COMPUTED_VALUE"""),"closed")</f>
        <v>closed</v>
      </c>
      <c r="M806" s="17" t="str">
        <f ca="1">IFERROR(__xludf.DUMMYFUNCTION("""COMPUTED_VALUE"""),"proxy")</f>
        <v>proxy</v>
      </c>
      <c r="N806" s="15" t="str">
        <f ca="1">IFERROR(__xludf.DUMMYFUNCTION("""COMPUTED_VALUE"""),"accepted")</f>
        <v>accepted</v>
      </c>
      <c r="O806" s="18"/>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row>
    <row r="807" spans="1:80" ht="13.5" hidden="1" customHeight="1">
      <c r="A807" s="20">
        <f ca="1">IFERROR(__xludf.DUMMYFUNCTION("""COMPUTED_VALUE"""),2012)</f>
        <v>2012</v>
      </c>
      <c r="B807" s="45">
        <f ca="1">IFERROR(__xludf.DUMMYFUNCTION("""COMPUTED_VALUE"""),41328)</f>
        <v>41328</v>
      </c>
      <c r="C807" s="46">
        <f ca="1">IFERROR(__xludf.DUMMYFUNCTION("""COMPUTED_VALUE"""),41327)</f>
        <v>41327</v>
      </c>
      <c r="D807" s="47" t="str">
        <f ca="1">IFERROR(__xludf.DUMMYFUNCTION("""COMPUTED_VALUE"""),"Puffin")</f>
        <v>Puffin</v>
      </c>
      <c r="E807" s="52">
        <f ca="1">IFERROR(__xludf.DUMMYFUNCTION("""COMPUTED_VALUE"""),3)</f>
        <v>3</v>
      </c>
      <c r="F807" s="25"/>
      <c r="G807" s="48" t="str">
        <f ca="1">IFERROR(__xludf.DUMMYFUNCTION("""COMPUTED_VALUE"""),"Hoylake")</f>
        <v>Hoylake</v>
      </c>
      <c r="H807" s="22">
        <f ca="1">IFERROR(__xludf.DUMMYFUNCTION("""COMPUTED_VALUE"""),41016)</f>
        <v>41016</v>
      </c>
      <c r="I807" s="22">
        <f ca="1">IFERROR(__xludf.DUMMYFUNCTION("""COMPUTED_VALUE"""),41016)</f>
        <v>41016</v>
      </c>
      <c r="J807" s="24" t="str">
        <f ca="1">IFERROR(__xludf.DUMMYFUNCTION("""COMPUTED_VALUE"""),"Turner, JE")</f>
        <v>Turner, JE</v>
      </c>
      <c r="K807" s="25" t="str">
        <f ca="1">IFERROR(__xludf.DUMMYFUNCTION("""COMPUTED_VALUE"""),"Turner, JE")</f>
        <v>Turner, JE</v>
      </c>
      <c r="L807" s="27" t="str">
        <f ca="1">IFERROR(__xludf.DUMMYFUNCTION("""COMPUTED_VALUE"""),"closed")</f>
        <v>closed</v>
      </c>
      <c r="M807" s="27" t="str">
        <f ca="1">IFERROR(__xludf.DUMMYFUNCTION("""COMPUTED_VALUE"""),"1st U")</f>
        <v>1st U</v>
      </c>
      <c r="N807" s="25" t="str">
        <f ca="1">IFERROR(__xludf.DUMMYFUNCTION("""COMPUTED_VALUE"""),"accepted")</f>
        <v>accepted</v>
      </c>
      <c r="O807" s="28" t="str">
        <f ca="1">IFERROR(__xludf.DUMMYFUNCTION("""COMPUTED_VALUE"""),"minimum count, possibly 10")</f>
        <v>minimum count, possibly 10</v>
      </c>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c r="AQ807" s="25"/>
      <c r="AR807" s="25"/>
      <c r="AS807" s="25"/>
      <c r="AT807" s="25"/>
      <c r="AU807" s="25"/>
      <c r="AV807" s="25"/>
      <c r="AW807" s="25"/>
      <c r="AX807" s="25"/>
      <c r="AY807" s="25"/>
      <c r="AZ807" s="25"/>
      <c r="BA807" s="25"/>
      <c r="BB807" s="25"/>
      <c r="BC807" s="25"/>
      <c r="BD807" s="25"/>
      <c r="BE807" s="25"/>
      <c r="BF807" s="25"/>
      <c r="BG807" s="25"/>
      <c r="BH807" s="25"/>
      <c r="BI807" s="25"/>
      <c r="BJ807" s="25"/>
      <c r="BK807" s="25"/>
      <c r="BL807" s="25"/>
      <c r="BM807" s="25"/>
      <c r="BN807" s="25"/>
      <c r="BO807" s="25"/>
      <c r="BP807" s="25"/>
      <c r="BQ807" s="25"/>
      <c r="BR807" s="25"/>
      <c r="BS807" s="25"/>
      <c r="BT807" s="25"/>
      <c r="BU807" s="25"/>
      <c r="BV807" s="25"/>
      <c r="BW807" s="25"/>
      <c r="BX807" s="25"/>
      <c r="BY807" s="25"/>
      <c r="BZ807" s="25"/>
      <c r="CA807" s="25"/>
      <c r="CB807" s="25"/>
    </row>
    <row r="808" spans="1:80" ht="13.5" hidden="1" customHeight="1">
      <c r="A808" s="10">
        <f ca="1">IFERROR(__xludf.DUMMYFUNCTION("""COMPUTED_VALUE"""),2012)</f>
        <v>2012</v>
      </c>
      <c r="B808" s="50">
        <f ca="1">IFERROR(__xludf.DUMMYFUNCTION("""COMPUTED_VALUE"""),41584)</f>
        <v>41584</v>
      </c>
      <c r="C808" s="41"/>
      <c r="D808" s="42" t="str">
        <f ca="1">IFERROR(__xludf.DUMMYFUNCTION("""COMPUTED_VALUE"""),"Puffin")</f>
        <v>Puffin</v>
      </c>
      <c r="E808" s="53" t="str">
        <f ca="1">IFERROR(__xludf.DUMMYFUNCTION("""COMPUTED_VALUE"""),"1")</f>
        <v>1</v>
      </c>
      <c r="F808" s="15" t="str">
        <f ca="1">IFERROR(__xludf.DUMMYFUNCTION("""COMPUTED_VALUE"""),"")</f>
        <v/>
      </c>
      <c r="G808" s="44" t="str">
        <f ca="1">IFERROR(__xludf.DUMMYFUNCTION("""COMPUTED_VALUE"""),"Hilbre")</f>
        <v>Hilbre</v>
      </c>
      <c r="H808" s="12">
        <f ca="1">IFERROR(__xludf.DUMMYFUNCTION("""COMPUTED_VALUE"""),41093)</f>
        <v>41093</v>
      </c>
      <c r="I808" s="12">
        <f ca="1">IFERROR(__xludf.DUMMYFUNCTION("""COMPUTED_VALUE"""),41093)</f>
        <v>41093</v>
      </c>
      <c r="J808" s="68" t="str">
        <f ca="1">IFERROR(__xludf.DUMMYFUNCTION("""COMPUTED_VALUE"""),"Hilbre Bird Observatory")</f>
        <v>Hilbre Bird Observatory</v>
      </c>
      <c r="K808" s="15"/>
      <c r="L808" s="17" t="str">
        <f ca="1">IFERROR(__xludf.DUMMYFUNCTION("""COMPUTED_VALUE"""),"closed")</f>
        <v>closed</v>
      </c>
      <c r="M808" s="17" t="str">
        <f ca="1">IFERROR(__xludf.DUMMYFUNCTION("""COMPUTED_VALUE"""),"proxy")</f>
        <v>proxy</v>
      </c>
      <c r="N808" s="15" t="str">
        <f ca="1">IFERROR(__xludf.DUMMYFUNCTION("""COMPUTED_VALUE"""),"accepted")</f>
        <v>accepted</v>
      </c>
      <c r="O808" s="66" t="str">
        <f ca="1">IFERROR(__xludf.DUMMYFUNCTION("""COMPUTED_VALUE"""),"")</f>
        <v/>
      </c>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c r="BQ808" s="15"/>
      <c r="BR808" s="15"/>
      <c r="BS808" s="15"/>
      <c r="BT808" s="15"/>
      <c r="BU808" s="15"/>
      <c r="BV808" s="15"/>
      <c r="BW808" s="15"/>
      <c r="BX808" s="15"/>
      <c r="BY808" s="15"/>
      <c r="BZ808" s="15"/>
      <c r="CA808" s="15"/>
      <c r="CB808" s="15"/>
    </row>
    <row r="809" spans="1:80" ht="13.5" hidden="1" customHeight="1">
      <c r="A809" s="20">
        <f ca="1">IFERROR(__xludf.DUMMYFUNCTION("""COMPUTED_VALUE"""),2012)</f>
        <v>2012</v>
      </c>
      <c r="B809" s="45">
        <f ca="1">IFERROR(__xludf.DUMMYFUNCTION("""COMPUTED_VALUE"""),41584)</f>
        <v>41584</v>
      </c>
      <c r="C809" s="46">
        <f ca="1">IFERROR(__xludf.DUMMYFUNCTION("""COMPUTED_VALUE"""),41584)</f>
        <v>41584</v>
      </c>
      <c r="D809" s="47" t="str">
        <f ca="1">IFERROR(__xludf.DUMMYFUNCTION("""COMPUTED_VALUE"""),"Red-throated Diver")</f>
        <v>Red-throated Diver</v>
      </c>
      <c r="E809" s="52"/>
      <c r="F809" s="25"/>
      <c r="G809" s="48" t="str">
        <f ca="1">IFERROR(__xludf.DUMMYFUNCTION("""COMPUTED_VALUE"""),"Chester")</f>
        <v>Chester</v>
      </c>
      <c r="H809" s="22">
        <f ca="1">IFERROR(__xludf.DUMMYFUNCTION("""COMPUTED_VALUE"""),41179)</f>
        <v>41179</v>
      </c>
      <c r="I809" s="22">
        <f ca="1">IFERROR(__xludf.DUMMYFUNCTION("""COMPUTED_VALUE"""),41179)</f>
        <v>41179</v>
      </c>
      <c r="J809" s="24" t="str">
        <f ca="1">IFERROR(__xludf.DUMMYFUNCTION("""COMPUTED_VALUE"""),"Newman, Peter")</f>
        <v>Newman, Peter</v>
      </c>
      <c r="K809" s="25" t="str">
        <f ca="1">IFERROR(__xludf.DUMMYFUNCTION("""COMPUTED_VALUE"""),"Newman, Peter")</f>
        <v>Newman, Peter</v>
      </c>
      <c r="L809" s="27" t="str">
        <f ca="1">IFERROR(__xludf.DUMMYFUNCTION("""COMPUTED_VALUE"""),"closed")</f>
        <v>closed</v>
      </c>
      <c r="M809" s="27" t="str">
        <f ca="1">IFERROR(__xludf.DUMMYFUNCTION("""COMPUTED_VALUE"""),"1st U")</f>
        <v>1st U</v>
      </c>
      <c r="N809" s="25" t="str">
        <f ca="1">IFERROR(__xludf.DUMMYFUNCTION("""COMPUTED_VALUE"""),"accepted")</f>
        <v>accepted</v>
      </c>
      <c r="O809" s="28"/>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c r="AQ809" s="25"/>
      <c r="AR809" s="25"/>
      <c r="AS809" s="25"/>
      <c r="AT809" s="25"/>
      <c r="AU809" s="25"/>
      <c r="AV809" s="25"/>
      <c r="AW809" s="25"/>
      <c r="AX809" s="25"/>
      <c r="AY809" s="25"/>
      <c r="AZ809" s="25"/>
      <c r="BA809" s="25"/>
      <c r="BB809" s="25"/>
      <c r="BC809" s="25"/>
      <c r="BD809" s="25"/>
      <c r="BE809" s="25"/>
      <c r="BF809" s="25"/>
      <c r="BG809" s="25"/>
      <c r="BH809" s="25"/>
      <c r="BI809" s="25"/>
      <c r="BJ809" s="25"/>
      <c r="BK809" s="25"/>
      <c r="BL809" s="25"/>
      <c r="BM809" s="25"/>
      <c r="BN809" s="25"/>
      <c r="BO809" s="25"/>
      <c r="BP809" s="25"/>
      <c r="BQ809" s="25"/>
      <c r="BR809" s="25"/>
      <c r="BS809" s="25"/>
      <c r="BT809" s="25"/>
      <c r="BU809" s="25"/>
      <c r="BV809" s="25"/>
      <c r="BW809" s="25"/>
      <c r="BX809" s="25"/>
      <c r="BY809" s="25"/>
      <c r="BZ809" s="25"/>
      <c r="CA809" s="25"/>
      <c r="CB809" s="25"/>
    </row>
    <row r="810" spans="1:80" ht="13.5" hidden="1" customHeight="1">
      <c r="A810" s="10">
        <f ca="1">IFERROR(__xludf.DUMMYFUNCTION("""COMPUTED_VALUE"""),2012)</f>
        <v>2012</v>
      </c>
      <c r="B810" s="50">
        <f ca="1">IFERROR(__xludf.DUMMYFUNCTION("""COMPUTED_VALUE"""),41585)</f>
        <v>41585</v>
      </c>
      <c r="C810" s="41">
        <f ca="1">IFERROR(__xludf.DUMMYFUNCTION("""COMPUTED_VALUE"""),41537)</f>
        <v>41537</v>
      </c>
      <c r="D810" s="42" t="str">
        <f ca="1">IFERROR(__xludf.DUMMYFUNCTION("""COMPUTED_VALUE"""),"Black-throated Diver")</f>
        <v>Black-throated Diver</v>
      </c>
      <c r="E810" s="53">
        <f ca="1">IFERROR(__xludf.DUMMYFUNCTION("""COMPUTED_VALUE"""),1)</f>
        <v>1</v>
      </c>
      <c r="F810" s="15"/>
      <c r="G810" s="44" t="str">
        <f ca="1">IFERROR(__xludf.DUMMYFUNCTION("""COMPUTED_VALUE"""),"Hoylake")</f>
        <v>Hoylake</v>
      </c>
      <c r="H810" s="12">
        <f ca="1">IFERROR(__xludf.DUMMYFUNCTION("""COMPUTED_VALUE"""),41182)</f>
        <v>41182</v>
      </c>
      <c r="I810" s="12">
        <f ca="1">IFERROR(__xludf.DUMMYFUNCTION("""COMPUTED_VALUE"""),41182)</f>
        <v>41182</v>
      </c>
      <c r="J810" s="14" t="str">
        <f ca="1">IFERROR(__xludf.DUMMYFUNCTION("""COMPUTED_VALUE"""),"Turner, JE")</f>
        <v>Turner, JE</v>
      </c>
      <c r="K810" s="15" t="str">
        <f ca="1">IFERROR(__xludf.DUMMYFUNCTION("""COMPUTED_VALUE"""),"Turner, JE")</f>
        <v>Turner, JE</v>
      </c>
      <c r="L810" s="17" t="str">
        <f ca="1">IFERROR(__xludf.DUMMYFUNCTION("""COMPUTED_VALUE"""),"closed")</f>
        <v>closed</v>
      </c>
      <c r="M810" s="17" t="str">
        <f ca="1">IFERROR(__xludf.DUMMYFUNCTION("""COMPUTED_VALUE"""),"1st U")</f>
        <v>1st U</v>
      </c>
      <c r="N810" s="15" t="str">
        <f ca="1">IFERROR(__xludf.DUMMYFUNCTION("""COMPUTED_VALUE"""),"accepted")</f>
        <v>accepted</v>
      </c>
      <c r="O810" s="18"/>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row>
    <row r="811" spans="1:80" ht="13.5" hidden="1" customHeight="1">
      <c r="A811" s="20">
        <f ca="1">IFERROR(__xludf.DUMMYFUNCTION("""COMPUTED_VALUE"""),2012)</f>
        <v>2012</v>
      </c>
      <c r="B811" s="45">
        <f ca="1">IFERROR(__xludf.DUMMYFUNCTION("""COMPUTED_VALUE"""),41587)</f>
        <v>41587</v>
      </c>
      <c r="C811" s="46"/>
      <c r="D811" s="47" t="str">
        <f ca="1">IFERROR(__xludf.DUMMYFUNCTION("""COMPUTED_VALUE"""),"Black-throated Diver")</f>
        <v>Black-throated Diver</v>
      </c>
      <c r="E811" s="52" t="str">
        <f ca="1">IFERROR(__xludf.DUMMYFUNCTION("""COMPUTED_VALUE"""),"1")</f>
        <v>1</v>
      </c>
      <c r="F811" s="25" t="str">
        <f ca="1">IFERROR(__xludf.DUMMYFUNCTION("""COMPUTED_VALUE"""),"")</f>
        <v/>
      </c>
      <c r="G811" s="48" t="str">
        <f ca="1">IFERROR(__xludf.DUMMYFUNCTION("""COMPUTED_VALUE"""),"Hilbre")</f>
        <v>Hilbre</v>
      </c>
      <c r="H811" s="22">
        <f ca="1">IFERROR(__xludf.DUMMYFUNCTION("""COMPUTED_VALUE"""),41198)</f>
        <v>41198</v>
      </c>
      <c r="I811" s="22">
        <f ca="1">IFERROR(__xludf.DUMMYFUNCTION("""COMPUTED_VALUE"""),41198)</f>
        <v>41198</v>
      </c>
      <c r="J811" s="67" t="str">
        <f ca="1">IFERROR(__xludf.DUMMYFUNCTION("""COMPUTED_VALUE"""),"Hilbre Bird Observatory")</f>
        <v>Hilbre Bird Observatory</v>
      </c>
      <c r="K811" s="25"/>
      <c r="L811" s="27" t="str">
        <f ca="1">IFERROR(__xludf.DUMMYFUNCTION("""COMPUTED_VALUE"""),"closed")</f>
        <v>closed</v>
      </c>
      <c r="M811" s="27" t="str">
        <f ca="1">IFERROR(__xludf.DUMMYFUNCTION("""COMPUTED_VALUE"""),"proxy")</f>
        <v>proxy</v>
      </c>
      <c r="N811" s="25" t="str">
        <f ca="1">IFERROR(__xludf.DUMMYFUNCTION("""COMPUTED_VALUE"""),"accepted")</f>
        <v>accepted</v>
      </c>
      <c r="O811" s="65" t="str">
        <f ca="1">IFERROR(__xludf.DUMMYFUNCTION("""COMPUTED_VALUE"""),"")</f>
        <v/>
      </c>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c r="AQ811" s="25"/>
      <c r="AR811" s="25"/>
      <c r="AS811" s="25"/>
      <c r="AT811" s="25"/>
      <c r="AU811" s="25"/>
      <c r="AV811" s="25"/>
      <c r="AW811" s="25"/>
      <c r="AX811" s="25"/>
      <c r="AY811" s="25"/>
      <c r="AZ811" s="25"/>
      <c r="BA811" s="25"/>
      <c r="BB811" s="25"/>
      <c r="BC811" s="25"/>
      <c r="BD811" s="25"/>
      <c r="BE811" s="25"/>
      <c r="BF811" s="25"/>
      <c r="BG811" s="25"/>
      <c r="BH811" s="25"/>
      <c r="BI811" s="25"/>
      <c r="BJ811" s="25"/>
      <c r="BK811" s="25"/>
      <c r="BL811" s="25"/>
      <c r="BM811" s="25"/>
      <c r="BN811" s="25"/>
      <c r="BO811" s="25"/>
      <c r="BP811" s="25"/>
      <c r="BQ811" s="25"/>
      <c r="BR811" s="25"/>
      <c r="BS811" s="25"/>
      <c r="BT811" s="25"/>
      <c r="BU811" s="25"/>
      <c r="BV811" s="25"/>
      <c r="BW811" s="25"/>
      <c r="BX811" s="25"/>
      <c r="BY811" s="25"/>
      <c r="BZ811" s="25"/>
      <c r="CA811" s="25"/>
      <c r="CB811" s="25"/>
    </row>
    <row r="812" spans="1:80" ht="13.5" hidden="1" customHeight="1">
      <c r="A812" s="10">
        <f ca="1">IFERROR(__xludf.DUMMYFUNCTION("""COMPUTED_VALUE"""),2012)</f>
        <v>2012</v>
      </c>
      <c r="B812" s="50">
        <f ca="1">IFERROR(__xludf.DUMMYFUNCTION("""COMPUTED_VALUE"""),41587)</f>
        <v>41587</v>
      </c>
      <c r="C812" s="41"/>
      <c r="D812" s="42" t="str">
        <f ca="1">IFERROR(__xludf.DUMMYFUNCTION("""COMPUTED_VALUE"""),"Black-throated Diver")</f>
        <v>Black-throated Diver</v>
      </c>
      <c r="E812" s="53" t="str">
        <f ca="1">IFERROR(__xludf.DUMMYFUNCTION("""COMPUTED_VALUE"""),"1")</f>
        <v>1</v>
      </c>
      <c r="F812" s="15" t="str">
        <f ca="1">IFERROR(__xludf.DUMMYFUNCTION("""COMPUTED_VALUE"""),"")</f>
        <v/>
      </c>
      <c r="G812" s="44" t="str">
        <f ca="1">IFERROR(__xludf.DUMMYFUNCTION("""COMPUTED_VALUE"""),"Hilbre")</f>
        <v>Hilbre</v>
      </c>
      <c r="H812" s="12">
        <f ca="1">IFERROR(__xludf.DUMMYFUNCTION("""COMPUTED_VALUE"""),41224)</f>
        <v>41224</v>
      </c>
      <c r="I812" s="12">
        <f ca="1">IFERROR(__xludf.DUMMYFUNCTION("""COMPUTED_VALUE"""),41224)</f>
        <v>41224</v>
      </c>
      <c r="J812" s="68" t="str">
        <f ca="1">IFERROR(__xludf.DUMMYFUNCTION("""COMPUTED_VALUE"""),"Hilbre Bird Observatory")</f>
        <v>Hilbre Bird Observatory</v>
      </c>
      <c r="K812" s="15"/>
      <c r="L812" s="17" t="str">
        <f ca="1">IFERROR(__xludf.DUMMYFUNCTION("""COMPUTED_VALUE"""),"closed")</f>
        <v>closed</v>
      </c>
      <c r="M812" s="17" t="str">
        <f ca="1">IFERROR(__xludf.DUMMYFUNCTION("""COMPUTED_VALUE"""),"proxy")</f>
        <v>proxy</v>
      </c>
      <c r="N812" s="15" t="str">
        <f ca="1">IFERROR(__xludf.DUMMYFUNCTION("""COMPUTED_VALUE"""),"accepted")</f>
        <v>accepted</v>
      </c>
      <c r="O812" s="66" t="str">
        <f ca="1">IFERROR(__xludf.DUMMYFUNCTION("""COMPUTED_VALUE"""),"")</f>
        <v/>
      </c>
      <c r="P812" s="15"/>
      <c r="Q812" s="58"/>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row>
    <row r="813" spans="1:80" ht="13.5" hidden="1" customHeight="1">
      <c r="A813" s="20">
        <f ca="1">IFERROR(__xludf.DUMMYFUNCTION("""COMPUTED_VALUE"""),2012)</f>
        <v>2012</v>
      </c>
      <c r="B813" s="45">
        <f ca="1">IFERROR(__xludf.DUMMYFUNCTION("""COMPUTED_VALUE"""),41584)</f>
        <v>41584</v>
      </c>
      <c r="C813" s="46">
        <f ca="1">IFERROR(__xludf.DUMMYFUNCTION("""COMPUTED_VALUE"""),41519)</f>
        <v>41519</v>
      </c>
      <c r="D813" s="47" t="str">
        <f ca="1">IFERROR(__xludf.DUMMYFUNCTION("""COMPUTED_VALUE"""),"Black-throated Diver")</f>
        <v>Black-throated Diver</v>
      </c>
      <c r="E813" s="52">
        <f ca="1">IFERROR(__xludf.DUMMYFUNCTION("""COMPUTED_VALUE"""),1)</f>
        <v>1</v>
      </c>
      <c r="F813" s="25"/>
      <c r="G813" s="48" t="str">
        <f ca="1">IFERROR(__xludf.DUMMYFUNCTION("""COMPUTED_VALUE"""),"Hilbre")</f>
        <v>Hilbre</v>
      </c>
      <c r="H813" s="22">
        <f ca="1">IFERROR(__xludf.DUMMYFUNCTION("""COMPUTED_VALUE"""),41246)</f>
        <v>41246</v>
      </c>
      <c r="I813" s="22">
        <f ca="1">IFERROR(__xludf.DUMMYFUNCTION("""COMPUTED_VALUE"""),41301)</f>
        <v>41301</v>
      </c>
      <c r="J813" s="24" t="str">
        <f ca="1">IFERROR(__xludf.DUMMYFUNCTION("""COMPUTED_VALUE"""),"Woollen, P")</f>
        <v>Woollen, P</v>
      </c>
      <c r="K813" s="25" t="str">
        <f ca="1">IFERROR(__xludf.DUMMYFUNCTION("""COMPUTED_VALUE"""),"Mark Payne")</f>
        <v>Mark Payne</v>
      </c>
      <c r="L813" s="27" t="str">
        <f ca="1">IFERROR(__xludf.DUMMYFUNCTION("""COMPUTED_VALUE"""),"closed")</f>
        <v>closed</v>
      </c>
      <c r="M813" s="27" t="str">
        <f ca="1">IFERROR(__xludf.DUMMYFUNCTION("""COMPUTED_VALUE"""),"1st U")</f>
        <v>1st U</v>
      </c>
      <c r="N813" s="25" t="str">
        <f ca="1">IFERROR(__xludf.DUMMYFUNCTION("""COMPUTED_VALUE"""),"accepted")</f>
        <v>accepted</v>
      </c>
      <c r="O813" s="28"/>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c r="AQ813" s="25"/>
      <c r="AR813" s="25"/>
      <c r="AS813" s="25"/>
      <c r="AT813" s="25"/>
      <c r="AU813" s="25"/>
      <c r="AV813" s="25"/>
      <c r="AW813" s="25"/>
      <c r="AX813" s="25"/>
      <c r="AY813" s="25"/>
      <c r="AZ813" s="25"/>
      <c r="BA813" s="25"/>
      <c r="BB813" s="25"/>
      <c r="BC813" s="25"/>
      <c r="BD813" s="25"/>
      <c r="BE813" s="25"/>
      <c r="BF813" s="25"/>
      <c r="BG813" s="25"/>
      <c r="BH813" s="25"/>
      <c r="BI813" s="25"/>
      <c r="BJ813" s="25"/>
      <c r="BK813" s="25"/>
      <c r="BL813" s="25"/>
      <c r="BM813" s="25"/>
      <c r="BN813" s="25"/>
      <c r="BO813" s="25"/>
      <c r="BP813" s="25"/>
      <c r="BQ813" s="25"/>
      <c r="BR813" s="25"/>
      <c r="BS813" s="25"/>
      <c r="BT813" s="25"/>
      <c r="BU813" s="25"/>
      <c r="BV813" s="25"/>
      <c r="BW813" s="25"/>
      <c r="BX813" s="25"/>
      <c r="BY813" s="25"/>
      <c r="BZ813" s="25"/>
      <c r="CA813" s="25"/>
      <c r="CB813" s="25"/>
    </row>
    <row r="814" spans="1:80" ht="13.5" hidden="1" customHeight="1">
      <c r="A814" s="10">
        <f ca="1">IFERROR(__xludf.DUMMYFUNCTION("""COMPUTED_VALUE"""),2012)</f>
        <v>2012</v>
      </c>
      <c r="B814" s="50">
        <f ca="1">IFERROR(__xludf.DUMMYFUNCTION("""COMPUTED_VALUE"""),41509)</f>
        <v>41509</v>
      </c>
      <c r="C814" s="41">
        <f ca="1">IFERROR(__xludf.DUMMYFUNCTION("""COMPUTED_VALUE"""),41582)</f>
        <v>41582</v>
      </c>
      <c r="D814" s="42" t="str">
        <f ca="1">IFERROR(__xludf.DUMMYFUNCTION("""COMPUTED_VALUE"""),"Great Northern Diver")</f>
        <v>Great Northern Diver</v>
      </c>
      <c r="E814" s="53">
        <f ca="1">IFERROR(__xludf.DUMMYFUNCTION("""COMPUTED_VALUE"""),1)</f>
        <v>1</v>
      </c>
      <c r="F814" s="15"/>
      <c r="G814" s="44" t="str">
        <f ca="1">IFERROR(__xludf.DUMMYFUNCTION("""COMPUTED_VALUE"""),"Watch Lane Flash, Sandbach")</f>
        <v>Watch Lane Flash, Sandbach</v>
      </c>
      <c r="H814" s="12">
        <f ca="1">IFERROR(__xludf.DUMMYFUNCTION("""COMPUTED_VALUE"""),41232)</f>
        <v>41232</v>
      </c>
      <c r="I814" s="12">
        <f ca="1">IFERROR(__xludf.DUMMYFUNCTION("""COMPUTED_VALUE"""),41605)</f>
        <v>41605</v>
      </c>
      <c r="J814" s="14" t="str">
        <f ca="1">IFERROR(__xludf.DUMMYFUNCTION("""COMPUTED_VALUE"""),"Sandbach Flashes Log")</f>
        <v>Sandbach Flashes Log</v>
      </c>
      <c r="K814" s="15"/>
      <c r="L814" s="17" t="str">
        <f ca="1">IFERROR(__xludf.DUMMYFUNCTION("""COMPUTED_VALUE"""),"closed")</f>
        <v>closed</v>
      </c>
      <c r="M814" s="17" t="str">
        <f ca="1">IFERROR(__xludf.DUMMYFUNCTION("""COMPUTED_VALUE"""),"1st U")</f>
        <v>1st U</v>
      </c>
      <c r="N814" s="15" t="str">
        <f ca="1">IFERROR(__xludf.DUMMYFUNCTION("""COMPUTED_VALUE"""),"accepted")</f>
        <v>accepted</v>
      </c>
      <c r="O814" s="18"/>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row>
    <row r="815" spans="1:80" ht="13.5" hidden="1" customHeight="1">
      <c r="A815" s="20">
        <f ca="1">IFERROR(__xludf.DUMMYFUNCTION("""COMPUTED_VALUE"""),2012)</f>
        <v>2012</v>
      </c>
      <c r="B815" s="45">
        <f ca="1">IFERROR(__xludf.DUMMYFUNCTION("""COMPUTED_VALUE"""),41585)</f>
        <v>41585</v>
      </c>
      <c r="C815" s="46">
        <f ca="1">IFERROR(__xludf.DUMMYFUNCTION("""COMPUTED_VALUE"""),41636)</f>
        <v>41636</v>
      </c>
      <c r="D815" s="47" t="str">
        <f ca="1">IFERROR(__xludf.DUMMYFUNCTION("""COMPUTED_VALUE"""),"Sooty Shearwater")</f>
        <v>Sooty Shearwater</v>
      </c>
      <c r="E815" s="52">
        <f ca="1">IFERROR(__xludf.DUMMYFUNCTION("""COMPUTED_VALUE"""),1)</f>
        <v>1</v>
      </c>
      <c r="F815" s="25"/>
      <c r="G815" s="48" t="str">
        <f ca="1">IFERROR(__xludf.DUMMYFUNCTION("""COMPUTED_VALUE"""),"Hoylake")</f>
        <v>Hoylake</v>
      </c>
      <c r="H815" s="22">
        <f ca="1">IFERROR(__xludf.DUMMYFUNCTION("""COMPUTED_VALUE"""),41171)</f>
        <v>41171</v>
      </c>
      <c r="I815" s="22">
        <f ca="1">IFERROR(__xludf.DUMMYFUNCTION("""COMPUTED_VALUE"""),41171)</f>
        <v>41171</v>
      </c>
      <c r="J815" s="24" t="str">
        <f ca="1">IFERROR(__xludf.DUMMYFUNCTION("""COMPUTED_VALUE"""),"Turner, JE")</f>
        <v>Turner, JE</v>
      </c>
      <c r="K815" s="25" t="str">
        <f ca="1">IFERROR(__xludf.DUMMYFUNCTION("""COMPUTED_VALUE"""),"Turner, JE")</f>
        <v>Turner, JE</v>
      </c>
      <c r="L815" s="27" t="str">
        <f ca="1">IFERROR(__xludf.DUMMYFUNCTION("""COMPUTED_VALUE"""),"closed")</f>
        <v>closed</v>
      </c>
      <c r="M815" s="27" t="str">
        <f ca="1">IFERROR(__xludf.DUMMYFUNCTION("""COMPUTED_VALUE"""),"1st U")</f>
        <v>1st U</v>
      </c>
      <c r="N815" s="25" t="str">
        <f ca="1">IFERROR(__xludf.DUMMYFUNCTION("""COMPUTED_VALUE"""),"accepted")</f>
        <v>accepted</v>
      </c>
      <c r="O815" s="28"/>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c r="AQ815" s="25"/>
      <c r="AR815" s="25"/>
      <c r="AS815" s="25"/>
      <c r="AT815" s="25"/>
      <c r="AU815" s="25"/>
      <c r="AV815" s="25"/>
      <c r="AW815" s="25"/>
      <c r="AX815" s="25"/>
      <c r="AY815" s="25"/>
      <c r="AZ815" s="25"/>
      <c r="BA815" s="25"/>
      <c r="BB815" s="25"/>
      <c r="BC815" s="25"/>
      <c r="BD815" s="25"/>
      <c r="BE815" s="25"/>
      <c r="BF815" s="25"/>
      <c r="BG815" s="25"/>
      <c r="BH815" s="25"/>
      <c r="BI815" s="25"/>
      <c r="BJ815" s="25"/>
      <c r="BK815" s="25"/>
      <c r="BL815" s="25"/>
      <c r="BM815" s="25"/>
      <c r="BN815" s="25"/>
      <c r="BO815" s="25"/>
      <c r="BP815" s="25"/>
      <c r="BQ815" s="25"/>
      <c r="BR815" s="25"/>
      <c r="BS815" s="25"/>
      <c r="BT815" s="25"/>
      <c r="BU815" s="25"/>
      <c r="BV815" s="25"/>
      <c r="BW815" s="25"/>
      <c r="BX815" s="25"/>
      <c r="BY815" s="25"/>
      <c r="BZ815" s="25"/>
      <c r="CA815" s="25"/>
      <c r="CB815" s="25"/>
    </row>
    <row r="816" spans="1:80" ht="13.5" hidden="1" customHeight="1">
      <c r="A816" s="10">
        <f ca="1">IFERROR(__xludf.DUMMYFUNCTION("""COMPUTED_VALUE"""),2012)</f>
        <v>2012</v>
      </c>
      <c r="B816" s="50">
        <f ca="1">IFERROR(__xludf.DUMMYFUNCTION("""COMPUTED_VALUE"""),41515)</f>
        <v>41515</v>
      </c>
      <c r="C816" s="41">
        <f ca="1">IFERROR(__xludf.DUMMYFUNCTION("""COMPUTED_VALUE"""),41514)</f>
        <v>41514</v>
      </c>
      <c r="D816" s="42" t="str">
        <f ca="1">IFERROR(__xludf.DUMMYFUNCTION("""COMPUTED_VALUE"""),"Balearic Shearwater")</f>
        <v>Balearic Shearwater</v>
      </c>
      <c r="E816" s="53">
        <f ca="1">IFERROR(__xludf.DUMMYFUNCTION("""COMPUTED_VALUE"""),1)</f>
        <v>1</v>
      </c>
      <c r="F816" s="15"/>
      <c r="G816" s="44" t="str">
        <f ca="1">IFERROR(__xludf.DUMMYFUNCTION("""COMPUTED_VALUE"""),"Hilbre")</f>
        <v>Hilbre</v>
      </c>
      <c r="H816" s="12">
        <f ca="1">IFERROR(__xludf.DUMMYFUNCTION("""COMPUTED_VALUE"""),41136)</f>
        <v>41136</v>
      </c>
      <c r="I816" s="13"/>
      <c r="J816" s="14" t="str">
        <f ca="1">IFERROR(__xludf.DUMMYFUNCTION("""COMPUTED_VALUE"""),"Conlin, A")</f>
        <v>Conlin, A</v>
      </c>
      <c r="K816" s="15" t="str">
        <f ca="1">IFERROR(__xludf.DUMMYFUNCTION("""COMPUTED_VALUE"""),"Conlin, A")</f>
        <v>Conlin, A</v>
      </c>
      <c r="L816" s="17" t="str">
        <f ca="1">IFERROR(__xludf.DUMMYFUNCTION("""COMPUTED_VALUE"""),"closed")</f>
        <v>closed</v>
      </c>
      <c r="M816" s="17" t="str">
        <f ca="1">IFERROR(__xludf.DUMMYFUNCTION("""COMPUTED_VALUE"""),"1st U")</f>
        <v>1st U</v>
      </c>
      <c r="N816" s="15" t="str">
        <f ca="1">IFERROR(__xludf.DUMMYFUNCTION("""COMPUTED_VALUE"""),"accepted")</f>
        <v>accepted</v>
      </c>
      <c r="O816" s="18"/>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c r="BQ816" s="15"/>
      <c r="BR816" s="15"/>
      <c r="BS816" s="15"/>
      <c r="BT816" s="15"/>
      <c r="BU816" s="15"/>
      <c r="BV816" s="15"/>
      <c r="BW816" s="15"/>
      <c r="BX816" s="15"/>
      <c r="BY816" s="15"/>
      <c r="BZ816" s="15"/>
      <c r="CA816" s="15"/>
      <c r="CB816" s="15"/>
    </row>
    <row r="817" spans="1:80" ht="13.5" hidden="1" customHeight="1">
      <c r="A817" s="20">
        <f ca="1">IFERROR(__xludf.DUMMYFUNCTION("""COMPUTED_VALUE"""),2012)</f>
        <v>2012</v>
      </c>
      <c r="B817" s="45">
        <f ca="1">IFERROR(__xludf.DUMMYFUNCTION("""COMPUTED_VALUE"""),41582)</f>
        <v>41582</v>
      </c>
      <c r="C817" s="46">
        <f ca="1">IFERROR(__xludf.DUMMYFUNCTION("""COMPUTED_VALUE"""),41582)</f>
        <v>41582</v>
      </c>
      <c r="D817" s="47" t="str">
        <f ca="1">IFERROR(__xludf.DUMMYFUNCTION("""COMPUTED_VALUE"""),"Glossy Ibis")</f>
        <v>Glossy Ibis</v>
      </c>
      <c r="E817" s="52">
        <f ca="1">IFERROR(__xludf.DUMMYFUNCTION("""COMPUTED_VALUE"""),1)</f>
        <v>1</v>
      </c>
      <c r="F817" s="25"/>
      <c r="G817" s="48" t="str">
        <f ca="1">IFERROR(__xludf.DUMMYFUNCTION("""COMPUTED_VALUE"""),"Sandbach")</f>
        <v>Sandbach</v>
      </c>
      <c r="H817" s="22">
        <f ca="1">IFERROR(__xludf.DUMMYFUNCTION("""COMPUTED_VALUE"""),40916)</f>
        <v>40916</v>
      </c>
      <c r="I817" s="22">
        <f ca="1">IFERROR(__xludf.DUMMYFUNCTION("""COMPUTED_VALUE"""),40936)</f>
        <v>40936</v>
      </c>
      <c r="J817" s="24" t="str">
        <f ca="1">IFERROR(__xludf.DUMMYFUNCTION("""COMPUTED_VALUE"""),"Jones, P")</f>
        <v>Jones, P</v>
      </c>
      <c r="K817" s="25" t="str">
        <f ca="1">IFERROR(__xludf.DUMMYFUNCTION("""COMPUTED_VALUE"""),"?")</f>
        <v>?</v>
      </c>
      <c r="L817" s="27" t="str">
        <f ca="1">IFERROR(__xludf.DUMMYFUNCTION("""COMPUTED_VALUE"""),"closed")</f>
        <v>closed</v>
      </c>
      <c r="M817" s="27" t="str">
        <f ca="1">IFERROR(__xludf.DUMMYFUNCTION("""COMPUTED_VALUE"""),"1st U")</f>
        <v>1st U</v>
      </c>
      <c r="N817" s="25" t="str">
        <f ca="1">IFERROR(__xludf.DUMMYFUNCTION("""COMPUTED_VALUE"""),"accepted")</f>
        <v>accepted</v>
      </c>
      <c r="O817" s="28"/>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c r="AQ817" s="25"/>
      <c r="AR817" s="25"/>
      <c r="AS817" s="25"/>
      <c r="AT817" s="25"/>
      <c r="AU817" s="25"/>
      <c r="AV817" s="25"/>
      <c r="AW817" s="25"/>
      <c r="AX817" s="25"/>
      <c r="AY817" s="25"/>
      <c r="AZ817" s="25"/>
      <c r="BA817" s="25"/>
      <c r="BB817" s="25"/>
      <c r="BC817" s="25"/>
      <c r="BD817" s="25"/>
      <c r="BE817" s="25"/>
      <c r="BF817" s="25"/>
      <c r="BG817" s="25"/>
      <c r="BH817" s="25"/>
      <c r="BI817" s="25"/>
      <c r="BJ817" s="25"/>
      <c r="BK817" s="25"/>
      <c r="BL817" s="25"/>
      <c r="BM817" s="25"/>
      <c r="BN817" s="25"/>
      <c r="BO817" s="25"/>
      <c r="BP817" s="25"/>
      <c r="BQ817" s="25"/>
      <c r="BR817" s="25"/>
      <c r="BS817" s="25"/>
      <c r="BT817" s="25"/>
      <c r="BU817" s="25"/>
      <c r="BV817" s="25"/>
      <c r="BW817" s="25"/>
      <c r="BX817" s="25"/>
      <c r="BY817" s="25"/>
      <c r="BZ817" s="25"/>
      <c r="CA817" s="25"/>
      <c r="CB817" s="25"/>
    </row>
    <row r="818" spans="1:80" ht="13.5" hidden="1" customHeight="1">
      <c r="A818" s="10">
        <f ca="1">IFERROR(__xludf.DUMMYFUNCTION("""COMPUTED_VALUE"""),2012)</f>
        <v>2012</v>
      </c>
      <c r="B818" s="50">
        <f ca="1">IFERROR(__xludf.DUMMYFUNCTION("""COMPUTED_VALUE"""),41325)</f>
        <v>41325</v>
      </c>
      <c r="C818" s="41"/>
      <c r="D818" s="42" t="str">
        <f ca="1">IFERROR(__xludf.DUMMYFUNCTION("""COMPUTED_VALUE"""),"Great White Egret")</f>
        <v>Great White Egret</v>
      </c>
      <c r="E818" s="53">
        <f ca="1">IFERROR(__xludf.DUMMYFUNCTION("""COMPUTED_VALUE"""),1)</f>
        <v>1</v>
      </c>
      <c r="F818" s="15"/>
      <c r="G818" s="44" t="str">
        <f ca="1">IFERROR(__xludf.DUMMYFUNCTION("""COMPUTED_VALUE"""),"Inner Marsh Farm RSPB")</f>
        <v>Inner Marsh Farm RSPB</v>
      </c>
      <c r="H818" s="12">
        <f ca="1">IFERROR(__xludf.DUMMYFUNCTION("""COMPUTED_VALUE"""),40939)</f>
        <v>40939</v>
      </c>
      <c r="I818" s="12">
        <f ca="1">IFERROR(__xludf.DUMMYFUNCTION("""COMPUTED_VALUE"""),41020)</f>
        <v>41020</v>
      </c>
      <c r="J818" s="14" t="str">
        <f ca="1">IFERROR(__xludf.DUMMYFUNCTION("""COMPUTED_VALUE"""),"Eades, R")</f>
        <v>Eades, R</v>
      </c>
      <c r="K818" s="15"/>
      <c r="L818" s="17" t="str">
        <f ca="1">IFERROR(__xludf.DUMMYFUNCTION("""COMPUTED_VALUE"""),"closed")</f>
        <v>closed</v>
      </c>
      <c r="M818" s="17" t="str">
        <f ca="1">IFERROR(__xludf.DUMMYFUNCTION("""COMPUTED_VALUE"""),"1st U")</f>
        <v>1st U</v>
      </c>
      <c r="N818" s="15" t="str">
        <f ca="1">IFERROR(__xludf.DUMMYFUNCTION("""COMPUTED_VALUE"""),"accepted")</f>
        <v>accepted</v>
      </c>
      <c r="O818" s="18"/>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c r="BQ818" s="15"/>
      <c r="BR818" s="15"/>
      <c r="BS818" s="15"/>
      <c r="BT818" s="15"/>
      <c r="BU818" s="15"/>
      <c r="BV818" s="15"/>
      <c r="BW818" s="15"/>
      <c r="BX818" s="15"/>
      <c r="BY818" s="15"/>
      <c r="BZ818" s="15"/>
      <c r="CA818" s="15"/>
      <c r="CB818" s="15"/>
    </row>
    <row r="819" spans="1:80" ht="13.5" hidden="1" customHeight="1">
      <c r="A819" s="20">
        <f ca="1">IFERROR(__xludf.DUMMYFUNCTION("""COMPUTED_VALUE"""),2012)</f>
        <v>2012</v>
      </c>
      <c r="B819" s="45">
        <f ca="1">IFERROR(__xludf.DUMMYFUNCTION("""COMPUTED_VALUE"""),41339)</f>
        <v>41339</v>
      </c>
      <c r="C819" s="46">
        <f ca="1">IFERROR(__xludf.DUMMYFUNCTION("""COMPUTED_VALUE"""),41338)</f>
        <v>41338</v>
      </c>
      <c r="D819" s="47" t="str">
        <f ca="1">IFERROR(__xludf.DUMMYFUNCTION("""COMPUTED_VALUE"""),"Great White Egret")</f>
        <v>Great White Egret</v>
      </c>
      <c r="E819" s="52">
        <f ca="1">IFERROR(__xludf.DUMMYFUNCTION("""COMPUTED_VALUE"""),1)</f>
        <v>1</v>
      </c>
      <c r="F819" s="25"/>
      <c r="G819" s="48" t="str">
        <f ca="1">IFERROR(__xludf.DUMMYFUNCTION("""COMPUTED_VALUE"""),"Hale")</f>
        <v>Hale</v>
      </c>
      <c r="H819" s="22">
        <f ca="1">IFERROR(__xludf.DUMMYFUNCTION("""COMPUTED_VALUE"""),41007)</f>
        <v>41007</v>
      </c>
      <c r="I819" s="22">
        <f ca="1">IFERROR(__xludf.DUMMYFUNCTION("""COMPUTED_VALUE"""),41015)</f>
        <v>41015</v>
      </c>
      <c r="J819" s="24" t="str">
        <f ca="1">IFERROR(__xludf.DUMMYFUNCTION("""COMPUTED_VALUE"""),"Cockbain, RP&amp;CA")</f>
        <v>Cockbain, RP&amp;CA</v>
      </c>
      <c r="K819" s="25" t="str">
        <f ca="1">IFERROR(__xludf.DUMMYFUNCTION("""COMPUTED_VALUE"""),"Cockbain, RP&amp;CA")</f>
        <v>Cockbain, RP&amp;CA</v>
      </c>
      <c r="L819" s="27" t="str">
        <f ca="1">IFERROR(__xludf.DUMMYFUNCTION("""COMPUTED_VALUE"""),"closed")</f>
        <v>closed</v>
      </c>
      <c r="M819" s="27" t="str">
        <f ca="1">IFERROR(__xludf.DUMMYFUNCTION("""COMPUTED_VALUE"""),"1st U")</f>
        <v>1st U</v>
      </c>
      <c r="N819" s="25" t="str">
        <f ca="1">IFERROR(__xludf.DUMMYFUNCTION("""COMPUTED_VALUE"""),"accepted")</f>
        <v>accepted</v>
      </c>
      <c r="O819" s="28"/>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c r="AQ819" s="25"/>
      <c r="AR819" s="25"/>
      <c r="AS819" s="25"/>
      <c r="AT819" s="25"/>
      <c r="AU819" s="25"/>
      <c r="AV819" s="25"/>
      <c r="AW819" s="25"/>
      <c r="AX819" s="25"/>
      <c r="AY819" s="25"/>
      <c r="AZ819" s="25"/>
      <c r="BA819" s="25"/>
      <c r="BB819" s="25"/>
      <c r="BC819" s="25"/>
      <c r="BD819" s="25"/>
      <c r="BE819" s="25"/>
      <c r="BF819" s="25"/>
      <c r="BG819" s="25"/>
      <c r="BH819" s="25"/>
      <c r="BI819" s="25"/>
      <c r="BJ819" s="25"/>
      <c r="BK819" s="25"/>
      <c r="BL819" s="25"/>
      <c r="BM819" s="25"/>
      <c r="BN819" s="25"/>
      <c r="BO819" s="25"/>
      <c r="BP819" s="25"/>
      <c r="BQ819" s="25"/>
      <c r="BR819" s="25"/>
      <c r="BS819" s="25"/>
      <c r="BT819" s="25"/>
      <c r="BU819" s="25"/>
      <c r="BV819" s="25"/>
      <c r="BW819" s="25"/>
      <c r="BX819" s="25"/>
      <c r="BY819" s="25"/>
      <c r="BZ819" s="25"/>
      <c r="CA819" s="25"/>
      <c r="CB819" s="25"/>
    </row>
    <row r="820" spans="1:80" ht="13.5" hidden="1" customHeight="1">
      <c r="A820" s="10">
        <f ca="1">IFERROR(__xludf.DUMMYFUNCTION("""COMPUTED_VALUE"""),2012)</f>
        <v>2012</v>
      </c>
      <c r="B820" s="50">
        <f ca="1">IFERROR(__xludf.DUMMYFUNCTION("""COMPUTED_VALUE"""),41325)</f>
        <v>41325</v>
      </c>
      <c r="C820" s="41"/>
      <c r="D820" s="42" t="str">
        <f ca="1">IFERROR(__xludf.DUMMYFUNCTION("""COMPUTED_VALUE"""),"Great White Egret")</f>
        <v>Great White Egret</v>
      </c>
      <c r="E820" s="53">
        <f ca="1">IFERROR(__xludf.DUMMYFUNCTION("""COMPUTED_VALUE"""),2)</f>
        <v>2</v>
      </c>
      <c r="F820" s="15"/>
      <c r="G820" s="44" t="str">
        <f ca="1">IFERROR(__xludf.DUMMYFUNCTION("""COMPUTED_VALUE"""),"Burton Mere Wetlands RSPB")</f>
        <v>Burton Mere Wetlands RSPB</v>
      </c>
      <c r="H820" s="12">
        <f ca="1">IFERROR(__xludf.DUMMYFUNCTION("""COMPUTED_VALUE"""),41016)</f>
        <v>41016</v>
      </c>
      <c r="I820" s="12"/>
      <c r="J820" s="14" t="str">
        <f ca="1">IFERROR(__xludf.DUMMYFUNCTION("""COMPUTED_VALUE"""),"Brady, Paul")</f>
        <v>Brady, Paul</v>
      </c>
      <c r="K820" s="15"/>
      <c r="L820" s="17" t="str">
        <f ca="1">IFERROR(__xludf.DUMMYFUNCTION("""COMPUTED_VALUE"""),"closed")</f>
        <v>closed</v>
      </c>
      <c r="M820" s="17" t="str">
        <f ca="1">IFERROR(__xludf.DUMMYFUNCTION("""COMPUTED_VALUE"""),"1st U")</f>
        <v>1st U</v>
      </c>
      <c r="N820" s="15" t="str">
        <f ca="1">IFERROR(__xludf.DUMMYFUNCTION("""COMPUTED_VALUE"""),"accepted")</f>
        <v>accepted</v>
      </c>
      <c r="O820" s="18"/>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c r="BQ820" s="15"/>
      <c r="BR820" s="15"/>
      <c r="BS820" s="15"/>
      <c r="BT820" s="15"/>
      <c r="BU820" s="15"/>
      <c r="BV820" s="15"/>
      <c r="BW820" s="15"/>
      <c r="BX820" s="15"/>
      <c r="BY820" s="15"/>
      <c r="BZ820" s="15"/>
      <c r="CA820" s="15"/>
      <c r="CB820" s="15"/>
    </row>
    <row r="821" spans="1:80" ht="13.5" hidden="1" customHeight="1">
      <c r="A821" s="20">
        <f ca="1">IFERROR(__xludf.DUMMYFUNCTION("""COMPUTED_VALUE"""),2012)</f>
        <v>2012</v>
      </c>
      <c r="B821" s="45">
        <f ca="1">IFERROR(__xludf.DUMMYFUNCTION("""COMPUTED_VALUE"""),41583)</f>
        <v>41583</v>
      </c>
      <c r="C821" s="46">
        <f ca="1">IFERROR(__xludf.DUMMYFUNCTION("""COMPUTED_VALUE"""),41582)</f>
        <v>41582</v>
      </c>
      <c r="D821" s="47" t="str">
        <f ca="1">IFERROR(__xludf.DUMMYFUNCTION("""COMPUTED_VALUE"""),"Great White Egret")</f>
        <v>Great White Egret</v>
      </c>
      <c r="E821" s="52">
        <f ca="1">IFERROR(__xludf.DUMMYFUNCTION("""COMPUTED_VALUE"""),1)</f>
        <v>1</v>
      </c>
      <c r="F821" s="25"/>
      <c r="G821" s="48" t="str">
        <f ca="1">IFERROR(__xludf.DUMMYFUNCTION("""COMPUTED_VALUE"""),"Hilbre")</f>
        <v>Hilbre</v>
      </c>
      <c r="H821" s="22">
        <f ca="1">IFERROR(__xludf.DUMMYFUNCTION("""COMPUTED_VALUE"""),41142)</f>
        <v>41142</v>
      </c>
      <c r="I821" s="22"/>
      <c r="J821" s="24" t="str">
        <f ca="1">IFERROR(__xludf.DUMMYFUNCTION("""COMPUTED_VALUE"""),"Bates, D")</f>
        <v>Bates, D</v>
      </c>
      <c r="K821" s="25" t="str">
        <f ca="1">IFERROR(__xludf.DUMMYFUNCTION("""COMPUTED_VALUE"""),"Woollen, P")</f>
        <v>Woollen, P</v>
      </c>
      <c r="L821" s="27" t="str">
        <f ca="1">IFERROR(__xludf.DUMMYFUNCTION("""COMPUTED_VALUE"""),"closed")</f>
        <v>closed</v>
      </c>
      <c r="M821" s="27" t="str">
        <f ca="1">IFERROR(__xludf.DUMMYFUNCTION("""COMPUTED_VALUE"""),"1st U")</f>
        <v>1st U</v>
      </c>
      <c r="N821" s="25" t="str">
        <f ca="1">IFERROR(__xludf.DUMMYFUNCTION("""COMPUTED_VALUE"""),"accepted")</f>
        <v>accepted</v>
      </c>
      <c r="O821" s="28"/>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c r="AQ821" s="25"/>
      <c r="AR821" s="25"/>
      <c r="AS821" s="25"/>
      <c r="AT821" s="25"/>
      <c r="AU821" s="25"/>
      <c r="AV821" s="25"/>
      <c r="AW821" s="25"/>
      <c r="AX821" s="25"/>
      <c r="AY821" s="25"/>
      <c r="AZ821" s="25"/>
      <c r="BA821" s="25"/>
      <c r="BB821" s="25"/>
      <c r="BC821" s="25"/>
      <c r="BD821" s="25"/>
      <c r="BE821" s="25"/>
      <c r="BF821" s="25"/>
      <c r="BG821" s="25"/>
      <c r="BH821" s="25"/>
      <c r="BI821" s="25"/>
      <c r="BJ821" s="25"/>
      <c r="BK821" s="25"/>
      <c r="BL821" s="25"/>
      <c r="BM821" s="25"/>
      <c r="BN821" s="25"/>
      <c r="BO821" s="25"/>
      <c r="BP821" s="25"/>
      <c r="BQ821" s="25"/>
      <c r="BR821" s="25"/>
      <c r="BS821" s="25"/>
      <c r="BT821" s="25"/>
      <c r="BU821" s="25"/>
      <c r="BV821" s="25"/>
      <c r="BW821" s="25"/>
      <c r="BX821" s="25"/>
      <c r="BY821" s="25"/>
      <c r="BZ821" s="25"/>
      <c r="CA821" s="25"/>
      <c r="CB821" s="25"/>
    </row>
    <row r="822" spans="1:80" ht="13.5" hidden="1" customHeight="1">
      <c r="A822" s="10">
        <f ca="1">IFERROR(__xludf.DUMMYFUNCTION("""COMPUTED_VALUE"""),2012)</f>
        <v>2012</v>
      </c>
      <c r="B822" s="50">
        <f ca="1">IFERROR(__xludf.DUMMYFUNCTION("""COMPUTED_VALUE"""),41509)</f>
        <v>41509</v>
      </c>
      <c r="C822" s="41">
        <f ca="1">IFERROR(__xludf.DUMMYFUNCTION("""COMPUTED_VALUE"""),41582)</f>
        <v>41582</v>
      </c>
      <c r="D822" s="42" t="str">
        <f ca="1">IFERROR(__xludf.DUMMYFUNCTION("""COMPUTED_VALUE"""),"Honey-Buzzard")</f>
        <v>Honey-Buzzard</v>
      </c>
      <c r="E822" s="53">
        <f ca="1">IFERROR(__xludf.DUMMYFUNCTION("""COMPUTED_VALUE"""),1)</f>
        <v>1</v>
      </c>
      <c r="F822" s="15"/>
      <c r="G822" s="44" t="str">
        <f ca="1">IFERROR(__xludf.DUMMYFUNCTION("""COMPUTED_VALUE"""),"Acre Nook Sand Quarry nr Chelford")</f>
        <v>Acre Nook Sand Quarry nr Chelford</v>
      </c>
      <c r="H822" s="12">
        <f ca="1">IFERROR(__xludf.DUMMYFUNCTION("""COMPUTED_VALUE"""),41096)</f>
        <v>41096</v>
      </c>
      <c r="I822" s="12"/>
      <c r="J822" s="14" t="str">
        <f ca="1">IFERROR(__xludf.DUMMYFUNCTION("""COMPUTED_VALUE"""),"Barber S&amp;G")</f>
        <v>Barber S&amp;G</v>
      </c>
      <c r="K822" s="15"/>
      <c r="L822" s="17" t="str">
        <f ca="1">IFERROR(__xludf.DUMMYFUNCTION("""COMPUTED_VALUE"""),"closed")</f>
        <v>closed</v>
      </c>
      <c r="M822" s="17" t="str">
        <f ca="1">IFERROR(__xludf.DUMMYFUNCTION("""COMPUTED_VALUE"""),"1st U")</f>
        <v>1st U</v>
      </c>
      <c r="N822" s="15" t="str">
        <f ca="1">IFERROR(__xludf.DUMMYFUNCTION("""COMPUTED_VALUE"""),"accepted")</f>
        <v>accepted</v>
      </c>
      <c r="O822" s="18"/>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c r="BQ822" s="15"/>
      <c r="BR822" s="15"/>
      <c r="BS822" s="15"/>
      <c r="BT822" s="15"/>
      <c r="BU822" s="15"/>
      <c r="BV822" s="15"/>
      <c r="BW822" s="15"/>
      <c r="BX822" s="15"/>
      <c r="BY822" s="15"/>
      <c r="BZ822" s="15"/>
      <c r="CA822" s="15"/>
      <c r="CB822" s="15"/>
    </row>
    <row r="823" spans="1:80" ht="13.5" hidden="1" customHeight="1">
      <c r="A823" s="20">
        <f ca="1">IFERROR(__xludf.DUMMYFUNCTION("""COMPUTED_VALUE"""),2012)</f>
        <v>2012</v>
      </c>
      <c r="B823" s="45">
        <f ca="1">IFERROR(__xludf.DUMMYFUNCTION("""COMPUTED_VALUE"""),41587)</f>
        <v>41587</v>
      </c>
      <c r="C823" s="46">
        <f ca="1">IFERROR(__xludf.DUMMYFUNCTION("""COMPUTED_VALUE"""),41582)</f>
        <v>41582</v>
      </c>
      <c r="D823" s="47" t="str">
        <f ca="1">IFERROR(__xludf.DUMMYFUNCTION("""COMPUTED_VALUE"""),"Goshawk")</f>
        <v>Goshawk</v>
      </c>
      <c r="E823" s="52">
        <f ca="1">IFERROR(__xludf.DUMMYFUNCTION("""COMPUTED_VALUE"""),1)</f>
        <v>1</v>
      </c>
      <c r="F823" s="25"/>
      <c r="G823" s="48" t="str">
        <f ca="1">IFERROR(__xludf.DUMMYFUNCTION("""COMPUTED_VALUE"""),"No. 1 Bed, Woolston Eyes")</f>
        <v>No. 1 Bed, Woolston Eyes</v>
      </c>
      <c r="H823" s="22">
        <f ca="1">IFERROR(__xludf.DUMMYFUNCTION("""COMPUTED_VALUE"""),40964)</f>
        <v>40964</v>
      </c>
      <c r="I823" s="22">
        <f ca="1">IFERROR(__xludf.DUMMYFUNCTION("""COMPUTED_VALUE"""),40964)</f>
        <v>40964</v>
      </c>
      <c r="J823" s="24"/>
      <c r="K823" s="25"/>
      <c r="L823" s="27" t="str">
        <f ca="1">IFERROR(__xludf.DUMMYFUNCTION("""COMPUTED_VALUE"""),"closed")</f>
        <v>closed</v>
      </c>
      <c r="M823" s="27" t="str">
        <f ca="1">IFERROR(__xludf.DUMMYFUNCTION("""COMPUTED_VALUE"""),"2nd M")</f>
        <v>2nd M</v>
      </c>
      <c r="N823" s="25" t="str">
        <f ca="1">IFERROR(__xludf.DUMMYFUNCTION("""COMPUTED_VALUE"""),"unproven")</f>
        <v>unproven</v>
      </c>
      <c r="O823" s="28"/>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c r="AQ823" s="25"/>
      <c r="AR823" s="25"/>
      <c r="AS823" s="25"/>
      <c r="AT823" s="25"/>
      <c r="AU823" s="25"/>
      <c r="AV823" s="25"/>
      <c r="AW823" s="25"/>
      <c r="AX823" s="25"/>
      <c r="AY823" s="25"/>
      <c r="AZ823" s="25"/>
      <c r="BA823" s="25"/>
      <c r="BB823" s="25"/>
      <c r="BC823" s="25"/>
      <c r="BD823" s="25"/>
      <c r="BE823" s="25"/>
      <c r="BF823" s="25"/>
      <c r="BG823" s="25"/>
      <c r="BH823" s="25"/>
      <c r="BI823" s="25"/>
      <c r="BJ823" s="25"/>
      <c r="BK823" s="25"/>
      <c r="BL823" s="25"/>
      <c r="BM823" s="25"/>
      <c r="BN823" s="25"/>
      <c r="BO823" s="25"/>
      <c r="BP823" s="25"/>
      <c r="BQ823" s="25"/>
      <c r="BR823" s="25"/>
      <c r="BS823" s="25"/>
      <c r="BT823" s="25"/>
      <c r="BU823" s="25"/>
      <c r="BV823" s="25"/>
      <c r="BW823" s="25"/>
      <c r="BX823" s="25"/>
      <c r="BY823" s="25"/>
      <c r="BZ823" s="25"/>
      <c r="CA823" s="25"/>
      <c r="CB823" s="25"/>
    </row>
    <row r="824" spans="1:80" ht="13.5" hidden="1" customHeight="1">
      <c r="A824" s="10">
        <f ca="1">IFERROR(__xludf.DUMMYFUNCTION("""COMPUTED_VALUE"""),2012)</f>
        <v>2012</v>
      </c>
      <c r="B824" s="50">
        <f ca="1">IFERROR(__xludf.DUMMYFUNCTION("""COMPUTED_VALUE"""),41338)</f>
        <v>41338</v>
      </c>
      <c r="C824" s="41">
        <f ca="1">IFERROR(__xludf.DUMMYFUNCTION("""COMPUTED_VALUE"""),41338)</f>
        <v>41338</v>
      </c>
      <c r="D824" s="42" t="str">
        <f ca="1">IFERROR(__xludf.DUMMYFUNCTION("""COMPUTED_VALUE"""),"Goshawk")</f>
        <v>Goshawk</v>
      </c>
      <c r="E824" s="53">
        <f ca="1">IFERROR(__xludf.DUMMYFUNCTION("""COMPUTED_VALUE"""),2)</f>
        <v>2</v>
      </c>
      <c r="F824" s="15" t="str">
        <f ca="1">IFERROR(__xludf.DUMMYFUNCTION("""COMPUTED_VALUE"""),"m/f")</f>
        <v>m/f</v>
      </c>
      <c r="G824" s="44" t="str">
        <f ca="1">IFERROR(__xludf.DUMMYFUNCTION("""COMPUTED_VALUE"""),"Peckforton")</f>
        <v>Peckforton</v>
      </c>
      <c r="H824" s="12">
        <f ca="1">IFERROR(__xludf.DUMMYFUNCTION("""COMPUTED_VALUE"""),41009)</f>
        <v>41009</v>
      </c>
      <c r="I824" s="12"/>
      <c r="J824" s="14" t="str">
        <f ca="1">IFERROR(__xludf.DUMMYFUNCTION("""COMPUTED_VALUE"""),"Miles, M")</f>
        <v>Miles, M</v>
      </c>
      <c r="K824" s="15"/>
      <c r="L824" s="17" t="str">
        <f ca="1">IFERROR(__xludf.DUMMYFUNCTION("""COMPUTED_VALUE"""),"closed")</f>
        <v>closed</v>
      </c>
      <c r="M824" s="17" t="str">
        <f ca="1">IFERROR(__xludf.DUMMYFUNCTION("""COMPUTED_VALUE"""),"1st U")</f>
        <v>1st U</v>
      </c>
      <c r="N824" s="70" t="str">
        <f ca="1">IFERROR(__xludf.DUMMYFUNCTION("""COMPUTED_VALUE"""),"accepted")</f>
        <v>accepted</v>
      </c>
      <c r="O824" s="18"/>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c r="BQ824" s="15"/>
      <c r="BR824" s="15"/>
      <c r="BS824" s="15"/>
      <c r="BT824" s="15"/>
      <c r="BU824" s="15"/>
      <c r="BV824" s="15"/>
      <c r="BW824" s="15"/>
      <c r="BX824" s="15"/>
      <c r="BY824" s="15"/>
      <c r="BZ824" s="15"/>
      <c r="CA824" s="15"/>
      <c r="CB824" s="15"/>
    </row>
    <row r="825" spans="1:80" ht="12.75" hidden="1" customHeight="1">
      <c r="A825" s="20">
        <f ca="1">IFERROR(__xludf.DUMMYFUNCTION("""COMPUTED_VALUE"""),2012)</f>
        <v>2012</v>
      </c>
      <c r="B825" s="45">
        <f ca="1">IFERROR(__xludf.DUMMYFUNCTION("""COMPUTED_VALUE"""),41334)</f>
        <v>41334</v>
      </c>
      <c r="C825" s="46">
        <f ca="1">IFERROR(__xludf.DUMMYFUNCTION("""COMPUTED_VALUE"""),41334)</f>
        <v>41334</v>
      </c>
      <c r="D825" s="47" t="str">
        <f ca="1">IFERROR(__xludf.DUMMYFUNCTION("""COMPUTED_VALUE"""),"Golden Oriole")</f>
        <v>Golden Oriole</v>
      </c>
      <c r="E825" s="52">
        <f ca="1">IFERROR(__xludf.DUMMYFUNCTION("""COMPUTED_VALUE"""),1)</f>
        <v>1</v>
      </c>
      <c r="F825" s="25"/>
      <c r="G825" s="48" t="str">
        <f ca="1">IFERROR(__xludf.DUMMYFUNCTION("""COMPUTED_VALUE"""),"Lingham Lane,Leasowe")</f>
        <v>Lingham Lane,Leasowe</v>
      </c>
      <c r="H825" s="22">
        <f ca="1">IFERROR(__xludf.DUMMYFUNCTION("""COMPUTED_VALUE"""),41047)</f>
        <v>41047</v>
      </c>
      <c r="I825" s="22"/>
      <c r="J825" s="24" t="str">
        <f ca="1">IFERROR(__xludf.DUMMYFUNCTION("""COMPUTED_VALUE"""),"William, Eddie")</f>
        <v>William, Eddie</v>
      </c>
      <c r="K825" s="25" t="str">
        <f ca="1">IFERROR(__xludf.DUMMYFUNCTION("""COMPUTED_VALUE"""),"William, Eddie")</f>
        <v>William, Eddie</v>
      </c>
      <c r="L825" s="27" t="str">
        <f ca="1">IFERROR(__xludf.DUMMYFUNCTION("""COMPUTED_VALUE"""),"closed")</f>
        <v>closed</v>
      </c>
      <c r="M825" s="27" t="str">
        <f ca="1">IFERROR(__xludf.DUMMYFUNCTION("""COMPUTED_VALUE"""),"1st U")</f>
        <v>1st U</v>
      </c>
      <c r="N825" s="25" t="str">
        <f ca="1">IFERROR(__xludf.DUMMYFUNCTION("""COMPUTED_VALUE"""),"accepted")</f>
        <v>accepted</v>
      </c>
      <c r="O825" s="28"/>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c r="AQ825" s="25"/>
      <c r="AR825" s="25"/>
      <c r="AS825" s="25"/>
      <c r="AT825" s="25"/>
      <c r="AU825" s="25"/>
      <c r="AV825" s="25"/>
      <c r="AW825" s="25"/>
      <c r="AX825" s="25"/>
      <c r="AY825" s="25"/>
      <c r="AZ825" s="25"/>
      <c r="BA825" s="25"/>
      <c r="BB825" s="25"/>
      <c r="BC825" s="25"/>
      <c r="BD825" s="25"/>
      <c r="BE825" s="25"/>
      <c r="BF825" s="25"/>
      <c r="BG825" s="25"/>
      <c r="BH825" s="25"/>
      <c r="BI825" s="25"/>
      <c r="BJ825" s="25"/>
      <c r="BK825" s="25"/>
      <c r="BL825" s="25"/>
      <c r="BM825" s="25"/>
      <c r="BN825" s="25"/>
      <c r="BO825" s="25"/>
      <c r="BP825" s="25"/>
      <c r="BQ825" s="25"/>
      <c r="BR825" s="25"/>
      <c r="BS825" s="25"/>
      <c r="BT825" s="25"/>
      <c r="BU825" s="25"/>
      <c r="BV825" s="25"/>
      <c r="BW825" s="25"/>
      <c r="BX825" s="25"/>
      <c r="BY825" s="25"/>
      <c r="BZ825" s="25"/>
      <c r="CA825" s="25"/>
      <c r="CB825" s="25"/>
    </row>
    <row r="826" spans="1:80" ht="12.75" hidden="1" customHeight="1">
      <c r="A826" s="10">
        <f ca="1">IFERROR(__xludf.DUMMYFUNCTION("""COMPUTED_VALUE"""),2012)</f>
        <v>2012</v>
      </c>
      <c r="B826" s="50">
        <f ca="1">IFERROR(__xludf.DUMMYFUNCTION("""COMPUTED_VALUE"""),41334)</f>
        <v>41334</v>
      </c>
      <c r="C826" s="41">
        <f ca="1">IFERROR(__xludf.DUMMYFUNCTION("""COMPUTED_VALUE"""),41334)</f>
        <v>41334</v>
      </c>
      <c r="D826" s="42" t="str">
        <f ca="1">IFERROR(__xludf.DUMMYFUNCTION("""COMPUTED_VALUE"""),"Golden Oriole")</f>
        <v>Golden Oriole</v>
      </c>
      <c r="E826" s="53">
        <f ca="1">IFERROR(__xludf.DUMMYFUNCTION("""COMPUTED_VALUE"""),1)</f>
        <v>1</v>
      </c>
      <c r="F826" s="15" t="str">
        <f ca="1">IFERROR(__xludf.DUMMYFUNCTION("""COMPUTED_VALUE"""),"fem or 1st s Male")</f>
        <v>fem or 1st s Male</v>
      </c>
      <c r="G826" s="44" t="str">
        <f ca="1">IFERROR(__xludf.DUMMYFUNCTION("""COMPUTED_VALUE"""),"Lingham Lane,Leasowe")</f>
        <v>Lingham Lane,Leasowe</v>
      </c>
      <c r="H826" s="12">
        <f ca="1">IFERROR(__xludf.DUMMYFUNCTION("""COMPUTED_VALUE"""),41047)</f>
        <v>41047</v>
      </c>
      <c r="I826" s="12"/>
      <c r="J826" s="14" t="str">
        <f ca="1">IFERROR(__xludf.DUMMYFUNCTION("""COMPUTED_VALUE"""),"Dummigan, K")</f>
        <v>Dummigan, K</v>
      </c>
      <c r="K826" s="15" t="str">
        <f ca="1">IFERROR(__xludf.DUMMYFUNCTION("""COMPUTED_VALUE"""),"Dummigan, K")</f>
        <v>Dummigan, K</v>
      </c>
      <c r="L826" s="17" t="str">
        <f ca="1">IFERROR(__xludf.DUMMYFUNCTION("""COMPUTED_VALUE"""),"closed")</f>
        <v>closed</v>
      </c>
      <c r="M826" s="17" t="str">
        <f ca="1">IFERROR(__xludf.DUMMYFUNCTION("""COMPUTED_VALUE"""),"1st U")</f>
        <v>1st U</v>
      </c>
      <c r="N826" s="15" t="str">
        <f ca="1">IFERROR(__xludf.DUMMYFUNCTION("""COMPUTED_VALUE"""),"accepted")</f>
        <v>accepted</v>
      </c>
      <c r="O826" s="18"/>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c r="BQ826" s="15"/>
      <c r="BR826" s="15"/>
      <c r="BS826" s="15"/>
      <c r="BT826" s="15"/>
      <c r="BU826" s="15"/>
      <c r="BV826" s="15"/>
      <c r="BW826" s="15"/>
      <c r="BX826" s="15"/>
      <c r="BY826" s="15"/>
      <c r="BZ826" s="15"/>
      <c r="CA826" s="15"/>
      <c r="CB826" s="15"/>
    </row>
    <row r="827" spans="1:80" ht="12.75" hidden="1" customHeight="1">
      <c r="A827" s="20">
        <f ca="1">IFERROR(__xludf.DUMMYFUNCTION("""COMPUTED_VALUE"""),2012)</f>
        <v>2012</v>
      </c>
      <c r="B827" s="45">
        <f ca="1">IFERROR(__xludf.DUMMYFUNCTION("""COMPUTED_VALUE"""),41587)</f>
        <v>41587</v>
      </c>
      <c r="C827" s="46">
        <f ca="1">IFERROR(__xludf.DUMMYFUNCTION("""COMPUTED_VALUE"""),41582)</f>
        <v>41582</v>
      </c>
      <c r="D827" s="47" t="str">
        <f ca="1">IFERROR(__xludf.DUMMYFUNCTION("""COMPUTED_VALUE"""),"Bearded Tit")</f>
        <v>Bearded Tit</v>
      </c>
      <c r="E827" s="52">
        <f ca="1">IFERROR(__xludf.DUMMYFUNCTION("""COMPUTED_VALUE"""),1)</f>
        <v>1</v>
      </c>
      <c r="F827" s="25"/>
      <c r="G827" s="48" t="str">
        <f ca="1">IFERROR(__xludf.DUMMYFUNCTION("""COMPUTED_VALUE"""),"Manchester Ship Canal, Moore")</f>
        <v>Manchester Ship Canal, Moore</v>
      </c>
      <c r="H827" s="22">
        <f ca="1">IFERROR(__xludf.DUMMYFUNCTION("""COMPUTED_VALUE"""),41265)</f>
        <v>41265</v>
      </c>
      <c r="I827" s="22">
        <f ca="1">IFERROR(__xludf.DUMMYFUNCTION("""COMPUTED_VALUE"""),41265)</f>
        <v>41265</v>
      </c>
      <c r="J827" s="24"/>
      <c r="K827" s="25"/>
      <c r="L827" s="27" t="str">
        <f ca="1">IFERROR(__xludf.DUMMYFUNCTION("""COMPUTED_VALUE"""),"closed")</f>
        <v>closed</v>
      </c>
      <c r="M827" s="27" t="str">
        <f ca="1">IFERROR(__xludf.DUMMYFUNCTION("""COMPUTED_VALUE"""),"2nd M")</f>
        <v>2nd M</v>
      </c>
      <c r="N827" s="25" t="str">
        <f ca="1">IFERROR(__xludf.DUMMYFUNCTION("""COMPUTED_VALUE"""),"unproven")</f>
        <v>unproven</v>
      </c>
      <c r="O827" s="28" t="str">
        <f ca="1">IFERROR(__xludf.DUMMYFUNCTION("""COMPUTED_VALUE"""),"sound only record, no recording")</f>
        <v>sound only record, no recording</v>
      </c>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c r="AQ827" s="25"/>
      <c r="AR827" s="25"/>
      <c r="AS827" s="25"/>
      <c r="AT827" s="25"/>
      <c r="AU827" s="25"/>
      <c r="AV827" s="25"/>
      <c r="AW827" s="25"/>
      <c r="AX827" s="25"/>
      <c r="AY827" s="25"/>
      <c r="AZ827" s="25"/>
      <c r="BA827" s="25"/>
      <c r="BB827" s="25"/>
      <c r="BC827" s="25"/>
      <c r="BD827" s="25"/>
      <c r="BE827" s="25"/>
      <c r="BF827" s="25"/>
      <c r="BG827" s="25"/>
      <c r="BH827" s="25"/>
      <c r="BI827" s="25"/>
      <c r="BJ827" s="25"/>
      <c r="BK827" s="25"/>
      <c r="BL827" s="25"/>
      <c r="BM827" s="25"/>
      <c r="BN827" s="25"/>
      <c r="BO827" s="25"/>
      <c r="BP827" s="25"/>
      <c r="BQ827" s="25"/>
      <c r="BR827" s="25"/>
      <c r="BS827" s="25"/>
      <c r="BT827" s="25"/>
      <c r="BU827" s="25"/>
      <c r="BV827" s="25"/>
      <c r="BW827" s="25"/>
      <c r="BX827" s="25"/>
      <c r="BY827" s="25"/>
      <c r="BZ827" s="25"/>
      <c r="CA827" s="25"/>
      <c r="CB827" s="25"/>
    </row>
    <row r="828" spans="1:80" ht="12.75" hidden="1" customHeight="1">
      <c r="A828" s="10">
        <f ca="1">IFERROR(__xludf.DUMMYFUNCTION("""COMPUTED_VALUE"""),2012)</f>
        <v>2012</v>
      </c>
      <c r="B828" s="50">
        <f ca="1">IFERROR(__xludf.DUMMYFUNCTION("""COMPUTED_VALUE"""),41334)</f>
        <v>41334</v>
      </c>
      <c r="C828" s="41">
        <f ca="1">IFERROR(__xludf.DUMMYFUNCTION("""COMPUTED_VALUE"""),41332)</f>
        <v>41332</v>
      </c>
      <c r="D828" s="42" t="str">
        <f ca="1">IFERROR(__xludf.DUMMYFUNCTION("""COMPUTED_VALUE"""),"Red-rumped Swallow")</f>
        <v>Red-rumped Swallow</v>
      </c>
      <c r="E828" s="53">
        <f ca="1">IFERROR(__xludf.DUMMYFUNCTION("""COMPUTED_VALUE"""),1)</f>
        <v>1</v>
      </c>
      <c r="F828" s="15" t="str">
        <f ca="1">IFERROR(__xludf.DUMMYFUNCTION("""COMPUTED_VALUE"""),"Juv")</f>
        <v>Juv</v>
      </c>
      <c r="G828" s="44" t="str">
        <f ca="1">IFERROR(__xludf.DUMMYFUNCTION("""COMPUTED_VALUE"""),"Frodsham, No 4 Tank")</f>
        <v>Frodsham, No 4 Tank</v>
      </c>
      <c r="H828" s="12">
        <f ca="1">IFERROR(__xludf.DUMMYFUNCTION("""COMPUTED_VALUE"""),41150)</f>
        <v>41150</v>
      </c>
      <c r="I828" s="12"/>
      <c r="J828" s="14" t="str">
        <f ca="1">IFERROR(__xludf.DUMMYFUNCTION("""COMPUTED_VALUE"""),"Baker, G")</f>
        <v>Baker, G</v>
      </c>
      <c r="K828" s="15" t="str">
        <f ca="1">IFERROR(__xludf.DUMMYFUNCTION("""COMPUTED_VALUE"""),"Greg Baker")</f>
        <v>Greg Baker</v>
      </c>
      <c r="L828" s="17" t="str">
        <f ca="1">IFERROR(__xludf.DUMMYFUNCTION("""COMPUTED_VALUE"""),"closed")</f>
        <v>closed</v>
      </c>
      <c r="M828" s="17" t="str">
        <f ca="1">IFERROR(__xludf.DUMMYFUNCTION("""COMPUTED_VALUE"""),"1st U")</f>
        <v>1st U</v>
      </c>
      <c r="N828" s="15" t="str">
        <f ca="1">IFERROR(__xludf.DUMMYFUNCTION("""COMPUTED_VALUE"""),"accepted")</f>
        <v>accepted</v>
      </c>
      <c r="O828" s="18"/>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c r="BP828" s="15"/>
      <c r="BQ828" s="15"/>
      <c r="BR828" s="15"/>
      <c r="BS828" s="15"/>
      <c r="BT828" s="15"/>
      <c r="BU828" s="15"/>
      <c r="BV828" s="15"/>
      <c r="BW828" s="15"/>
      <c r="BX828" s="15"/>
      <c r="BY828" s="15"/>
      <c r="BZ828" s="15"/>
      <c r="CA828" s="15"/>
      <c r="CB828" s="15"/>
    </row>
    <row r="829" spans="1:80" ht="12.75" hidden="1" customHeight="1">
      <c r="A829" s="20">
        <f ca="1">IFERROR(__xludf.DUMMYFUNCTION("""COMPUTED_VALUE"""),2012)</f>
        <v>2012</v>
      </c>
      <c r="B829" s="45">
        <f ca="1">IFERROR(__xludf.DUMMYFUNCTION("""COMPUTED_VALUE"""),41334)</f>
        <v>41334</v>
      </c>
      <c r="C829" s="46"/>
      <c r="D829" s="47" t="str">
        <f ca="1">IFERROR(__xludf.DUMMYFUNCTION("""COMPUTED_VALUE"""),"Cetti's Warbler")</f>
        <v>Cetti's Warbler</v>
      </c>
      <c r="E829" s="52">
        <f ca="1">IFERROR(__xludf.DUMMYFUNCTION("""COMPUTED_VALUE"""),1)</f>
        <v>1</v>
      </c>
      <c r="F829" s="25"/>
      <c r="G829" s="48" t="str">
        <f ca="1">IFERROR(__xludf.DUMMYFUNCTION("""COMPUTED_VALUE"""),"Quiosley Small Mere Sandbach")</f>
        <v>Quiosley Small Mere Sandbach</v>
      </c>
      <c r="H829" s="22">
        <f ca="1">IFERROR(__xludf.DUMMYFUNCTION("""COMPUTED_VALUE"""),40944)</f>
        <v>40944</v>
      </c>
      <c r="I829" s="22">
        <f ca="1">IFERROR(__xludf.DUMMYFUNCTION("""COMPUTED_VALUE"""),41331)</f>
        <v>41331</v>
      </c>
      <c r="J829" s="24" t="str">
        <f ca="1">IFERROR(__xludf.DUMMYFUNCTION("""COMPUTED_VALUE"""),"Goodwin, A")</f>
        <v>Goodwin, A</v>
      </c>
      <c r="K829" s="25" t="str">
        <f ca="1">IFERROR(__xludf.DUMMYFUNCTION("""COMPUTED_VALUE"""),"Goodwin, A")</f>
        <v>Goodwin, A</v>
      </c>
      <c r="L829" s="27" t="str">
        <f ca="1">IFERROR(__xludf.DUMMYFUNCTION("""COMPUTED_VALUE"""),"closed")</f>
        <v>closed</v>
      </c>
      <c r="M829" s="27" t="str">
        <f ca="1">IFERROR(__xludf.DUMMYFUNCTION("""COMPUTED_VALUE"""),"1st U")</f>
        <v>1st U</v>
      </c>
      <c r="N829" s="25" t="str">
        <f ca="1">IFERROR(__xludf.DUMMYFUNCTION("""COMPUTED_VALUE"""),"accepted")</f>
        <v>accepted</v>
      </c>
      <c r="O829" s="28" t="str">
        <f ca="1">IFERROR(__xludf.DUMMYFUNCTION("""COMPUTED_VALUE"""),"Singing - ")</f>
        <v xml:space="preserve">Singing - </v>
      </c>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c r="AQ829" s="25"/>
      <c r="AR829" s="25"/>
      <c r="AS829" s="25"/>
      <c r="AT829" s="25"/>
      <c r="AU829" s="25"/>
      <c r="AV829" s="25"/>
      <c r="AW829" s="25"/>
      <c r="AX829" s="25"/>
      <c r="AY829" s="25"/>
      <c r="AZ829" s="25"/>
      <c r="BA829" s="25"/>
      <c r="BB829" s="25"/>
      <c r="BC829" s="25"/>
      <c r="BD829" s="25"/>
      <c r="BE829" s="25"/>
      <c r="BF829" s="25"/>
      <c r="BG829" s="25"/>
      <c r="BH829" s="25"/>
      <c r="BI829" s="25"/>
      <c r="BJ829" s="25"/>
      <c r="BK829" s="25"/>
      <c r="BL829" s="25"/>
      <c r="BM829" s="25"/>
      <c r="BN829" s="25"/>
      <c r="BO829" s="25"/>
      <c r="BP829" s="25"/>
      <c r="BQ829" s="25"/>
      <c r="BR829" s="25"/>
      <c r="BS829" s="25"/>
      <c r="BT829" s="25"/>
      <c r="BU829" s="25"/>
      <c r="BV829" s="25"/>
      <c r="BW829" s="25"/>
      <c r="BX829" s="25"/>
      <c r="BY829" s="25"/>
      <c r="BZ829" s="25"/>
      <c r="CA829" s="25"/>
      <c r="CB829" s="25"/>
    </row>
    <row r="830" spans="1:80" ht="12.75" hidden="1" customHeight="1">
      <c r="A830" s="10">
        <f ca="1">IFERROR(__xludf.DUMMYFUNCTION("""COMPUTED_VALUE"""),2012)</f>
        <v>2012</v>
      </c>
      <c r="B830" s="50">
        <f ca="1">IFERROR(__xludf.DUMMYFUNCTION("""COMPUTED_VALUE"""),41582)</f>
        <v>41582</v>
      </c>
      <c r="C830" s="41"/>
      <c r="D830" s="42" t="str">
        <f ca="1">IFERROR(__xludf.DUMMYFUNCTION("""COMPUTED_VALUE"""),"Cetti's Warbler")</f>
        <v>Cetti's Warbler</v>
      </c>
      <c r="E830" s="53"/>
      <c r="F830" s="15"/>
      <c r="G830" s="44" t="str">
        <f ca="1">IFERROR(__xludf.DUMMYFUNCTION("""COMPUTED_VALUE"""),"Red Rocks, Hoylake")</f>
        <v>Red Rocks, Hoylake</v>
      </c>
      <c r="H830" s="12">
        <f ca="1">IFERROR(__xludf.DUMMYFUNCTION("""COMPUTED_VALUE"""),41161)</f>
        <v>41161</v>
      </c>
      <c r="I830" s="12">
        <f ca="1">IFERROR(__xludf.DUMMYFUNCTION("""COMPUTED_VALUE"""),41161)</f>
        <v>41161</v>
      </c>
      <c r="J830" s="14" t="str">
        <f ca="1">IFERROR(__xludf.DUMMYFUNCTION("""COMPUTED_VALUE"""),"Turner, MG")</f>
        <v>Turner, MG</v>
      </c>
      <c r="K830" s="15" t="str">
        <f ca="1">IFERROR(__xludf.DUMMYFUNCTION("""COMPUTED_VALUE"""),"Turner, MG")</f>
        <v>Turner, MG</v>
      </c>
      <c r="L830" s="17" t="str">
        <f ca="1">IFERROR(__xludf.DUMMYFUNCTION("""COMPUTED_VALUE"""),"closed")</f>
        <v>closed</v>
      </c>
      <c r="M830" s="17" t="str">
        <f ca="1">IFERROR(__xludf.DUMMYFUNCTION("""COMPUTED_VALUE"""),"1st U")</f>
        <v>1st U</v>
      </c>
      <c r="N830" s="43" t="str">
        <f ca="1">IFERROR(__xludf.DUMMYFUNCTION("""COMPUTED_VALUE"""),"accepted")</f>
        <v>accepted</v>
      </c>
      <c r="O830" s="18"/>
      <c r="P830" s="15"/>
      <c r="Q830" s="58"/>
      <c r="R830" s="58"/>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c r="BP830" s="15"/>
      <c r="BQ830" s="15"/>
      <c r="BR830" s="15"/>
      <c r="BS830" s="15"/>
      <c r="BT830" s="15"/>
      <c r="BU830" s="15"/>
      <c r="BV830" s="15"/>
      <c r="BW830" s="15"/>
      <c r="BX830" s="15"/>
      <c r="BY830" s="15"/>
      <c r="BZ830" s="15"/>
      <c r="CA830" s="15"/>
      <c r="CB830" s="15"/>
    </row>
    <row r="831" spans="1:80" ht="12.75" hidden="1" customHeight="1">
      <c r="A831" s="20">
        <f ca="1">IFERROR(__xludf.DUMMYFUNCTION("""COMPUTED_VALUE"""),2012)</f>
        <v>2012</v>
      </c>
      <c r="B831" s="45">
        <f ca="1">IFERROR(__xludf.DUMMYFUNCTION("""COMPUTED_VALUE"""),41528)</f>
        <v>41528</v>
      </c>
      <c r="C831" s="46">
        <f ca="1">IFERROR(__xludf.DUMMYFUNCTION("""COMPUTED_VALUE"""),41515)</f>
        <v>41515</v>
      </c>
      <c r="D831" s="47" t="str">
        <f ca="1">IFERROR(__xludf.DUMMYFUNCTION("""COMPUTED_VALUE"""),"Yellow-browed Warbler")</f>
        <v>Yellow-browed Warbler</v>
      </c>
      <c r="E831" s="52">
        <f ca="1">IFERROR(__xludf.DUMMYFUNCTION("""COMPUTED_VALUE"""),1)</f>
        <v>1</v>
      </c>
      <c r="F831" s="25"/>
      <c r="G831" s="48" t="str">
        <f ca="1">IFERROR(__xludf.DUMMYFUNCTION("""COMPUTED_VALUE"""),"Hale")</f>
        <v>Hale</v>
      </c>
      <c r="H831" s="22">
        <f ca="1">IFERROR(__xludf.DUMMYFUNCTION("""COMPUTED_VALUE"""),41185)</f>
        <v>41185</v>
      </c>
      <c r="I831" s="22"/>
      <c r="J831" s="24" t="str">
        <f ca="1">IFERROR(__xludf.DUMMYFUNCTION("""COMPUTED_VALUE"""),"Cockbain, RP&amp;CA")</f>
        <v>Cockbain, RP&amp;CA</v>
      </c>
      <c r="K831" s="25" t="str">
        <f ca="1">IFERROR(__xludf.DUMMYFUNCTION("""COMPUTED_VALUE"""),"Cockbain, RP&amp;CA")</f>
        <v>Cockbain, RP&amp;CA</v>
      </c>
      <c r="L831" s="27" t="str">
        <f ca="1">IFERROR(__xludf.DUMMYFUNCTION("""COMPUTED_VALUE"""),"closed")</f>
        <v>closed</v>
      </c>
      <c r="M831" s="27" t="str">
        <f ca="1">IFERROR(__xludf.DUMMYFUNCTION("""COMPUTED_VALUE"""),"1st U")</f>
        <v>1st U</v>
      </c>
      <c r="N831" s="25" t="str">
        <f ca="1">IFERROR(__xludf.DUMMYFUNCTION("""COMPUTED_VALUE"""),"accepted")</f>
        <v>accepted</v>
      </c>
      <c r="O831" s="28"/>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c r="AQ831" s="25"/>
      <c r="AR831" s="25"/>
      <c r="AS831" s="25"/>
      <c r="AT831" s="25"/>
      <c r="AU831" s="25"/>
      <c r="AV831" s="25"/>
      <c r="AW831" s="25"/>
      <c r="AX831" s="25"/>
      <c r="AY831" s="25"/>
      <c r="AZ831" s="25"/>
      <c r="BA831" s="25"/>
      <c r="BB831" s="25"/>
      <c r="BC831" s="25"/>
      <c r="BD831" s="25"/>
      <c r="BE831" s="25"/>
      <c r="BF831" s="25"/>
      <c r="BG831" s="25"/>
      <c r="BH831" s="25"/>
      <c r="BI831" s="25"/>
      <c r="BJ831" s="25"/>
      <c r="BK831" s="25"/>
      <c r="BL831" s="25"/>
      <c r="BM831" s="25"/>
      <c r="BN831" s="25"/>
      <c r="BO831" s="25"/>
      <c r="BP831" s="25"/>
      <c r="BQ831" s="25"/>
      <c r="BR831" s="25"/>
      <c r="BS831" s="25"/>
      <c r="BT831" s="25"/>
      <c r="BU831" s="25"/>
      <c r="BV831" s="25"/>
      <c r="BW831" s="25"/>
      <c r="BX831" s="25"/>
      <c r="BY831" s="25"/>
      <c r="BZ831" s="25"/>
      <c r="CA831" s="25"/>
      <c r="CB831" s="25"/>
    </row>
    <row r="832" spans="1:80" ht="12.75" hidden="1" customHeight="1">
      <c r="A832" s="10">
        <f ca="1">IFERROR(__xludf.DUMMYFUNCTION("""COMPUTED_VALUE"""),2012)</f>
        <v>2012</v>
      </c>
      <c r="B832" s="50">
        <f ca="1">IFERROR(__xludf.DUMMYFUNCTION("""COMPUTED_VALUE"""),41528)</f>
        <v>41528</v>
      </c>
      <c r="C832" s="41">
        <f ca="1">IFERROR(__xludf.DUMMYFUNCTION("""COMPUTED_VALUE"""),41515)</f>
        <v>41515</v>
      </c>
      <c r="D832" s="42" t="str">
        <f ca="1">IFERROR(__xludf.DUMMYFUNCTION("""COMPUTED_VALUE"""),"Yellow-browed Warbler")</f>
        <v>Yellow-browed Warbler</v>
      </c>
      <c r="E832" s="53">
        <f ca="1">IFERROR(__xludf.DUMMYFUNCTION("""COMPUTED_VALUE"""),1)</f>
        <v>1</v>
      </c>
      <c r="F832" s="15"/>
      <c r="G832" s="44" t="str">
        <f ca="1">IFERROR(__xludf.DUMMYFUNCTION("""COMPUTED_VALUE"""),"Red Rocks, Hoylake")</f>
        <v>Red Rocks, Hoylake</v>
      </c>
      <c r="H832" s="12">
        <f ca="1">IFERROR(__xludf.DUMMYFUNCTION("""COMPUTED_VALUE"""),41191)</f>
        <v>41191</v>
      </c>
      <c r="I832" s="12">
        <f ca="1">IFERROR(__xludf.DUMMYFUNCTION("""COMPUTED_VALUE"""),41191)</f>
        <v>41191</v>
      </c>
      <c r="J832" s="14" t="str">
        <f ca="1">IFERROR(__xludf.DUMMYFUNCTION("""COMPUTED_VALUE"""),"Turner, JE")</f>
        <v>Turner, JE</v>
      </c>
      <c r="K832" s="15" t="str">
        <f ca="1">IFERROR(__xludf.DUMMYFUNCTION("""COMPUTED_VALUE"""),"Turner, JE")</f>
        <v>Turner, JE</v>
      </c>
      <c r="L832" s="17" t="str">
        <f ca="1">IFERROR(__xludf.DUMMYFUNCTION("""COMPUTED_VALUE"""),"closed")</f>
        <v>closed</v>
      </c>
      <c r="M832" s="17" t="str">
        <f ca="1">IFERROR(__xludf.DUMMYFUNCTION("""COMPUTED_VALUE"""),"1st U")</f>
        <v>1st U</v>
      </c>
      <c r="N832" s="15" t="str">
        <f ca="1">IFERROR(__xludf.DUMMYFUNCTION("""COMPUTED_VALUE"""),"accepted")</f>
        <v>accepted</v>
      </c>
      <c r="O832" s="18"/>
      <c r="P832" s="15"/>
      <c r="Q832" s="58"/>
      <c r="R832" s="58"/>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row>
    <row r="833" spans="1:80" ht="12.75" hidden="1" customHeight="1">
      <c r="A833" s="20">
        <f ca="1">IFERROR(__xludf.DUMMYFUNCTION("""COMPUTED_VALUE"""),2012)</f>
        <v>2012</v>
      </c>
      <c r="B833" s="45">
        <f ca="1">IFERROR(__xludf.DUMMYFUNCTION("""COMPUTED_VALUE"""),41582)</f>
        <v>41582</v>
      </c>
      <c r="C833" s="46">
        <f ca="1">IFERROR(__xludf.DUMMYFUNCTION("""COMPUTED_VALUE"""),41510)</f>
        <v>41510</v>
      </c>
      <c r="D833" s="47" t="str">
        <f ca="1">IFERROR(__xludf.DUMMYFUNCTION("""COMPUTED_VALUE"""),"Eastern Chiffchaff [tristis/abientinus race]")</f>
        <v>Eastern Chiffchaff [tristis/abientinus race]</v>
      </c>
      <c r="E833" s="52">
        <f ca="1">IFERROR(__xludf.DUMMYFUNCTION("""COMPUTED_VALUE"""),1)</f>
        <v>1</v>
      </c>
      <c r="F833" s="25"/>
      <c r="G833" s="48" t="str">
        <f ca="1">IFERROR(__xludf.DUMMYFUNCTION("""COMPUTED_VALUE"""),"Red Rocks, Hoylake")</f>
        <v>Red Rocks, Hoylake</v>
      </c>
      <c r="H833" s="22">
        <f ca="1">IFERROR(__xludf.DUMMYFUNCTION("""COMPUTED_VALUE"""),41191)</f>
        <v>41191</v>
      </c>
      <c r="I833" s="22">
        <f ca="1">IFERROR(__xludf.DUMMYFUNCTION("""COMPUTED_VALUE"""),41191)</f>
        <v>41191</v>
      </c>
      <c r="J833" s="24" t="str">
        <f ca="1">IFERROR(__xludf.DUMMYFUNCTION("""COMPUTED_VALUE"""),"Turner, JE")</f>
        <v>Turner, JE</v>
      </c>
      <c r="K833" s="25" t="str">
        <f ca="1">IFERROR(__xludf.DUMMYFUNCTION("""COMPUTED_VALUE"""),"Turner, JE")</f>
        <v>Turner, JE</v>
      </c>
      <c r="L833" s="27" t="str">
        <f ca="1">IFERROR(__xludf.DUMMYFUNCTION("""COMPUTED_VALUE"""),"closed")</f>
        <v>closed</v>
      </c>
      <c r="M833" s="27" t="str">
        <f ca="1">IFERROR(__xludf.DUMMYFUNCTION("""COMPUTED_VALUE"""),"1st U")</f>
        <v>1st U</v>
      </c>
      <c r="N833" s="25" t="str">
        <f ca="1">IFERROR(__xludf.DUMMYFUNCTION("""COMPUTED_VALUE"""),"accepted")</f>
        <v>accepted</v>
      </c>
      <c r="O833" s="28"/>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c r="AQ833" s="25"/>
      <c r="AR833" s="25"/>
      <c r="AS833" s="25"/>
      <c r="AT833" s="25"/>
      <c r="AU833" s="25"/>
      <c r="AV833" s="25"/>
      <c r="AW833" s="25"/>
      <c r="AX833" s="25"/>
      <c r="AY833" s="25"/>
      <c r="AZ833" s="25"/>
      <c r="BA833" s="25"/>
      <c r="BB833" s="25"/>
      <c r="BC833" s="25"/>
      <c r="BD833" s="25"/>
      <c r="BE833" s="25"/>
      <c r="BF833" s="25"/>
      <c r="BG833" s="25"/>
      <c r="BH833" s="25"/>
      <c r="BI833" s="25"/>
      <c r="BJ833" s="25"/>
      <c r="BK833" s="25"/>
      <c r="BL833" s="25"/>
      <c r="BM833" s="25"/>
      <c r="BN833" s="25"/>
      <c r="BO833" s="25"/>
      <c r="BP833" s="25"/>
      <c r="BQ833" s="25"/>
      <c r="BR833" s="25"/>
      <c r="BS833" s="25"/>
      <c r="BT833" s="25"/>
      <c r="BU833" s="25"/>
      <c r="BV833" s="25"/>
      <c r="BW833" s="25"/>
      <c r="BX833" s="25"/>
      <c r="BY833" s="25"/>
      <c r="BZ833" s="25"/>
      <c r="CA833" s="25"/>
      <c r="CB833" s="25"/>
    </row>
    <row r="834" spans="1:80" ht="12.75" hidden="1" customHeight="1">
      <c r="A834" s="10">
        <f ca="1">IFERROR(__xludf.DUMMYFUNCTION("""COMPUTED_VALUE"""),2012)</f>
        <v>2012</v>
      </c>
      <c r="B834" s="50">
        <f ca="1">IFERROR(__xludf.DUMMYFUNCTION("""COMPUTED_VALUE"""),41582)</f>
        <v>41582</v>
      </c>
      <c r="C834" s="41">
        <f ca="1">IFERROR(__xludf.DUMMYFUNCTION("""COMPUTED_VALUE"""),41510)</f>
        <v>41510</v>
      </c>
      <c r="D834" s="42" t="str">
        <f ca="1">IFERROR(__xludf.DUMMYFUNCTION("""COMPUTED_VALUE"""),"Eastern Chiffchaff [tristis/abientinus race]")</f>
        <v>Eastern Chiffchaff [tristis/abientinus race]</v>
      </c>
      <c r="E834" s="53">
        <f ca="1">IFERROR(__xludf.DUMMYFUNCTION("""COMPUTED_VALUE"""),1)</f>
        <v>1</v>
      </c>
      <c r="F834" s="15"/>
      <c r="G834" s="44" t="str">
        <f ca="1">IFERROR(__xludf.DUMMYFUNCTION("""COMPUTED_VALUE"""),"Red Rocks, Hoylake")</f>
        <v>Red Rocks, Hoylake</v>
      </c>
      <c r="H834" s="12">
        <f ca="1">IFERROR(__xludf.DUMMYFUNCTION("""COMPUTED_VALUE"""),41223)</f>
        <v>41223</v>
      </c>
      <c r="I834" s="12">
        <f ca="1">IFERROR(__xludf.DUMMYFUNCTION("""COMPUTED_VALUE"""),41223)</f>
        <v>41223</v>
      </c>
      <c r="J834" s="14" t="str">
        <f ca="1">IFERROR(__xludf.DUMMYFUNCTION("""COMPUTED_VALUE"""),"Turner, JE")</f>
        <v>Turner, JE</v>
      </c>
      <c r="K834" s="15" t="str">
        <f ca="1">IFERROR(__xludf.DUMMYFUNCTION("""COMPUTED_VALUE"""),"Turner, JE")</f>
        <v>Turner, JE</v>
      </c>
      <c r="L834" s="17" t="str">
        <f ca="1">IFERROR(__xludf.DUMMYFUNCTION("""COMPUTED_VALUE"""),"closed")</f>
        <v>closed</v>
      </c>
      <c r="M834" s="17" t="str">
        <f ca="1">IFERROR(__xludf.DUMMYFUNCTION("""COMPUTED_VALUE"""),"1st U")</f>
        <v>1st U</v>
      </c>
      <c r="N834" s="15" t="str">
        <f ca="1">IFERROR(__xludf.DUMMYFUNCTION("""COMPUTED_VALUE"""),"accepted")</f>
        <v>accepted</v>
      </c>
      <c r="O834" s="18"/>
      <c r="P834" s="15"/>
      <c r="Q834" s="58"/>
      <c r="R834" s="58"/>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c r="BQ834" s="15"/>
      <c r="BR834" s="15"/>
      <c r="BS834" s="15"/>
      <c r="BT834" s="15"/>
      <c r="BU834" s="15"/>
      <c r="BV834" s="15"/>
      <c r="BW834" s="15"/>
      <c r="BX834" s="15"/>
      <c r="BY834" s="15"/>
      <c r="BZ834" s="15"/>
      <c r="CA834" s="15"/>
      <c r="CB834" s="15"/>
    </row>
    <row r="835" spans="1:80" ht="12.75" hidden="1" customHeight="1">
      <c r="A835" s="20">
        <f ca="1">IFERROR(__xludf.DUMMYFUNCTION("""COMPUTED_VALUE"""),2012)</f>
        <v>2012</v>
      </c>
      <c r="B835" s="45">
        <f ca="1">IFERROR(__xludf.DUMMYFUNCTION("""COMPUTED_VALUE"""),41327)</f>
        <v>41327</v>
      </c>
      <c r="C835" s="46">
        <f ca="1">IFERROR(__xludf.DUMMYFUNCTION("""COMPUTED_VALUE"""),41328)</f>
        <v>41328</v>
      </c>
      <c r="D835" s="47" t="str">
        <f ca="1">IFERROR(__xludf.DUMMYFUNCTION("""COMPUTED_VALUE"""),"Siberian Chiffchaff [tristis race]")</f>
        <v>Siberian Chiffchaff [tristis race]</v>
      </c>
      <c r="E835" s="52">
        <f ca="1">IFERROR(__xludf.DUMMYFUNCTION("""COMPUTED_VALUE"""),1)</f>
        <v>1</v>
      </c>
      <c r="F835" s="25"/>
      <c r="G835" s="48" t="str">
        <f ca="1">IFERROR(__xludf.DUMMYFUNCTION("""COMPUTED_VALUE"""),"Woolston Eyes")</f>
        <v>Woolston Eyes</v>
      </c>
      <c r="H835" s="22">
        <f ca="1">IFERROR(__xludf.DUMMYFUNCTION("""COMPUTED_VALUE"""),41006)</f>
        <v>41006</v>
      </c>
      <c r="I835" s="22"/>
      <c r="J835" s="24" t="str">
        <f ca="1">IFERROR(__xludf.DUMMYFUNCTION("""COMPUTED_VALUE"""),"Miles, M")</f>
        <v>Miles, M</v>
      </c>
      <c r="K835" s="25" t="str">
        <f ca="1">IFERROR(__xludf.DUMMYFUNCTION("""COMPUTED_VALUE"""),"Kieran Foster")</f>
        <v>Kieran Foster</v>
      </c>
      <c r="L835" s="27" t="str">
        <f ca="1">IFERROR(__xludf.DUMMYFUNCTION("""COMPUTED_VALUE"""),"closed")</f>
        <v>closed</v>
      </c>
      <c r="M835" s="27" t="str">
        <f ca="1">IFERROR(__xludf.DUMMYFUNCTION("""COMPUTED_VALUE"""),"1st U")</f>
        <v>1st U</v>
      </c>
      <c r="N835" s="25" t="str">
        <f ca="1">IFERROR(__xludf.DUMMYFUNCTION("""COMPUTED_VALUE"""),"accepted")</f>
        <v>accepted</v>
      </c>
      <c r="O835" s="28"/>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c r="AQ835" s="25"/>
      <c r="AR835" s="25"/>
      <c r="AS835" s="25"/>
      <c r="AT835" s="25"/>
      <c r="AU835" s="25"/>
      <c r="AV835" s="25"/>
      <c r="AW835" s="25"/>
      <c r="AX835" s="25"/>
      <c r="AY835" s="25"/>
      <c r="AZ835" s="25"/>
      <c r="BA835" s="25"/>
      <c r="BB835" s="25"/>
      <c r="BC835" s="25"/>
      <c r="BD835" s="25"/>
      <c r="BE835" s="25"/>
      <c r="BF835" s="25"/>
      <c r="BG835" s="25"/>
      <c r="BH835" s="25"/>
      <c r="BI835" s="25"/>
      <c r="BJ835" s="25"/>
      <c r="BK835" s="25"/>
      <c r="BL835" s="25"/>
      <c r="BM835" s="25"/>
      <c r="BN835" s="25"/>
      <c r="BO835" s="25"/>
      <c r="BP835" s="25"/>
      <c r="BQ835" s="25"/>
      <c r="BR835" s="25"/>
      <c r="BS835" s="25"/>
      <c r="BT835" s="25"/>
      <c r="BU835" s="25"/>
      <c r="BV835" s="25"/>
      <c r="BW835" s="25"/>
      <c r="BX835" s="25"/>
      <c r="BY835" s="25"/>
      <c r="BZ835" s="25"/>
      <c r="CA835" s="25"/>
      <c r="CB835" s="25"/>
    </row>
    <row r="836" spans="1:80" ht="12.75" hidden="1" customHeight="1">
      <c r="A836" s="10">
        <f ca="1">IFERROR(__xludf.DUMMYFUNCTION("""COMPUTED_VALUE"""),2012)</f>
        <v>2012</v>
      </c>
      <c r="B836" s="50">
        <f ca="1">IFERROR(__xludf.DUMMYFUNCTION("""COMPUTED_VALUE"""),41327)</f>
        <v>41327</v>
      </c>
      <c r="C836" s="41">
        <f ca="1">IFERROR(__xludf.DUMMYFUNCTION("""COMPUTED_VALUE"""),41328)</f>
        <v>41328</v>
      </c>
      <c r="D836" s="42" t="str">
        <f ca="1">IFERROR(__xludf.DUMMYFUNCTION("""COMPUTED_VALUE"""),"Siberian Chiffchaff [tristis race]")</f>
        <v>Siberian Chiffchaff [tristis race]</v>
      </c>
      <c r="E836" s="53">
        <f ca="1">IFERROR(__xludf.DUMMYFUNCTION("""COMPUTED_VALUE"""),1)</f>
        <v>1</v>
      </c>
      <c r="F836" s="15"/>
      <c r="G836" s="44" t="str">
        <f ca="1">IFERROR(__xludf.DUMMYFUNCTION("""COMPUTED_VALUE"""),"Woolston Eyes")</f>
        <v>Woolston Eyes</v>
      </c>
      <c r="H836" s="12">
        <f ca="1">IFERROR(__xludf.DUMMYFUNCTION("""COMPUTED_VALUE"""),41006)</f>
        <v>41006</v>
      </c>
      <c r="I836" s="12"/>
      <c r="J836" s="14" t="str">
        <f ca="1">IFERROR(__xludf.DUMMYFUNCTION("""COMPUTED_VALUE"""),"Foster, K")</f>
        <v>Foster, K</v>
      </c>
      <c r="K836" s="15" t="str">
        <f ca="1">IFERROR(__xludf.DUMMYFUNCTION("""COMPUTED_VALUE"""),"Foster, K")</f>
        <v>Foster, K</v>
      </c>
      <c r="L836" s="17" t="str">
        <f ca="1">IFERROR(__xludf.DUMMYFUNCTION("""COMPUTED_VALUE"""),"closed")</f>
        <v>closed</v>
      </c>
      <c r="M836" s="17" t="str">
        <f ca="1">IFERROR(__xludf.DUMMYFUNCTION("""COMPUTED_VALUE"""),"1st U")</f>
        <v>1st U</v>
      </c>
      <c r="N836" s="15" t="str">
        <f ca="1">IFERROR(__xludf.DUMMYFUNCTION("""COMPUTED_VALUE"""),"accepted")</f>
        <v>accepted</v>
      </c>
      <c r="O836" s="18"/>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c r="BQ836" s="15"/>
      <c r="BR836" s="15"/>
      <c r="BS836" s="15"/>
      <c r="BT836" s="15"/>
      <c r="BU836" s="15"/>
      <c r="BV836" s="15"/>
      <c r="BW836" s="15"/>
      <c r="BX836" s="15"/>
      <c r="BY836" s="15"/>
      <c r="BZ836" s="15"/>
      <c r="CA836" s="15"/>
      <c r="CB836" s="15"/>
    </row>
    <row r="837" spans="1:80" ht="12.75" hidden="1" customHeight="1">
      <c r="A837" s="20">
        <f ca="1">IFERROR(__xludf.DUMMYFUNCTION("""COMPUTED_VALUE"""),2012)</f>
        <v>2012</v>
      </c>
      <c r="B837" s="45">
        <f ca="1">IFERROR(__xludf.DUMMYFUNCTION("""COMPUTED_VALUE"""),41333)</f>
        <v>41333</v>
      </c>
      <c r="C837" s="46">
        <f ca="1">IFERROR(__xludf.DUMMYFUNCTION("""COMPUTED_VALUE"""),41333)</f>
        <v>41333</v>
      </c>
      <c r="D837" s="47" t="str">
        <f ca="1">IFERROR(__xludf.DUMMYFUNCTION("""COMPUTED_VALUE"""),"Aquatic Warbler")</f>
        <v>Aquatic Warbler</v>
      </c>
      <c r="E837" s="52">
        <f ca="1">IFERROR(__xludf.DUMMYFUNCTION("""COMPUTED_VALUE"""),1)</f>
        <v>1</v>
      </c>
      <c r="F837" s="25" t="str">
        <f ca="1">IFERROR(__xludf.DUMMYFUNCTION("""COMPUTED_VALUE"""),"juv")</f>
        <v>juv</v>
      </c>
      <c r="G837" s="48" t="str">
        <f ca="1">IFERROR(__xludf.DUMMYFUNCTION("""COMPUTED_VALUE"""),"Red Rocks, Hoylake")</f>
        <v>Red Rocks, Hoylake</v>
      </c>
      <c r="H837" s="22">
        <f ca="1">IFERROR(__xludf.DUMMYFUNCTION("""COMPUTED_VALUE"""),41140)</f>
        <v>41140</v>
      </c>
      <c r="I837" s="22">
        <f ca="1">IFERROR(__xludf.DUMMYFUNCTION("""COMPUTED_VALUE"""),41141)</f>
        <v>41141</v>
      </c>
      <c r="J837" s="24" t="str">
        <f ca="1">IFERROR(__xludf.DUMMYFUNCTION("""COMPUTED_VALUE"""),"Turner, JE")</f>
        <v>Turner, JE</v>
      </c>
      <c r="K837" s="25" t="str">
        <f ca="1">IFERROR(__xludf.DUMMYFUNCTION("""COMPUTED_VALUE"""),"Turner, JE")</f>
        <v>Turner, JE</v>
      </c>
      <c r="L837" s="27" t="str">
        <f ca="1">IFERROR(__xludf.DUMMYFUNCTION("""COMPUTED_VALUE"""),"closed")</f>
        <v>closed</v>
      </c>
      <c r="M837" s="27" t="str">
        <f ca="1">IFERROR(__xludf.DUMMYFUNCTION("""COMPUTED_VALUE"""),"1st U")</f>
        <v>1st U</v>
      </c>
      <c r="N837" s="25" t="str">
        <f ca="1">IFERROR(__xludf.DUMMYFUNCTION("""COMPUTED_VALUE"""),"accepted")</f>
        <v>accepted</v>
      </c>
      <c r="O837" s="28"/>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c r="AQ837" s="25"/>
      <c r="AR837" s="25"/>
      <c r="AS837" s="25"/>
      <c r="AT837" s="25"/>
      <c r="AU837" s="25"/>
      <c r="AV837" s="25"/>
      <c r="AW837" s="25"/>
      <c r="AX837" s="25"/>
      <c r="AY837" s="25"/>
      <c r="AZ837" s="25"/>
      <c r="BA837" s="25"/>
      <c r="BB837" s="25"/>
      <c r="BC837" s="25"/>
      <c r="BD837" s="25"/>
      <c r="BE837" s="25"/>
      <c r="BF837" s="25"/>
      <c r="BG837" s="25"/>
      <c r="BH837" s="25"/>
      <c r="BI837" s="25"/>
      <c r="BJ837" s="25"/>
      <c r="BK837" s="25"/>
      <c r="BL837" s="25"/>
      <c r="BM837" s="25"/>
      <c r="BN837" s="25"/>
      <c r="BO837" s="25"/>
      <c r="BP837" s="25"/>
      <c r="BQ837" s="25"/>
      <c r="BR837" s="25"/>
      <c r="BS837" s="25"/>
      <c r="BT837" s="25"/>
      <c r="BU837" s="25"/>
      <c r="BV837" s="25"/>
      <c r="BW837" s="25"/>
      <c r="BX837" s="25"/>
      <c r="BY837" s="25"/>
      <c r="BZ837" s="25"/>
      <c r="CA837" s="25"/>
      <c r="CB837" s="25"/>
    </row>
    <row r="838" spans="1:80" ht="12.75" hidden="1" customHeight="1">
      <c r="A838" s="10">
        <f ca="1">IFERROR(__xludf.DUMMYFUNCTION("""COMPUTED_VALUE"""),2012)</f>
        <v>2012</v>
      </c>
      <c r="B838" s="50">
        <f ca="1">IFERROR(__xludf.DUMMYFUNCTION("""COMPUTED_VALUE"""),41526)</f>
        <v>41526</v>
      </c>
      <c r="C838" s="41"/>
      <c r="D838" s="42" t="str">
        <f ca="1">IFERROR(__xludf.DUMMYFUNCTION("""COMPUTED_VALUE"""),"Nightingale")</f>
        <v>Nightingale</v>
      </c>
      <c r="E838" s="53">
        <f ca="1">IFERROR(__xludf.DUMMYFUNCTION("""COMPUTED_VALUE"""),1)</f>
        <v>1</v>
      </c>
      <c r="F838" s="15"/>
      <c r="G838" s="44" t="str">
        <f ca="1">IFERROR(__xludf.DUMMYFUNCTION("""COMPUTED_VALUE"""),"New Brighton")</f>
        <v>New Brighton</v>
      </c>
      <c r="H838" s="12">
        <f ca="1">IFERROR(__xludf.DUMMYFUNCTION("""COMPUTED_VALUE"""),41034)</f>
        <v>41034</v>
      </c>
      <c r="I838" s="12">
        <f ca="1">IFERROR(__xludf.DUMMYFUNCTION("""COMPUTED_VALUE"""),41034)</f>
        <v>41034</v>
      </c>
      <c r="J838" s="14"/>
      <c r="K838" s="15"/>
      <c r="L838" s="17" t="str">
        <f ca="1">IFERROR(__xludf.DUMMYFUNCTION("""COMPUTED_VALUE"""),"closed")</f>
        <v>closed</v>
      </c>
      <c r="M838" s="17" t="str">
        <f ca="1">IFERROR(__xludf.DUMMYFUNCTION("""COMPUTED_VALUE"""),"1st U")</f>
        <v>1st U</v>
      </c>
      <c r="N838" s="15" t="str">
        <f ca="1">IFERROR(__xludf.DUMMYFUNCTION("""COMPUTED_VALUE"""),"unproven")</f>
        <v>unproven</v>
      </c>
      <c r="O838" s="18" t="str">
        <f ca="1">IFERROR(__xludf.DUMMYFUNCTION("""COMPUTED_VALUE"""),"Song or MistleThrush a better fit from the description, eg  ""Bird sat on roof aerial singing very loudly,
similar to our local blackbird song but louder and with different variation""")</f>
        <v>Song or MistleThrush a better fit from the description, eg  "Bird sat on roof aerial singing very loudly,
similar to our local blackbird song but louder and with different variation"</v>
      </c>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row>
    <row r="839" spans="1:80" ht="12.75" hidden="1" customHeight="1">
      <c r="A839" s="20">
        <f ca="1">IFERROR(__xludf.DUMMYFUNCTION("""COMPUTED_VALUE"""),2012)</f>
        <v>2012</v>
      </c>
      <c r="B839" s="45">
        <f ca="1">IFERROR(__xludf.DUMMYFUNCTION("""COMPUTED_VALUE"""),41514)</f>
        <v>41514</v>
      </c>
      <c r="C839" s="46">
        <f ca="1">IFERROR(__xludf.DUMMYFUNCTION("""COMPUTED_VALUE"""),41509)</f>
        <v>41509</v>
      </c>
      <c r="D839" s="47" t="str">
        <f ca="1">IFERROR(__xludf.DUMMYFUNCTION("""COMPUTED_VALUE"""),"Black Redstart")</f>
        <v>Black Redstart</v>
      </c>
      <c r="E839" s="52"/>
      <c r="F839" s="25"/>
      <c r="G839" s="48" t="str">
        <f ca="1">IFERROR(__xludf.DUMMYFUNCTION("""COMPUTED_VALUE"""),"Burton")</f>
        <v>Burton</v>
      </c>
      <c r="H839" s="22">
        <f ca="1">IFERROR(__xludf.DUMMYFUNCTION("""COMPUTED_VALUE"""),41205)</f>
        <v>41205</v>
      </c>
      <c r="I839" s="22"/>
      <c r="J839" s="24" t="str">
        <f ca="1">IFERROR(__xludf.DUMMYFUNCTION("""COMPUTED_VALUE"""),"May, R")</f>
        <v>May, R</v>
      </c>
      <c r="K839" s="25" t="str">
        <f ca="1">IFERROR(__xludf.DUMMYFUNCTION("""COMPUTED_VALUE"""),"May, R")</f>
        <v>May, R</v>
      </c>
      <c r="L839" s="27" t="str">
        <f ca="1">IFERROR(__xludf.DUMMYFUNCTION("""COMPUTED_VALUE"""),"closed")</f>
        <v>closed</v>
      </c>
      <c r="M839" s="27" t="str">
        <f ca="1">IFERROR(__xludf.DUMMYFUNCTION("""COMPUTED_VALUE"""),"1st U")</f>
        <v>1st U</v>
      </c>
      <c r="N839" s="25" t="str">
        <f ca="1">IFERROR(__xludf.DUMMYFUNCTION("""COMPUTED_VALUE"""),"accepted")</f>
        <v>accepted</v>
      </c>
      <c r="O839" s="28"/>
      <c r="P839" s="25"/>
      <c r="Q839" s="40"/>
      <c r="R839" s="40"/>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c r="AQ839" s="25"/>
      <c r="AR839" s="25"/>
      <c r="AS839" s="25"/>
      <c r="AT839" s="25"/>
      <c r="AU839" s="25"/>
      <c r="AV839" s="25"/>
      <c r="AW839" s="25"/>
      <c r="AX839" s="25"/>
      <c r="AY839" s="25"/>
      <c r="AZ839" s="25"/>
      <c r="BA839" s="25"/>
      <c r="BB839" s="25"/>
      <c r="BC839" s="25"/>
      <c r="BD839" s="25"/>
      <c r="BE839" s="25"/>
      <c r="BF839" s="25"/>
      <c r="BG839" s="25"/>
      <c r="BH839" s="25"/>
      <c r="BI839" s="25"/>
      <c r="BJ839" s="25"/>
      <c r="BK839" s="25"/>
      <c r="BL839" s="25"/>
      <c r="BM839" s="25"/>
      <c r="BN839" s="25"/>
      <c r="BO839" s="25"/>
      <c r="BP839" s="25"/>
      <c r="BQ839" s="25"/>
      <c r="BR839" s="25"/>
      <c r="BS839" s="25"/>
      <c r="BT839" s="25"/>
      <c r="BU839" s="25"/>
      <c r="BV839" s="25"/>
      <c r="BW839" s="25"/>
      <c r="BX839" s="25"/>
      <c r="BY839" s="25"/>
      <c r="BZ839" s="25"/>
      <c r="CA839" s="25"/>
      <c r="CB839" s="25"/>
    </row>
    <row r="840" spans="1:80" ht="12.75" hidden="1" customHeight="1">
      <c r="A840" s="10">
        <f ca="1">IFERROR(__xludf.DUMMYFUNCTION("""COMPUTED_VALUE"""),2012)</f>
        <v>2012</v>
      </c>
      <c r="B840" s="50">
        <f ca="1">IFERROR(__xludf.DUMMYFUNCTION("""COMPUTED_VALUE"""),41600)</f>
        <v>41600</v>
      </c>
      <c r="C840" s="41">
        <f ca="1">IFERROR(__xludf.DUMMYFUNCTION("""COMPUTED_VALUE"""),41599)</f>
        <v>41599</v>
      </c>
      <c r="D840" s="42" t="str">
        <f ca="1">IFERROR(__xludf.DUMMYFUNCTION("""COMPUTED_VALUE"""),"YellowxBlue-headed Wagtail [Channel]")</f>
        <v>YellowxBlue-headed Wagtail [Channel]</v>
      </c>
      <c r="E840" s="53">
        <f ca="1">IFERROR(__xludf.DUMMYFUNCTION("""COMPUTED_VALUE"""),1)</f>
        <v>1</v>
      </c>
      <c r="F840" s="15"/>
      <c r="G840" s="44" t="str">
        <f ca="1">IFERROR(__xludf.DUMMYFUNCTION("""COMPUTED_VALUE"""),"Frodsham")</f>
        <v>Frodsham</v>
      </c>
      <c r="H840" s="12">
        <f ca="1">IFERROR(__xludf.DUMMYFUNCTION("""COMPUTED_VALUE"""),41036)</f>
        <v>41036</v>
      </c>
      <c r="I840" s="12"/>
      <c r="J840" s="14" t="str">
        <f ca="1">IFERROR(__xludf.DUMMYFUNCTION("""COMPUTED_VALUE"""),"Duff, F")</f>
        <v>Duff, F</v>
      </c>
      <c r="K840" s="15" t="str">
        <f ca="1">IFERROR(__xludf.DUMMYFUNCTION("""COMPUTED_VALUE"""),"Paul Crawley")</f>
        <v>Paul Crawley</v>
      </c>
      <c r="L840" s="17" t="str">
        <f ca="1">IFERROR(__xludf.DUMMYFUNCTION("""COMPUTED_VALUE"""),"closed")</f>
        <v>closed</v>
      </c>
      <c r="M840" s="17"/>
      <c r="N840" s="15" t="str">
        <f ca="1">IFERROR(__xludf.DUMMYFUNCTION("""COMPUTED_VALUE"""),"accepted")</f>
        <v>accepted</v>
      </c>
      <c r="O840" s="18"/>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row>
    <row r="841" spans="1:80" ht="12.75" hidden="1" customHeight="1">
      <c r="A841" s="20">
        <f ca="1">IFERROR(__xludf.DUMMYFUNCTION("""COMPUTED_VALUE"""),2012)</f>
        <v>2012</v>
      </c>
      <c r="B841" s="45">
        <f ca="1">IFERROR(__xludf.DUMMYFUNCTION("""COMPUTED_VALUE"""),41587)</f>
        <v>41587</v>
      </c>
      <c r="C841" s="46">
        <f ca="1">IFERROR(__xludf.DUMMYFUNCTION("""COMPUTED_VALUE"""),41540)</f>
        <v>41540</v>
      </c>
      <c r="D841" s="47" t="str">
        <f ca="1">IFERROR(__xludf.DUMMYFUNCTION("""COMPUTED_VALUE"""),"Yellow Wagtail [Grey-headed]")</f>
        <v>Yellow Wagtail [Grey-headed]</v>
      </c>
      <c r="E841" s="52">
        <f ca="1">IFERROR(__xludf.DUMMYFUNCTION("""COMPUTED_VALUE"""),1)</f>
        <v>1</v>
      </c>
      <c r="F841" s="25" t="str">
        <f ca="1">IFERROR(__xludf.DUMMYFUNCTION("""COMPUTED_VALUE"""),"m/f")</f>
        <v>m/f</v>
      </c>
      <c r="G841" s="48" t="str">
        <f ca="1">IFERROR(__xludf.DUMMYFUNCTION("""COMPUTED_VALUE"""),"Burton Mere Wetlands RSPB")</f>
        <v>Burton Mere Wetlands RSPB</v>
      </c>
      <c r="H841" s="22">
        <f ca="1">IFERROR(__xludf.DUMMYFUNCTION("""COMPUTED_VALUE"""),41017)</f>
        <v>41017</v>
      </c>
      <c r="I841" s="22"/>
      <c r="J841" s="24" t="str">
        <f ca="1">IFERROR(__xludf.DUMMYFUNCTION("""COMPUTED_VALUE"""),"Brady, Paul")</f>
        <v>Brady, Paul</v>
      </c>
      <c r="K841" s="25" t="str">
        <f ca="1">IFERROR(__xludf.DUMMYFUNCTION("""COMPUTED_VALUE"""),"?")</f>
        <v>?</v>
      </c>
      <c r="L841" s="27" t="str">
        <f ca="1">IFERROR(__xludf.DUMMYFUNCTION("""COMPUTED_VALUE"""),"closed")</f>
        <v>closed</v>
      </c>
      <c r="M841" s="27"/>
      <c r="N841" s="25" t="str">
        <f ca="1">IFERROR(__xludf.DUMMYFUNCTION("""COMPUTED_VALUE"""),"accepted")</f>
        <v>accepted</v>
      </c>
      <c r="O841" s="28" t="str">
        <f ca="1">IFERROR(__xludf.DUMMYFUNCTION("""COMPUTED_VALUE"""),"As probably within variance for Grey Headed Wagtail, though also possibly a hybrid.")</f>
        <v>As probably within variance for Grey Headed Wagtail, though also possibly a hybrid.</v>
      </c>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c r="AQ841" s="25"/>
      <c r="AR841" s="25"/>
      <c r="AS841" s="25"/>
      <c r="AT841" s="25"/>
      <c r="AU841" s="25"/>
      <c r="AV841" s="25"/>
      <c r="AW841" s="25"/>
      <c r="AX841" s="25"/>
      <c r="AY841" s="25"/>
      <c r="AZ841" s="25"/>
      <c r="BA841" s="25"/>
      <c r="BB841" s="25"/>
      <c r="BC841" s="25"/>
      <c r="BD841" s="25"/>
      <c r="BE841" s="25"/>
      <c r="BF841" s="25"/>
      <c r="BG841" s="25"/>
      <c r="BH841" s="25"/>
      <c r="BI841" s="25"/>
      <c r="BJ841" s="25"/>
      <c r="BK841" s="25"/>
      <c r="BL841" s="25"/>
      <c r="BM841" s="25"/>
      <c r="BN841" s="25"/>
      <c r="BO841" s="25"/>
      <c r="BP841" s="25"/>
      <c r="BQ841" s="25"/>
      <c r="BR841" s="25"/>
      <c r="BS841" s="25"/>
      <c r="BT841" s="25"/>
      <c r="BU841" s="25"/>
      <c r="BV841" s="25"/>
      <c r="BW841" s="25"/>
      <c r="BX841" s="25"/>
      <c r="BY841" s="25"/>
      <c r="BZ841" s="25"/>
      <c r="CA841" s="25"/>
      <c r="CB841" s="25"/>
    </row>
    <row r="842" spans="1:80" ht="12.75" hidden="1" customHeight="1">
      <c r="A842" s="10">
        <f ca="1">IFERROR(__xludf.DUMMYFUNCTION("""COMPUTED_VALUE"""),2012)</f>
        <v>2012</v>
      </c>
      <c r="B842" s="50">
        <f ca="1">IFERROR(__xludf.DUMMYFUNCTION("""COMPUTED_VALUE"""),41584)</f>
        <v>41584</v>
      </c>
      <c r="C842" s="41">
        <f ca="1">IFERROR(__xludf.DUMMYFUNCTION("""COMPUTED_VALUE"""),41516)</f>
        <v>41516</v>
      </c>
      <c r="D842" s="42" t="str">
        <f ca="1">IFERROR(__xludf.DUMMYFUNCTION("""COMPUTED_VALUE"""),"Red-throated Pipit")</f>
        <v>Red-throated Pipit</v>
      </c>
      <c r="E842" s="53">
        <f ca="1">IFERROR(__xludf.DUMMYFUNCTION("""COMPUTED_VALUE"""),1)</f>
        <v>1</v>
      </c>
      <c r="F842" s="15"/>
      <c r="G842" s="44" t="str">
        <f ca="1">IFERROR(__xludf.DUMMYFUNCTION("""COMPUTED_VALUE"""),"Leasowe")</f>
        <v>Leasowe</v>
      </c>
      <c r="H842" s="12">
        <f ca="1">IFERROR(__xludf.DUMMYFUNCTION("""COMPUTED_VALUE"""),41192)</f>
        <v>41192</v>
      </c>
      <c r="I842" s="12">
        <f ca="1">IFERROR(__xludf.DUMMYFUNCTION("""COMPUTED_VALUE"""),41192)</f>
        <v>41192</v>
      </c>
      <c r="J842" s="14" t="str">
        <f ca="1">IFERROR(__xludf.DUMMYFUNCTION("""COMPUTED_VALUE"""),"Williams, E &amp; Dummingan K")</f>
        <v>Williams, E &amp; Dummingan K</v>
      </c>
      <c r="K842" s="15" t="str">
        <f ca="1">IFERROR(__xludf.DUMMYFUNCTION("""COMPUTED_VALUE"""),"Williams, E &amp; Dummingan K")</f>
        <v>Williams, E &amp; Dummingan K</v>
      </c>
      <c r="L842" s="17" t="str">
        <f ca="1">IFERROR(__xludf.DUMMYFUNCTION("""COMPUTED_VALUE"""),"closed")</f>
        <v>closed</v>
      </c>
      <c r="M842" s="17" t="str">
        <f ca="1">IFERROR(__xludf.DUMMYFUNCTION("""COMPUTED_VALUE"""),"1st U")</f>
        <v>1st U</v>
      </c>
      <c r="N842" s="15" t="str">
        <f ca="1">IFERROR(__xludf.DUMMYFUNCTION("""COMPUTED_VALUE"""),"accepted")</f>
        <v>accepted</v>
      </c>
      <c r="O842" s="18"/>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c r="BP842" s="15"/>
      <c r="BQ842" s="15"/>
      <c r="BR842" s="15"/>
      <c r="BS842" s="15"/>
      <c r="BT842" s="15"/>
      <c r="BU842" s="15"/>
      <c r="BV842" s="15"/>
      <c r="BW842" s="15"/>
      <c r="BX842" s="15"/>
      <c r="BY842" s="15"/>
      <c r="BZ842" s="15"/>
      <c r="CA842" s="15"/>
      <c r="CB842" s="15"/>
    </row>
    <row r="843" spans="1:80" ht="12.75" hidden="1" customHeight="1">
      <c r="A843" s="20">
        <f ca="1">IFERROR(__xludf.DUMMYFUNCTION("""COMPUTED_VALUE"""),2012)</f>
        <v>2012</v>
      </c>
      <c r="B843" s="45">
        <f ca="1">IFERROR(__xludf.DUMMYFUNCTION("""COMPUTED_VALUE"""),41583)</f>
        <v>41583</v>
      </c>
      <c r="C843" s="46">
        <f ca="1">IFERROR(__xludf.DUMMYFUNCTION("""COMPUTED_VALUE"""),41582)</f>
        <v>41582</v>
      </c>
      <c r="D843" s="47" t="str">
        <f ca="1">IFERROR(__xludf.DUMMYFUNCTION("""COMPUTED_VALUE"""),"Hawfinch")</f>
        <v>Hawfinch</v>
      </c>
      <c r="E843" s="52">
        <f ca="1">IFERROR(__xludf.DUMMYFUNCTION("""COMPUTED_VALUE"""),1)</f>
        <v>1</v>
      </c>
      <c r="F843" s="25"/>
      <c r="G843" s="48" t="str">
        <f ca="1">IFERROR(__xludf.DUMMYFUNCTION("""COMPUTED_VALUE"""),"Maw Green Tip, Sandbach")</f>
        <v>Maw Green Tip, Sandbach</v>
      </c>
      <c r="H843" s="22">
        <f ca="1">IFERROR(__xludf.DUMMYFUNCTION("""COMPUTED_VALUE"""),41181)</f>
        <v>41181</v>
      </c>
      <c r="I843" s="22">
        <f ca="1">IFERROR(__xludf.DUMMYFUNCTION("""COMPUTED_VALUE"""),41181)</f>
        <v>41181</v>
      </c>
      <c r="J843" s="24" t="str">
        <f ca="1">IFERROR(__xludf.DUMMYFUNCTION("""COMPUTED_VALUE"""),"Goodwin, A")</f>
        <v>Goodwin, A</v>
      </c>
      <c r="K843" s="25" t="str">
        <f ca="1">IFERROR(__xludf.DUMMYFUNCTION("""COMPUTED_VALUE"""),"Goodwin, A")</f>
        <v>Goodwin, A</v>
      </c>
      <c r="L843" s="27" t="str">
        <f ca="1">IFERROR(__xludf.DUMMYFUNCTION("""COMPUTED_VALUE"""),"closed")</f>
        <v>closed</v>
      </c>
      <c r="M843" s="27" t="str">
        <f ca="1">IFERROR(__xludf.DUMMYFUNCTION("""COMPUTED_VALUE"""),"1st U")</f>
        <v>1st U</v>
      </c>
      <c r="N843" s="25" t="str">
        <f ca="1">IFERROR(__xludf.DUMMYFUNCTION("""COMPUTED_VALUE"""),"accepted")</f>
        <v>accepted</v>
      </c>
      <c r="O843" s="28"/>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c r="AQ843" s="25"/>
      <c r="AR843" s="25"/>
      <c r="AS843" s="25"/>
      <c r="AT843" s="25"/>
      <c r="AU843" s="25"/>
      <c r="AV843" s="25"/>
      <c r="AW843" s="25"/>
      <c r="AX843" s="25"/>
      <c r="AY843" s="25"/>
      <c r="AZ843" s="25"/>
      <c r="BA843" s="25"/>
      <c r="BB843" s="25"/>
      <c r="BC843" s="25"/>
      <c r="BD843" s="25"/>
      <c r="BE843" s="25"/>
      <c r="BF843" s="25"/>
      <c r="BG843" s="25"/>
      <c r="BH843" s="25"/>
      <c r="BI843" s="25"/>
      <c r="BJ843" s="25"/>
      <c r="BK843" s="25"/>
      <c r="BL843" s="25"/>
      <c r="BM843" s="25"/>
      <c r="BN843" s="25"/>
      <c r="BO843" s="25"/>
      <c r="BP843" s="25"/>
      <c r="BQ843" s="25"/>
      <c r="BR843" s="25"/>
      <c r="BS843" s="25"/>
      <c r="BT843" s="25"/>
      <c r="BU843" s="25"/>
      <c r="BV843" s="25"/>
      <c r="BW843" s="25"/>
      <c r="BX843" s="25"/>
      <c r="BY843" s="25"/>
      <c r="BZ843" s="25"/>
      <c r="CA843" s="25"/>
      <c r="CB843" s="25"/>
    </row>
    <row r="844" spans="1:80" ht="12.75" hidden="1" customHeight="1">
      <c r="A844" s="10">
        <f ca="1">IFERROR(__xludf.DUMMYFUNCTION("""COMPUTED_VALUE"""),2012)</f>
        <v>2012</v>
      </c>
      <c r="B844" s="50">
        <f ca="1">IFERROR(__xludf.DUMMYFUNCTION("""COMPUTED_VALUE"""),41583)</f>
        <v>41583</v>
      </c>
      <c r="C844" s="41">
        <f ca="1">IFERROR(__xludf.DUMMYFUNCTION("""COMPUTED_VALUE"""),41582)</f>
        <v>41582</v>
      </c>
      <c r="D844" s="42" t="str">
        <f ca="1">IFERROR(__xludf.DUMMYFUNCTION("""COMPUTED_VALUE"""),"Hawfinch")</f>
        <v>Hawfinch</v>
      </c>
      <c r="E844" s="53">
        <f ca="1">IFERROR(__xludf.DUMMYFUNCTION("""COMPUTED_VALUE"""),1)</f>
        <v>1</v>
      </c>
      <c r="F844" s="15"/>
      <c r="G844" s="44" t="str">
        <f ca="1">IFERROR(__xludf.DUMMYFUNCTION("""COMPUTED_VALUE"""),"Hale")</f>
        <v>Hale</v>
      </c>
      <c r="H844" s="12">
        <f ca="1">IFERROR(__xludf.DUMMYFUNCTION("""COMPUTED_VALUE"""),41192)</f>
        <v>41192</v>
      </c>
      <c r="I844" s="12">
        <f ca="1">IFERROR(__xludf.DUMMYFUNCTION("""COMPUTED_VALUE"""),41228)</f>
        <v>41228</v>
      </c>
      <c r="J844" s="14" t="str">
        <f ca="1">IFERROR(__xludf.DUMMYFUNCTION("""COMPUTED_VALUE"""),"Cockbain, RP&amp;CA")</f>
        <v>Cockbain, RP&amp;CA</v>
      </c>
      <c r="K844" s="15" t="str">
        <f ca="1">IFERROR(__xludf.DUMMYFUNCTION("""COMPUTED_VALUE"""),"Cockbain, RP&amp;CA")</f>
        <v>Cockbain, RP&amp;CA</v>
      </c>
      <c r="L844" s="17" t="str">
        <f ca="1">IFERROR(__xludf.DUMMYFUNCTION("""COMPUTED_VALUE"""),"closed")</f>
        <v>closed</v>
      </c>
      <c r="M844" s="17" t="str">
        <f ca="1">IFERROR(__xludf.DUMMYFUNCTION("""COMPUTED_VALUE"""),"1st U")</f>
        <v>1st U</v>
      </c>
      <c r="N844" s="15" t="str">
        <f ca="1">IFERROR(__xludf.DUMMYFUNCTION("""COMPUTED_VALUE"""),"accepted")</f>
        <v>accepted</v>
      </c>
      <c r="O844" s="18" t="str">
        <f ca="1">IFERROR(__xludf.DUMMYFUNCTION("""COMPUTED_VALUE"""),"two different birds on vis mig, not a stayer.  Just being lazy and using one line in the sheet!")</f>
        <v>two different birds on vis mig, not a stayer.  Just being lazy and using one line in the sheet!</v>
      </c>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c r="BP844" s="15"/>
      <c r="BQ844" s="15"/>
      <c r="BR844" s="15"/>
      <c r="BS844" s="15"/>
      <c r="BT844" s="15"/>
      <c r="BU844" s="15"/>
      <c r="BV844" s="15"/>
      <c r="BW844" s="15"/>
      <c r="BX844" s="15"/>
      <c r="BY844" s="15"/>
      <c r="BZ844" s="15"/>
      <c r="CA844" s="15"/>
      <c r="CB844" s="15"/>
    </row>
    <row r="845" spans="1:80" ht="12.75" hidden="1" customHeight="1">
      <c r="A845" s="20">
        <f ca="1">IFERROR(__xludf.DUMMYFUNCTION("""COMPUTED_VALUE"""),2012)</f>
        <v>2012</v>
      </c>
      <c r="B845" s="45">
        <f ca="1">IFERROR(__xludf.DUMMYFUNCTION("""COMPUTED_VALUE"""),41143)</f>
        <v>41143</v>
      </c>
      <c r="C845" s="46">
        <f ca="1">IFERROR(__xludf.DUMMYFUNCTION("""COMPUTED_VALUE"""),41143)</f>
        <v>41143</v>
      </c>
      <c r="D845" s="47" t="str">
        <f ca="1">IFERROR(__xludf.DUMMYFUNCTION("""COMPUTED_VALUE"""),"Hawfinch")</f>
        <v>Hawfinch</v>
      </c>
      <c r="E845" s="52">
        <f ca="1">IFERROR(__xludf.DUMMYFUNCTION("""COMPUTED_VALUE"""),1)</f>
        <v>1</v>
      </c>
      <c r="F845" s="25"/>
      <c r="G845" s="48" t="str">
        <f ca="1">IFERROR(__xludf.DUMMYFUNCTION("""COMPUTED_VALUE"""),"Poynton Pool")</f>
        <v>Poynton Pool</v>
      </c>
      <c r="H845" s="22">
        <f ca="1">IFERROR(__xludf.DUMMYFUNCTION("""COMPUTED_VALUE"""),41197)</f>
        <v>41197</v>
      </c>
      <c r="I845" s="22"/>
      <c r="J845" s="24" t="str">
        <f ca="1">IFERROR(__xludf.DUMMYFUNCTION("""COMPUTED_VALUE"""),"Broome, AM")</f>
        <v>Broome, AM</v>
      </c>
      <c r="K845" s="25"/>
      <c r="L845" s="27" t="str">
        <f ca="1">IFERROR(__xludf.DUMMYFUNCTION("""COMPUTED_VALUE"""),"closed")</f>
        <v>closed</v>
      </c>
      <c r="M845" s="27" t="str">
        <f ca="1">IFERROR(__xludf.DUMMYFUNCTION("""COMPUTED_VALUE"""),"1st U")</f>
        <v>1st U</v>
      </c>
      <c r="N845" s="25" t="str">
        <f ca="1">IFERROR(__xludf.DUMMYFUNCTION("""COMPUTED_VALUE"""),"accepted")</f>
        <v>accepted</v>
      </c>
      <c r="O845" s="28" t="str">
        <f ca="1">IFERROR(__xludf.DUMMYFUNCTION("""COMPUTED_VALUE"""),"South at 0851hrs low over park calling.")</f>
        <v>South at 0851hrs low over park calling.</v>
      </c>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c r="AQ845" s="25"/>
      <c r="AR845" s="25"/>
      <c r="AS845" s="25"/>
      <c r="AT845" s="25"/>
      <c r="AU845" s="25"/>
      <c r="AV845" s="25"/>
      <c r="AW845" s="25"/>
      <c r="AX845" s="25"/>
      <c r="AY845" s="25"/>
      <c r="AZ845" s="25"/>
      <c r="BA845" s="25"/>
      <c r="BB845" s="25"/>
      <c r="BC845" s="25"/>
      <c r="BD845" s="25"/>
      <c r="BE845" s="25"/>
      <c r="BF845" s="25"/>
      <c r="BG845" s="25"/>
      <c r="BH845" s="25"/>
      <c r="BI845" s="25"/>
      <c r="BJ845" s="25"/>
      <c r="BK845" s="25"/>
      <c r="BL845" s="25"/>
      <c r="BM845" s="25"/>
      <c r="BN845" s="25"/>
      <c r="BO845" s="25"/>
      <c r="BP845" s="25"/>
      <c r="BQ845" s="25"/>
      <c r="BR845" s="25"/>
      <c r="BS845" s="25"/>
      <c r="BT845" s="25"/>
      <c r="BU845" s="25"/>
      <c r="BV845" s="25"/>
      <c r="BW845" s="25"/>
      <c r="BX845" s="25"/>
      <c r="BY845" s="25"/>
      <c r="BZ845" s="25"/>
      <c r="CA845" s="25"/>
      <c r="CB845" s="25"/>
    </row>
    <row r="846" spans="1:80" ht="12.75" hidden="1" customHeight="1">
      <c r="A846" s="10">
        <f ca="1">IFERROR(__xludf.DUMMYFUNCTION("""COMPUTED_VALUE"""),2012)</f>
        <v>2012</v>
      </c>
      <c r="B846" s="50">
        <f ca="1">IFERROR(__xludf.DUMMYFUNCTION("""COMPUTED_VALUE"""),41583)</f>
        <v>41583</v>
      </c>
      <c r="C846" s="41">
        <f ca="1">IFERROR(__xludf.DUMMYFUNCTION("""COMPUTED_VALUE"""),41582)</f>
        <v>41582</v>
      </c>
      <c r="D846" s="42" t="str">
        <f ca="1">IFERROR(__xludf.DUMMYFUNCTION("""COMPUTED_VALUE"""),"Hawfinch")</f>
        <v>Hawfinch</v>
      </c>
      <c r="E846" s="53">
        <f ca="1">IFERROR(__xludf.DUMMYFUNCTION("""COMPUTED_VALUE"""),1)</f>
        <v>1</v>
      </c>
      <c r="F846" s="15"/>
      <c r="G846" s="44" t="str">
        <f ca="1">IFERROR(__xludf.DUMMYFUNCTION("""COMPUTED_VALUE"""),"Groby Flash, Sandbach")</f>
        <v>Groby Flash, Sandbach</v>
      </c>
      <c r="H846" s="12">
        <f ca="1">IFERROR(__xludf.DUMMYFUNCTION("""COMPUTED_VALUE"""),41207)</f>
        <v>41207</v>
      </c>
      <c r="I846" s="12">
        <f ca="1">IFERROR(__xludf.DUMMYFUNCTION("""COMPUTED_VALUE"""),41207)</f>
        <v>41207</v>
      </c>
      <c r="J846" s="14" t="str">
        <f ca="1">IFERROR(__xludf.DUMMYFUNCTION("""COMPUTED_VALUE"""),"Stubbs, Mark")</f>
        <v>Stubbs, Mark</v>
      </c>
      <c r="K846" s="15" t="str">
        <f ca="1">IFERROR(__xludf.DUMMYFUNCTION("""COMPUTED_VALUE"""),"Stubbs, Mark")</f>
        <v>Stubbs, Mark</v>
      </c>
      <c r="L846" s="17" t="str">
        <f ca="1">IFERROR(__xludf.DUMMYFUNCTION("""COMPUTED_VALUE"""),"closed")</f>
        <v>closed</v>
      </c>
      <c r="M846" s="17" t="str">
        <f ca="1">IFERROR(__xludf.DUMMYFUNCTION("""COMPUTED_VALUE"""),"1st U")</f>
        <v>1st U</v>
      </c>
      <c r="N846" s="15" t="str">
        <f ca="1">IFERROR(__xludf.DUMMYFUNCTION("""COMPUTED_VALUE"""),"accepted")</f>
        <v>accepted</v>
      </c>
      <c r="O846" s="18"/>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c r="BQ846" s="15"/>
      <c r="BR846" s="15"/>
      <c r="BS846" s="15"/>
      <c r="BT846" s="15"/>
      <c r="BU846" s="15"/>
      <c r="BV846" s="15"/>
      <c r="BW846" s="15"/>
      <c r="BX846" s="15"/>
      <c r="BY846" s="15"/>
      <c r="BZ846" s="15"/>
      <c r="CA846" s="15"/>
      <c r="CB846" s="15"/>
    </row>
    <row r="847" spans="1:80" ht="12.75" hidden="1" customHeight="1">
      <c r="A847" s="20">
        <f ca="1">IFERROR(__xludf.DUMMYFUNCTION("""COMPUTED_VALUE"""),2012)</f>
        <v>2012</v>
      </c>
      <c r="B847" s="45">
        <f ca="1">IFERROR(__xludf.DUMMYFUNCTION("""COMPUTED_VALUE"""),41515)</f>
        <v>41515</v>
      </c>
      <c r="C847" s="46"/>
      <c r="D847" s="47" t="str">
        <f ca="1">IFERROR(__xludf.DUMMYFUNCTION("""COMPUTED_VALUE"""),"Mealy Redpoll")</f>
        <v>Mealy Redpoll</v>
      </c>
      <c r="E847" s="52" t="str">
        <f ca="1">IFERROR(__xludf.DUMMYFUNCTION("""COMPUTED_VALUE"""),"1")</f>
        <v>1</v>
      </c>
      <c r="F847" s="25" t="str">
        <f ca="1">IFERROR(__xludf.DUMMYFUNCTION("""COMPUTED_VALUE"""),"")</f>
        <v/>
      </c>
      <c r="G847" s="48" t="str">
        <f ca="1">IFERROR(__xludf.DUMMYFUNCTION("""COMPUTED_VALUE"""),"Hilbre")</f>
        <v>Hilbre</v>
      </c>
      <c r="H847" s="22">
        <f ca="1">IFERROR(__xludf.DUMMYFUNCTION("""COMPUTED_VALUE"""),40992)</f>
        <v>40992</v>
      </c>
      <c r="I847" s="22">
        <f ca="1">IFERROR(__xludf.DUMMYFUNCTION("""COMPUTED_VALUE"""),40992)</f>
        <v>40992</v>
      </c>
      <c r="J847" s="67" t="str">
        <f ca="1">IFERROR(__xludf.DUMMYFUNCTION("""COMPUTED_VALUE"""),"Hilbre Bird Observatory")</f>
        <v>Hilbre Bird Observatory</v>
      </c>
      <c r="K847" s="25"/>
      <c r="L847" s="27" t="str">
        <f ca="1">IFERROR(__xludf.DUMMYFUNCTION("""COMPUTED_VALUE"""),"closed")</f>
        <v>closed</v>
      </c>
      <c r="M847" s="27" t="str">
        <f ca="1">IFERROR(__xludf.DUMMYFUNCTION("""COMPUTED_VALUE"""),"proxy")</f>
        <v>proxy</v>
      </c>
      <c r="N847" s="25" t="str">
        <f ca="1">IFERROR(__xludf.DUMMYFUNCTION("""COMPUTED_VALUE"""),"accepted")</f>
        <v>accepted</v>
      </c>
      <c r="O847" s="65" t="str">
        <f ca="1">IFERROR(__xludf.DUMMYFUNCTION("""COMPUTED_VALUE"""),"trapped")</f>
        <v>trapped</v>
      </c>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c r="AQ847" s="25"/>
      <c r="AR847" s="25"/>
      <c r="AS847" s="25"/>
      <c r="AT847" s="25"/>
      <c r="AU847" s="25"/>
      <c r="AV847" s="25"/>
      <c r="AW847" s="25"/>
      <c r="AX847" s="25"/>
      <c r="AY847" s="25"/>
      <c r="AZ847" s="25"/>
      <c r="BA847" s="25"/>
      <c r="BB847" s="25"/>
      <c r="BC847" s="25"/>
      <c r="BD847" s="25"/>
      <c r="BE847" s="25"/>
      <c r="BF847" s="25"/>
      <c r="BG847" s="25"/>
      <c r="BH847" s="25"/>
      <c r="BI847" s="25"/>
      <c r="BJ847" s="25"/>
      <c r="BK847" s="25"/>
      <c r="BL847" s="25"/>
      <c r="BM847" s="25"/>
      <c r="BN847" s="25"/>
      <c r="BO847" s="25"/>
      <c r="BP847" s="25"/>
      <c r="BQ847" s="25"/>
      <c r="BR847" s="25"/>
      <c r="BS847" s="25"/>
      <c r="BT847" s="25"/>
      <c r="BU847" s="25"/>
      <c r="BV847" s="25"/>
      <c r="BW847" s="25"/>
      <c r="BX847" s="25"/>
      <c r="BY847" s="25"/>
      <c r="BZ847" s="25"/>
      <c r="CA847" s="25"/>
      <c r="CB847" s="25"/>
    </row>
    <row r="848" spans="1:80" ht="12.75" hidden="1" customHeight="1">
      <c r="A848" s="10">
        <f ca="1">IFERROR(__xludf.DUMMYFUNCTION("""COMPUTED_VALUE"""),2012)</f>
        <v>2012</v>
      </c>
      <c r="B848" s="50">
        <f ca="1">IFERROR(__xludf.DUMMYFUNCTION("""COMPUTED_VALUE"""),41583)</f>
        <v>41583</v>
      </c>
      <c r="C848" s="41">
        <f ca="1">IFERROR(__xludf.DUMMYFUNCTION("""COMPUTED_VALUE"""),41582)</f>
        <v>41582</v>
      </c>
      <c r="D848" s="42" t="str">
        <f ca="1">IFERROR(__xludf.DUMMYFUNCTION("""COMPUTED_VALUE"""),"Lapland Bunting")</f>
        <v>Lapland Bunting</v>
      </c>
      <c r="E848" s="53">
        <f ca="1">IFERROR(__xludf.DUMMYFUNCTION("""COMPUTED_VALUE"""),1)</f>
        <v>1</v>
      </c>
      <c r="F848" s="15"/>
      <c r="G848" s="44" t="str">
        <f ca="1">IFERROR(__xludf.DUMMYFUNCTION("""COMPUTED_VALUE"""),"Hale")</f>
        <v>Hale</v>
      </c>
      <c r="H848" s="12">
        <f ca="1">IFERROR(__xludf.DUMMYFUNCTION("""COMPUTED_VALUE"""),41190)</f>
        <v>41190</v>
      </c>
      <c r="I848" s="12">
        <f ca="1">IFERROR(__xludf.DUMMYFUNCTION("""COMPUTED_VALUE"""),41204)</f>
        <v>41204</v>
      </c>
      <c r="J848" s="14" t="str">
        <f ca="1">IFERROR(__xludf.DUMMYFUNCTION("""COMPUTED_VALUE"""),"Cockbain, RP&amp;CA")</f>
        <v>Cockbain, RP&amp;CA</v>
      </c>
      <c r="K848" s="15" t="str">
        <f ca="1">IFERROR(__xludf.DUMMYFUNCTION("""COMPUTED_VALUE"""),"Cockbain, RP&amp;CA")</f>
        <v>Cockbain, RP&amp;CA</v>
      </c>
      <c r="L848" s="17" t="str">
        <f ca="1">IFERROR(__xludf.DUMMYFUNCTION("""COMPUTED_VALUE"""),"closed")</f>
        <v>closed</v>
      </c>
      <c r="M848" s="17" t="str">
        <f ca="1">IFERROR(__xludf.DUMMYFUNCTION("""COMPUTED_VALUE"""),"1st U")</f>
        <v>1st U</v>
      </c>
      <c r="N848" s="15" t="str">
        <f ca="1">IFERROR(__xludf.DUMMYFUNCTION("""COMPUTED_VALUE"""),"accepted")</f>
        <v>accepted</v>
      </c>
      <c r="O848" s="18"/>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c r="BQ848" s="15"/>
      <c r="BR848" s="15"/>
      <c r="BS848" s="15"/>
      <c r="BT848" s="15"/>
      <c r="BU848" s="15"/>
      <c r="BV848" s="15"/>
      <c r="BW848" s="15"/>
      <c r="BX848" s="15"/>
      <c r="BY848" s="15"/>
      <c r="BZ848" s="15"/>
      <c r="CA848" s="15"/>
      <c r="CB848" s="15"/>
    </row>
    <row r="849" spans="1:80" ht="12.75" hidden="1" customHeight="1">
      <c r="A849" s="20">
        <f ca="1">IFERROR(__xludf.DUMMYFUNCTION("""COMPUTED_VALUE"""),2012)</f>
        <v>2012</v>
      </c>
      <c r="B849" s="45">
        <f ca="1">IFERROR(__xludf.DUMMYFUNCTION("""COMPUTED_VALUE"""),41587)</f>
        <v>41587</v>
      </c>
      <c r="C849" s="46">
        <f ca="1">IFERROR(__xludf.DUMMYFUNCTION("""COMPUTED_VALUE"""),41582)</f>
        <v>41582</v>
      </c>
      <c r="D849" s="47" t="str">
        <f ca="1">IFERROR(__xludf.DUMMYFUNCTION("""COMPUTED_VALUE"""),"Lapland Bunting")</f>
        <v>Lapland Bunting</v>
      </c>
      <c r="E849" s="52">
        <f ca="1">IFERROR(__xludf.DUMMYFUNCTION("""COMPUTED_VALUE"""),1)</f>
        <v>1</v>
      </c>
      <c r="F849" s="25"/>
      <c r="G849" s="48" t="str">
        <f ca="1">IFERROR(__xludf.DUMMYFUNCTION("""COMPUTED_VALUE"""),"Red Rocks, Hoylake")</f>
        <v>Red Rocks, Hoylake</v>
      </c>
      <c r="H849" s="22">
        <f ca="1">IFERROR(__xludf.DUMMYFUNCTION("""COMPUTED_VALUE"""),41196)</f>
        <v>41196</v>
      </c>
      <c r="I849" s="22">
        <f ca="1">IFERROR(__xludf.DUMMYFUNCTION("""COMPUTED_VALUE"""),41196)</f>
        <v>41196</v>
      </c>
      <c r="J849" s="24"/>
      <c r="K849" s="25"/>
      <c r="L849" s="27" t="str">
        <f ca="1">IFERROR(__xludf.DUMMYFUNCTION("""COMPUTED_VALUE"""),"closed")</f>
        <v>closed</v>
      </c>
      <c r="M849" s="27" t="str">
        <f ca="1">IFERROR(__xludf.DUMMYFUNCTION("""COMPUTED_VALUE"""),"2ndM")</f>
        <v>2ndM</v>
      </c>
      <c r="N849" s="25" t="str">
        <f ca="1">IFERROR(__xludf.DUMMYFUNCTION("""COMPUTED_VALUE"""),"unproven")</f>
        <v>unproven</v>
      </c>
      <c r="O849" s="28" t="str">
        <f ca="1">IFERROR(__xludf.DUMMYFUNCTION("""COMPUTED_VALUE"""),"Heard onlycall only is (was) not acceptable even with multiple calls ")</f>
        <v xml:space="preserve">Heard onlycall only is (was) not acceptable even with multiple calls </v>
      </c>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c r="AQ849" s="25"/>
      <c r="AR849" s="25"/>
      <c r="AS849" s="25"/>
      <c r="AT849" s="25"/>
      <c r="AU849" s="25"/>
      <c r="AV849" s="25"/>
      <c r="AW849" s="25"/>
      <c r="AX849" s="25"/>
      <c r="AY849" s="25"/>
      <c r="AZ849" s="25"/>
      <c r="BA849" s="25"/>
      <c r="BB849" s="25"/>
      <c r="BC849" s="25"/>
      <c r="BD849" s="25"/>
      <c r="BE849" s="25"/>
      <c r="BF849" s="25"/>
      <c r="BG849" s="25"/>
      <c r="BH849" s="25"/>
      <c r="BI849" s="25"/>
      <c r="BJ849" s="25"/>
      <c r="BK849" s="25"/>
      <c r="BL849" s="25"/>
      <c r="BM849" s="25"/>
      <c r="BN849" s="25"/>
      <c r="BO849" s="25"/>
      <c r="BP849" s="25"/>
      <c r="BQ849" s="25"/>
      <c r="BR849" s="25"/>
      <c r="BS849" s="25"/>
      <c r="BT849" s="25"/>
      <c r="BU849" s="25"/>
      <c r="BV849" s="25"/>
      <c r="BW849" s="25"/>
      <c r="BX849" s="25"/>
      <c r="BY849" s="25"/>
      <c r="BZ849" s="25"/>
      <c r="CA849" s="25"/>
      <c r="CB849" s="25"/>
    </row>
    <row r="850" spans="1:80" ht="12.75" hidden="1" customHeight="1">
      <c r="A850" s="10">
        <f ca="1">IFERROR(__xludf.DUMMYFUNCTION("""COMPUTED_VALUE"""),2013)</f>
        <v>2013</v>
      </c>
      <c r="B850" s="50">
        <f ca="1">IFERROR(__xludf.DUMMYFUNCTION("""COMPUTED_VALUE"""),44568)</f>
        <v>44568</v>
      </c>
      <c r="C850" s="41"/>
      <c r="D850" s="42" t="str">
        <f ca="1">IFERROR(__xludf.DUMMYFUNCTION("""COMPUTED_VALUE"""),"Blue-winged Teal")</f>
        <v>Blue-winged Teal</v>
      </c>
      <c r="E850" s="53"/>
      <c r="F850" s="15"/>
      <c r="G850" s="44" t="str">
        <f ca="1">IFERROR(__xludf.DUMMYFUNCTION("""COMPUTED_VALUE"""),"Burton Mere Wetlands RSPB")</f>
        <v>Burton Mere Wetlands RSPB</v>
      </c>
      <c r="H850" s="12">
        <f ca="1">IFERROR(__xludf.DUMMYFUNCTION("""COMPUTED_VALUE"""),41383)</f>
        <v>41383</v>
      </c>
      <c r="I850" s="12">
        <f ca="1">IFERROR(__xludf.DUMMYFUNCTION("""COMPUTED_VALUE"""),41384)</f>
        <v>41384</v>
      </c>
      <c r="J850" s="14"/>
      <c r="K850" s="15"/>
      <c r="L850" s="17" t="str">
        <f ca="1">IFERROR(__xludf.DUMMYFUNCTION("""COMPUTED_VALUE"""),"closed")</f>
        <v>closed</v>
      </c>
      <c r="M850" s="17"/>
      <c r="N850" s="15" t="str">
        <f ca="1">IFERROR(__xludf.DUMMYFUNCTION("""COMPUTED_VALUE"""),"BBRC-OK")</f>
        <v>BBRC-OK</v>
      </c>
      <c r="O850" s="18" t="str">
        <f ca="1">IFERROR(__xludf.DUMMYFUNCTION("""COMPUTED_VALUE"""),"Burton Mere Wetlands RSPB, male, 19th to 20th April, photo.")</f>
        <v>Burton Mere Wetlands RSPB, male, 19th to 20th April, photo.</v>
      </c>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c r="BP850" s="15"/>
      <c r="BQ850" s="15"/>
      <c r="BR850" s="15"/>
      <c r="BS850" s="15"/>
      <c r="BT850" s="15"/>
      <c r="BU850" s="15"/>
      <c r="BV850" s="15"/>
      <c r="BW850" s="15"/>
      <c r="BX850" s="15"/>
      <c r="BY850" s="15"/>
      <c r="BZ850" s="15"/>
      <c r="CA850" s="15"/>
      <c r="CB850" s="15"/>
    </row>
    <row r="851" spans="1:80" ht="12.75" hidden="1" customHeight="1">
      <c r="A851" s="20">
        <f ca="1">IFERROR(__xludf.DUMMYFUNCTION("""COMPUTED_VALUE"""),2013)</f>
        <v>2013</v>
      </c>
      <c r="B851" s="45">
        <f ca="1">IFERROR(__xludf.DUMMYFUNCTION("""COMPUTED_VALUE"""),41948)</f>
        <v>41948</v>
      </c>
      <c r="C851" s="46"/>
      <c r="D851" s="47" t="str">
        <f ca="1">IFERROR(__xludf.DUMMYFUNCTION("""COMPUTED_VALUE"""),"Velvet Scoter")</f>
        <v>Velvet Scoter</v>
      </c>
      <c r="E851" s="52">
        <f ca="1">IFERROR(__xludf.DUMMYFUNCTION("""COMPUTED_VALUE"""),1)</f>
        <v>1</v>
      </c>
      <c r="F851" s="25"/>
      <c r="G851" s="48" t="str">
        <f ca="1">IFERROR(__xludf.DUMMYFUNCTION("""COMPUTED_VALUE"""),"Hilbre")</f>
        <v>Hilbre</v>
      </c>
      <c r="H851" s="22">
        <f ca="1">IFERROR(__xludf.DUMMYFUNCTION("""COMPUTED_VALUE"""),41302)</f>
        <v>41302</v>
      </c>
      <c r="I851" s="22"/>
      <c r="J851" s="67" t="str">
        <f ca="1">IFERROR(__xludf.DUMMYFUNCTION("""COMPUTED_VALUE"""),"Hilbre Bird Observatory")</f>
        <v>Hilbre Bird Observatory</v>
      </c>
      <c r="K851" s="25"/>
      <c r="L851" s="27" t="str">
        <f ca="1">IFERROR(__xludf.DUMMYFUNCTION("""COMPUTED_VALUE"""),"closed")</f>
        <v>closed</v>
      </c>
      <c r="M851" s="27" t="str">
        <f ca="1">IFERROR(__xludf.DUMMYFUNCTION("""COMPUTED_VALUE"""),"proxy")</f>
        <v>proxy</v>
      </c>
      <c r="N851" s="25" t="str">
        <f ca="1">IFERROR(__xludf.DUMMYFUNCTION("""COMPUTED_VALUE"""),"accepted")</f>
        <v>accepted</v>
      </c>
      <c r="O851" s="28"/>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c r="AQ851" s="25"/>
      <c r="AR851" s="25"/>
      <c r="AS851" s="25"/>
      <c r="AT851" s="25"/>
      <c r="AU851" s="25"/>
      <c r="AV851" s="25"/>
      <c r="AW851" s="25"/>
      <c r="AX851" s="25"/>
      <c r="AY851" s="25"/>
      <c r="AZ851" s="25"/>
      <c r="BA851" s="25"/>
      <c r="BB851" s="25"/>
      <c r="BC851" s="25"/>
      <c r="BD851" s="25"/>
      <c r="BE851" s="25"/>
      <c r="BF851" s="25"/>
      <c r="BG851" s="25"/>
      <c r="BH851" s="25"/>
      <c r="BI851" s="25"/>
      <c r="BJ851" s="25"/>
      <c r="BK851" s="25"/>
      <c r="BL851" s="25"/>
      <c r="BM851" s="25"/>
      <c r="BN851" s="25"/>
      <c r="BO851" s="25"/>
      <c r="BP851" s="25"/>
      <c r="BQ851" s="25"/>
      <c r="BR851" s="25"/>
      <c r="BS851" s="25"/>
      <c r="BT851" s="25"/>
      <c r="BU851" s="25"/>
      <c r="BV851" s="25"/>
      <c r="BW851" s="25"/>
      <c r="BX851" s="25"/>
      <c r="BY851" s="25"/>
      <c r="BZ851" s="25"/>
      <c r="CA851" s="25"/>
      <c r="CB851" s="25"/>
    </row>
    <row r="852" spans="1:80" ht="12.75" hidden="1" customHeight="1">
      <c r="A852" s="10">
        <f ca="1">IFERROR(__xludf.DUMMYFUNCTION("""COMPUTED_VALUE"""),2013)</f>
        <v>2013</v>
      </c>
      <c r="B852" s="50">
        <f ca="1">IFERROR(__xludf.DUMMYFUNCTION("""COMPUTED_VALUE"""),41934)</f>
        <v>41934</v>
      </c>
      <c r="C852" s="41">
        <f ca="1">IFERROR(__xludf.DUMMYFUNCTION("""COMPUTED_VALUE"""),41904)</f>
        <v>41904</v>
      </c>
      <c r="D852" s="42" t="str">
        <f ca="1">IFERROR(__xludf.DUMMYFUNCTION("""COMPUTED_VALUE"""),"Velvet Scoter")</f>
        <v>Velvet Scoter</v>
      </c>
      <c r="E852" s="53">
        <f ca="1">IFERROR(__xludf.DUMMYFUNCTION("""COMPUTED_VALUE"""),1)</f>
        <v>1</v>
      </c>
      <c r="F852" s="15"/>
      <c r="G852" s="44" t="str">
        <f ca="1">IFERROR(__xludf.DUMMYFUNCTION("""COMPUTED_VALUE"""),"Hoylake")</f>
        <v>Hoylake</v>
      </c>
      <c r="H852" s="12">
        <f ca="1">IFERROR(__xludf.DUMMYFUNCTION("""COMPUTED_VALUE"""),41342)</f>
        <v>41342</v>
      </c>
      <c r="I852" s="12"/>
      <c r="J852" s="14" t="str">
        <f ca="1">IFERROR(__xludf.DUMMYFUNCTION("""COMPUTED_VALUE"""),"Turner, JE")</f>
        <v>Turner, JE</v>
      </c>
      <c r="K852" s="15" t="str">
        <f ca="1">IFERROR(__xludf.DUMMYFUNCTION("""COMPUTED_VALUE"""),"Turner, JE")</f>
        <v>Turner, JE</v>
      </c>
      <c r="L852" s="17" t="str">
        <f ca="1">IFERROR(__xludf.DUMMYFUNCTION("""COMPUTED_VALUE"""),"closed")</f>
        <v>closed</v>
      </c>
      <c r="M852" s="17" t="str">
        <f ca="1">IFERROR(__xludf.DUMMYFUNCTION("""COMPUTED_VALUE"""),"1st U")</f>
        <v>1st U</v>
      </c>
      <c r="N852" s="15" t="str">
        <f ca="1">IFERROR(__xludf.DUMMYFUNCTION("""COMPUTED_VALUE"""),"accepted")</f>
        <v>accepted</v>
      </c>
      <c r="O852" s="18"/>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c r="BQ852" s="15"/>
      <c r="BR852" s="15"/>
      <c r="BS852" s="15"/>
      <c r="BT852" s="15"/>
      <c r="BU852" s="15"/>
      <c r="BV852" s="15"/>
      <c r="BW852" s="15"/>
      <c r="BX852" s="15"/>
      <c r="BY852" s="15"/>
      <c r="BZ852" s="15"/>
      <c r="CA852" s="15"/>
      <c r="CB852" s="15"/>
    </row>
    <row r="853" spans="1:80" ht="12.75" hidden="1" customHeight="1">
      <c r="A853" s="20">
        <f ca="1">IFERROR(__xludf.DUMMYFUNCTION("""COMPUTED_VALUE"""),2013)</f>
        <v>2013</v>
      </c>
      <c r="B853" s="45">
        <f ca="1">IFERROR(__xludf.DUMMYFUNCTION("""COMPUTED_VALUE"""),41934)</f>
        <v>41934</v>
      </c>
      <c r="C853" s="46">
        <f ca="1">IFERROR(__xludf.DUMMYFUNCTION("""COMPUTED_VALUE"""),41904)</f>
        <v>41904</v>
      </c>
      <c r="D853" s="47" t="str">
        <f ca="1">IFERROR(__xludf.DUMMYFUNCTION("""COMPUTED_VALUE"""),"Velvet Scoter")</f>
        <v>Velvet Scoter</v>
      </c>
      <c r="E853" s="52">
        <f ca="1">IFERROR(__xludf.DUMMYFUNCTION("""COMPUTED_VALUE"""),2)</f>
        <v>2</v>
      </c>
      <c r="F853" s="25"/>
      <c r="G853" s="48" t="str">
        <f ca="1">IFERROR(__xludf.DUMMYFUNCTION("""COMPUTED_VALUE"""),"Red Rocks, Hoylake")</f>
        <v>Red Rocks, Hoylake</v>
      </c>
      <c r="H853" s="22">
        <f ca="1">IFERROR(__xludf.DUMMYFUNCTION("""COMPUTED_VALUE"""),41347)</f>
        <v>41347</v>
      </c>
      <c r="I853" s="22"/>
      <c r="J853" s="24" t="str">
        <f ca="1">IFERROR(__xludf.DUMMYFUNCTION("""COMPUTED_VALUE"""),"Turner, JE")</f>
        <v>Turner, JE</v>
      </c>
      <c r="K853" s="25" t="str">
        <f ca="1">IFERROR(__xludf.DUMMYFUNCTION("""COMPUTED_VALUE"""),"Turner, JE")</f>
        <v>Turner, JE</v>
      </c>
      <c r="L853" s="27" t="str">
        <f ca="1">IFERROR(__xludf.DUMMYFUNCTION("""COMPUTED_VALUE"""),"closed")</f>
        <v>closed</v>
      </c>
      <c r="M853" s="27" t="str">
        <f ca="1">IFERROR(__xludf.DUMMYFUNCTION("""COMPUTED_VALUE"""),"1st U")</f>
        <v>1st U</v>
      </c>
      <c r="N853" s="25" t="str">
        <f ca="1">IFERROR(__xludf.DUMMYFUNCTION("""COMPUTED_VALUE"""),"accepted")</f>
        <v>accepted</v>
      </c>
      <c r="O853" s="28" t="str">
        <f ca="1">IFERROR(__xludf.DUMMYFUNCTION("""COMPUTED_VALUE"""),"*male and one presumed female")</f>
        <v>*male and one presumed female</v>
      </c>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c r="AQ853" s="25"/>
      <c r="AR853" s="25"/>
      <c r="AS853" s="25"/>
      <c r="AT853" s="25"/>
      <c r="AU853" s="25"/>
      <c r="AV853" s="25"/>
      <c r="AW853" s="25"/>
      <c r="AX853" s="25"/>
      <c r="AY853" s="25"/>
      <c r="AZ853" s="25"/>
      <c r="BA853" s="25"/>
      <c r="BB853" s="25"/>
      <c r="BC853" s="25"/>
      <c r="BD853" s="25"/>
      <c r="BE853" s="25"/>
      <c r="BF853" s="25"/>
      <c r="BG853" s="25"/>
      <c r="BH853" s="25"/>
      <c r="BI853" s="25"/>
      <c r="BJ853" s="25"/>
      <c r="BK853" s="25"/>
      <c r="BL853" s="25"/>
      <c r="BM853" s="25"/>
      <c r="BN853" s="25"/>
      <c r="BO853" s="25"/>
      <c r="BP853" s="25"/>
      <c r="BQ853" s="25"/>
      <c r="BR853" s="25"/>
      <c r="BS853" s="25"/>
      <c r="BT853" s="25"/>
      <c r="BU853" s="25"/>
      <c r="BV853" s="25"/>
      <c r="BW853" s="25"/>
      <c r="BX853" s="25"/>
      <c r="BY853" s="25"/>
      <c r="BZ853" s="25"/>
      <c r="CA853" s="25"/>
      <c r="CB853" s="25"/>
    </row>
    <row r="854" spans="1:80" ht="12.75" hidden="1" customHeight="1">
      <c r="A854" s="10">
        <f ca="1">IFERROR(__xludf.DUMMYFUNCTION("""COMPUTED_VALUE"""),2013)</f>
        <v>2013</v>
      </c>
      <c r="B854" s="50">
        <f ca="1">IFERROR(__xludf.DUMMYFUNCTION("""COMPUTED_VALUE"""),41934)</f>
        <v>41934</v>
      </c>
      <c r="C854" s="41">
        <f ca="1">IFERROR(__xludf.DUMMYFUNCTION("""COMPUTED_VALUE"""),41904)</f>
        <v>41904</v>
      </c>
      <c r="D854" s="42" t="str">
        <f ca="1">IFERROR(__xludf.DUMMYFUNCTION("""COMPUTED_VALUE"""),"Velvet Scoter")</f>
        <v>Velvet Scoter</v>
      </c>
      <c r="E854" s="53">
        <f ca="1">IFERROR(__xludf.DUMMYFUNCTION("""COMPUTED_VALUE"""),2)</f>
        <v>2</v>
      </c>
      <c r="F854" s="15"/>
      <c r="G854" s="44" t="str">
        <f ca="1">IFERROR(__xludf.DUMMYFUNCTION("""COMPUTED_VALUE"""),"Hoylake")</f>
        <v>Hoylake</v>
      </c>
      <c r="H854" s="12">
        <f ca="1">IFERROR(__xludf.DUMMYFUNCTION("""COMPUTED_VALUE"""),41535)</f>
        <v>41535</v>
      </c>
      <c r="I854" s="12"/>
      <c r="J854" s="14" t="str">
        <f ca="1">IFERROR(__xludf.DUMMYFUNCTION("""COMPUTED_VALUE"""),"Turner, JE")</f>
        <v>Turner, JE</v>
      </c>
      <c r="K854" s="15" t="str">
        <f ca="1">IFERROR(__xludf.DUMMYFUNCTION("""COMPUTED_VALUE"""),"Turner, JE")</f>
        <v>Turner, JE</v>
      </c>
      <c r="L854" s="17" t="str">
        <f ca="1">IFERROR(__xludf.DUMMYFUNCTION("""COMPUTED_VALUE"""),"closed")</f>
        <v>closed</v>
      </c>
      <c r="M854" s="17" t="str">
        <f ca="1">IFERROR(__xludf.DUMMYFUNCTION("""COMPUTED_VALUE"""),"1st U")</f>
        <v>1st U</v>
      </c>
      <c r="N854" s="15" t="str">
        <f ca="1">IFERROR(__xludf.DUMMYFUNCTION("""COMPUTED_VALUE"""),"accepted")</f>
        <v>accepted</v>
      </c>
      <c r="O854" s="18"/>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c r="BQ854" s="15"/>
      <c r="BR854" s="15"/>
      <c r="BS854" s="15"/>
      <c r="BT854" s="15"/>
      <c r="BU854" s="15"/>
      <c r="BV854" s="15"/>
      <c r="BW854" s="15"/>
      <c r="BX854" s="15"/>
      <c r="BY854" s="15"/>
      <c r="BZ854" s="15"/>
      <c r="CA854" s="15"/>
      <c r="CB854" s="15"/>
    </row>
    <row r="855" spans="1:80" ht="12.75" hidden="1" customHeight="1">
      <c r="A855" s="20">
        <f ca="1">IFERROR(__xludf.DUMMYFUNCTION("""COMPUTED_VALUE"""),2013)</f>
        <v>2013</v>
      </c>
      <c r="B855" s="45">
        <f ca="1">IFERROR(__xludf.DUMMYFUNCTION("""COMPUTED_VALUE"""),41948)</f>
        <v>41948</v>
      </c>
      <c r="C855" s="46"/>
      <c r="D855" s="47" t="str">
        <f ca="1">IFERROR(__xludf.DUMMYFUNCTION("""COMPUTED_VALUE"""),"Velvet Scoter")</f>
        <v>Velvet Scoter</v>
      </c>
      <c r="E855" s="52">
        <f ca="1">IFERROR(__xludf.DUMMYFUNCTION("""COMPUTED_VALUE"""),2)</f>
        <v>2</v>
      </c>
      <c r="F855" s="25"/>
      <c r="G855" s="48" t="str">
        <f ca="1">IFERROR(__xludf.DUMMYFUNCTION("""COMPUTED_VALUE"""),"Hilbre")</f>
        <v>Hilbre</v>
      </c>
      <c r="H855" s="22">
        <f ca="1">IFERROR(__xludf.DUMMYFUNCTION("""COMPUTED_VALUE"""),41594)</f>
        <v>41594</v>
      </c>
      <c r="I855" s="22"/>
      <c r="J855" s="67" t="str">
        <f ca="1">IFERROR(__xludf.DUMMYFUNCTION("""COMPUTED_VALUE"""),"Hilbre Bird Observatory")</f>
        <v>Hilbre Bird Observatory</v>
      </c>
      <c r="K855" s="25"/>
      <c r="L855" s="27" t="str">
        <f ca="1">IFERROR(__xludf.DUMMYFUNCTION("""COMPUTED_VALUE"""),"closed")</f>
        <v>closed</v>
      </c>
      <c r="M855" s="27" t="str">
        <f ca="1">IFERROR(__xludf.DUMMYFUNCTION("""COMPUTED_VALUE"""),"proxy")</f>
        <v>proxy</v>
      </c>
      <c r="N855" s="25" t="str">
        <f ca="1">IFERROR(__xludf.DUMMYFUNCTION("""COMPUTED_VALUE"""),"accepted")</f>
        <v>accepted</v>
      </c>
      <c r="O855" s="28"/>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c r="AQ855" s="25"/>
      <c r="AR855" s="25"/>
      <c r="AS855" s="25"/>
      <c r="AT855" s="25"/>
      <c r="AU855" s="25"/>
      <c r="AV855" s="25"/>
      <c r="AW855" s="25"/>
      <c r="AX855" s="25"/>
      <c r="AY855" s="25"/>
      <c r="AZ855" s="25"/>
      <c r="BA855" s="25"/>
      <c r="BB855" s="25"/>
      <c r="BC855" s="25"/>
      <c r="BD855" s="25"/>
      <c r="BE855" s="25"/>
      <c r="BF855" s="25"/>
      <c r="BG855" s="25"/>
      <c r="BH855" s="25"/>
      <c r="BI855" s="25"/>
      <c r="BJ855" s="25"/>
      <c r="BK855" s="25"/>
      <c r="BL855" s="25"/>
      <c r="BM855" s="25"/>
      <c r="BN855" s="25"/>
      <c r="BO855" s="25"/>
      <c r="BP855" s="25"/>
      <c r="BQ855" s="25"/>
      <c r="BR855" s="25"/>
      <c r="BS855" s="25"/>
      <c r="BT855" s="25"/>
      <c r="BU855" s="25"/>
      <c r="BV855" s="25"/>
      <c r="BW855" s="25"/>
      <c r="BX855" s="25"/>
      <c r="BY855" s="25"/>
      <c r="BZ855" s="25"/>
      <c r="CA855" s="25"/>
      <c r="CB855" s="25"/>
    </row>
    <row r="856" spans="1:80" ht="12.75" hidden="1" customHeight="1">
      <c r="A856" s="10">
        <f ca="1">IFERROR(__xludf.DUMMYFUNCTION("""COMPUTED_VALUE"""),2013)</f>
        <v>2013</v>
      </c>
      <c r="B856" s="50">
        <f ca="1">IFERROR(__xludf.DUMMYFUNCTION("""COMPUTED_VALUE"""),41948)</f>
        <v>41948</v>
      </c>
      <c r="C856" s="41"/>
      <c r="D856" s="42" t="str">
        <f ca="1">IFERROR(__xludf.DUMMYFUNCTION("""COMPUTED_VALUE"""),"Velvet Scoter")</f>
        <v>Velvet Scoter</v>
      </c>
      <c r="E856" s="53">
        <f ca="1">IFERROR(__xludf.DUMMYFUNCTION("""COMPUTED_VALUE"""),2)</f>
        <v>2</v>
      </c>
      <c r="F856" s="15"/>
      <c r="G856" s="44" t="str">
        <f ca="1">IFERROR(__xludf.DUMMYFUNCTION("""COMPUTED_VALUE"""),"Hilbre")</f>
        <v>Hilbre</v>
      </c>
      <c r="H856" s="12">
        <f ca="1">IFERROR(__xludf.DUMMYFUNCTION("""COMPUTED_VALUE"""),41595)</f>
        <v>41595</v>
      </c>
      <c r="I856" s="13"/>
      <c r="J856" s="68" t="str">
        <f ca="1">IFERROR(__xludf.DUMMYFUNCTION("""COMPUTED_VALUE"""),"Hilbre Bird Observatory")</f>
        <v>Hilbre Bird Observatory</v>
      </c>
      <c r="K856" s="15"/>
      <c r="L856" s="17" t="str">
        <f ca="1">IFERROR(__xludf.DUMMYFUNCTION("""COMPUTED_VALUE"""),"closed")</f>
        <v>closed</v>
      </c>
      <c r="M856" s="17" t="str">
        <f ca="1">IFERROR(__xludf.DUMMYFUNCTION("""COMPUTED_VALUE"""),"proxy")</f>
        <v>proxy</v>
      </c>
      <c r="N856" s="15" t="str">
        <f ca="1">IFERROR(__xludf.DUMMYFUNCTION("""COMPUTED_VALUE"""),"accepted")</f>
        <v>accepted</v>
      </c>
      <c r="O856" s="18"/>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c r="BQ856" s="15"/>
      <c r="BR856" s="15"/>
      <c r="BS856" s="15"/>
      <c r="BT856" s="15"/>
      <c r="BU856" s="15"/>
      <c r="BV856" s="15"/>
      <c r="BW856" s="15"/>
      <c r="BX856" s="15"/>
      <c r="BY856" s="15"/>
      <c r="BZ856" s="15"/>
      <c r="CA856" s="15"/>
      <c r="CB856" s="15"/>
    </row>
    <row r="857" spans="1:80" ht="12.75" hidden="1" customHeight="1">
      <c r="A857" s="20">
        <f ca="1">IFERROR(__xludf.DUMMYFUNCTION("""COMPUTED_VALUE"""),2013)</f>
        <v>2013</v>
      </c>
      <c r="B857" s="45">
        <f ca="1">IFERROR(__xludf.DUMMYFUNCTION("""COMPUTED_VALUE"""),41816)</f>
        <v>41816</v>
      </c>
      <c r="C857" s="46">
        <f ca="1">IFERROR(__xludf.DUMMYFUNCTION("""COMPUTED_VALUE"""),41816)</f>
        <v>41816</v>
      </c>
      <c r="D857" s="47" t="str">
        <f ca="1">IFERROR(__xludf.DUMMYFUNCTION("""COMPUTED_VALUE"""),"American Wigeon")</f>
        <v>American Wigeon</v>
      </c>
      <c r="E857" s="52">
        <f ca="1">IFERROR(__xludf.DUMMYFUNCTION("""COMPUTED_VALUE"""),1)</f>
        <v>1</v>
      </c>
      <c r="F857" s="25"/>
      <c r="G857" s="48" t="str">
        <f ca="1">IFERROR(__xludf.DUMMYFUNCTION("""COMPUTED_VALUE"""),"Denhall Quay")</f>
        <v>Denhall Quay</v>
      </c>
      <c r="H857" s="22">
        <f ca="1">IFERROR(__xludf.DUMMYFUNCTION("""COMPUTED_VALUE"""),41371)</f>
        <v>41371</v>
      </c>
      <c r="I857" s="22"/>
      <c r="J857" s="24" t="str">
        <f ca="1">IFERROR(__xludf.DUMMYFUNCTION("""COMPUTED_VALUE"""),"Wells, CE")</f>
        <v>Wells, CE</v>
      </c>
      <c r="K857" s="25" t="str">
        <f ca="1">IFERROR(__xludf.DUMMYFUNCTION("""COMPUTED_VALUE"""),"Wells, C")</f>
        <v>Wells, C</v>
      </c>
      <c r="L857" s="27" t="str">
        <f ca="1">IFERROR(__xludf.DUMMYFUNCTION("""COMPUTED_VALUE"""),"closed")</f>
        <v>closed</v>
      </c>
      <c r="M857" s="27" t="str">
        <f ca="1">IFERROR(__xludf.DUMMYFUNCTION("""COMPUTED_VALUE"""),"1st U")</f>
        <v>1st U</v>
      </c>
      <c r="N857" s="25" t="str">
        <f ca="1">IFERROR(__xludf.DUMMYFUNCTION("""COMPUTED_VALUE"""),"accepted")</f>
        <v>accepted</v>
      </c>
      <c r="O857" s="28"/>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c r="AQ857" s="25"/>
      <c r="AR857" s="25"/>
      <c r="AS857" s="25"/>
      <c r="AT857" s="25"/>
      <c r="AU857" s="25"/>
      <c r="AV857" s="25"/>
      <c r="AW857" s="25"/>
      <c r="AX857" s="25"/>
      <c r="AY857" s="25"/>
      <c r="AZ857" s="25"/>
      <c r="BA857" s="25"/>
      <c r="BB857" s="25"/>
      <c r="BC857" s="25"/>
      <c r="BD857" s="25"/>
      <c r="BE857" s="25"/>
      <c r="BF857" s="25"/>
      <c r="BG857" s="25"/>
      <c r="BH857" s="25"/>
      <c r="BI857" s="25"/>
      <c r="BJ857" s="25"/>
      <c r="BK857" s="25"/>
      <c r="BL857" s="25"/>
      <c r="BM857" s="25"/>
      <c r="BN857" s="25"/>
      <c r="BO857" s="25"/>
      <c r="BP857" s="25"/>
      <c r="BQ857" s="25"/>
      <c r="BR857" s="25"/>
      <c r="BS857" s="25"/>
      <c r="BT857" s="25"/>
      <c r="BU857" s="25"/>
      <c r="BV857" s="25"/>
      <c r="BW857" s="25"/>
      <c r="BX857" s="25"/>
      <c r="BY857" s="25"/>
      <c r="BZ857" s="25"/>
      <c r="CA857" s="25"/>
      <c r="CB857" s="25"/>
    </row>
    <row r="858" spans="1:80" ht="12.75" hidden="1" customHeight="1">
      <c r="A858" s="10">
        <f ca="1">IFERROR(__xludf.DUMMYFUNCTION("""COMPUTED_VALUE"""),2013)</f>
        <v>2013</v>
      </c>
      <c r="B858" s="50">
        <f ca="1">IFERROR(__xludf.DUMMYFUNCTION("""COMPUTED_VALUE"""),41907)</f>
        <v>41907</v>
      </c>
      <c r="C858" s="41">
        <f ca="1">IFERROR(__xludf.DUMMYFUNCTION("""COMPUTED_VALUE"""),41902)</f>
        <v>41902</v>
      </c>
      <c r="D858" s="42" t="str">
        <f ca="1">IFERROR(__xludf.DUMMYFUNCTION("""COMPUTED_VALUE"""),"Green-winged Teal")</f>
        <v>Green-winged Teal</v>
      </c>
      <c r="E858" s="53">
        <f ca="1">IFERROR(__xludf.DUMMYFUNCTION("""COMPUTED_VALUE"""),1)</f>
        <v>1</v>
      </c>
      <c r="F858" s="15" t="str">
        <f ca="1">IFERROR(__xludf.DUMMYFUNCTION("""COMPUTED_VALUE"""),"m")</f>
        <v>m</v>
      </c>
      <c r="G858" s="44" t="str">
        <f ca="1">IFERROR(__xludf.DUMMYFUNCTION("""COMPUTED_VALUE"""),"Aldford (private site) Milton green")</f>
        <v>Aldford (private site) Milton green</v>
      </c>
      <c r="H858" s="12">
        <f ca="1">IFERROR(__xludf.DUMMYFUNCTION("""COMPUTED_VALUE"""),41605)</f>
        <v>41605</v>
      </c>
      <c r="I858" s="12">
        <f ca="1">IFERROR(__xludf.DUMMYFUNCTION("""COMPUTED_VALUE"""),41628)</f>
        <v>41628</v>
      </c>
      <c r="J858" s="14"/>
      <c r="K858" s="15"/>
      <c r="L858" s="17" t="str">
        <f ca="1">IFERROR(__xludf.DUMMYFUNCTION("""COMPUTED_VALUE"""),"closed")</f>
        <v>closed</v>
      </c>
      <c r="M858" s="17"/>
      <c r="N858" s="15" t="str">
        <f ca="1">IFERROR(__xludf.DUMMYFUNCTION("""COMPUTED_VALUE"""),"accepted")</f>
        <v>accepted</v>
      </c>
      <c r="O858" s="18"/>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c r="BQ858" s="15"/>
      <c r="BR858" s="15"/>
      <c r="BS858" s="15"/>
      <c r="BT858" s="15"/>
      <c r="BU858" s="15"/>
      <c r="BV858" s="15"/>
      <c r="BW858" s="15"/>
      <c r="BX858" s="15"/>
      <c r="BY858" s="15"/>
      <c r="BZ858" s="15"/>
      <c r="CA858" s="15"/>
      <c r="CB858" s="15"/>
    </row>
    <row r="859" spans="1:80" ht="12.75" hidden="1" customHeight="1">
      <c r="A859" s="20">
        <f ca="1">IFERROR(__xludf.DUMMYFUNCTION("""COMPUTED_VALUE"""),2013)</f>
        <v>2013</v>
      </c>
      <c r="B859" s="45">
        <f ca="1">IFERROR(__xludf.DUMMYFUNCTION("""COMPUTED_VALUE"""),41510)</f>
        <v>41510</v>
      </c>
      <c r="C859" s="46"/>
      <c r="D859" s="47" t="str">
        <f ca="1">IFERROR(__xludf.DUMMYFUNCTION("""COMPUTED_VALUE"""),"Red-crested Pochard")</f>
        <v>Red-crested Pochard</v>
      </c>
      <c r="E859" s="52">
        <f ca="1">IFERROR(__xludf.DUMMYFUNCTION("""COMPUTED_VALUE"""),1)</f>
        <v>1</v>
      </c>
      <c r="F859" s="25" t="str">
        <f ca="1">IFERROR(__xludf.DUMMYFUNCTION("""COMPUTED_VALUE"""),"male in eclipse")</f>
        <v>male in eclipse</v>
      </c>
      <c r="G859" s="48" t="str">
        <f ca="1">IFERROR(__xludf.DUMMYFUNCTION("""COMPUTED_VALUE"""),"No. 6 Tank, Frodsham Marsh")</f>
        <v>No. 6 Tank, Frodsham Marsh</v>
      </c>
      <c r="H859" s="22">
        <f ca="1">IFERROR(__xludf.DUMMYFUNCTION("""COMPUTED_VALUE"""),41550)</f>
        <v>41550</v>
      </c>
      <c r="I859" s="22">
        <f ca="1">IFERROR(__xludf.DUMMYFUNCTION("""COMPUTED_VALUE"""),41552)</f>
        <v>41552</v>
      </c>
      <c r="J859" s="24" t="str">
        <f ca="1">IFERROR(__xludf.DUMMYFUNCTION("""COMPUTED_VALUE"""),"F Duff")</f>
        <v>F Duff</v>
      </c>
      <c r="K859" s="25" t="str">
        <f ca="1">IFERROR(__xludf.DUMMYFUNCTION("""COMPUTED_VALUE"""),"F Duff")</f>
        <v>F Duff</v>
      </c>
      <c r="L859" s="27" t="str">
        <f ca="1">IFERROR(__xludf.DUMMYFUNCTION("""COMPUTED_VALUE"""),"closed")</f>
        <v>closed</v>
      </c>
      <c r="M859" s="27"/>
      <c r="N859" s="25" t="str">
        <f ca="1">IFERROR(__xludf.DUMMYFUNCTION("""COMPUTED_VALUE"""),"accepted")</f>
        <v>accepted</v>
      </c>
      <c r="O859" s="28"/>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c r="AQ859" s="25"/>
      <c r="AR859" s="25"/>
      <c r="AS859" s="25"/>
      <c r="AT859" s="25"/>
      <c r="AU859" s="25"/>
      <c r="AV859" s="25"/>
      <c r="AW859" s="25"/>
      <c r="AX859" s="25"/>
      <c r="AY859" s="25"/>
      <c r="AZ859" s="25"/>
      <c r="BA859" s="25"/>
      <c r="BB859" s="25"/>
      <c r="BC859" s="25"/>
      <c r="BD859" s="25"/>
      <c r="BE859" s="25"/>
      <c r="BF859" s="25"/>
      <c r="BG859" s="25"/>
      <c r="BH859" s="25"/>
      <c r="BI859" s="25"/>
      <c r="BJ859" s="25"/>
      <c r="BK859" s="25"/>
      <c r="BL859" s="25"/>
      <c r="BM859" s="25"/>
      <c r="BN859" s="25"/>
      <c r="BO859" s="25"/>
      <c r="BP859" s="25"/>
      <c r="BQ859" s="25"/>
      <c r="BR859" s="25"/>
      <c r="BS859" s="25"/>
      <c r="BT859" s="25"/>
      <c r="BU859" s="25"/>
      <c r="BV859" s="25"/>
      <c r="BW859" s="25"/>
      <c r="BX859" s="25"/>
      <c r="BY859" s="25"/>
      <c r="BZ859" s="25"/>
      <c r="CA859" s="25"/>
      <c r="CB859" s="25"/>
    </row>
    <row r="860" spans="1:80" ht="12.75" hidden="1" customHeight="1">
      <c r="A860" s="10">
        <f ca="1">IFERROR(__xludf.DUMMYFUNCTION("""COMPUTED_VALUE"""),2013)</f>
        <v>2013</v>
      </c>
      <c r="B860" s="50">
        <f ca="1">IFERROR(__xludf.DUMMYFUNCTION("""COMPUTED_VALUE"""),41334)</f>
        <v>41334</v>
      </c>
      <c r="C860" s="41">
        <f ca="1">IFERROR(__xludf.DUMMYFUNCTION("""COMPUTED_VALUE"""),41344)</f>
        <v>41344</v>
      </c>
      <c r="D860" s="42" t="str">
        <f ca="1">IFERROR(__xludf.DUMMYFUNCTION("""COMPUTED_VALUE"""),"Ring-necked Duck")</f>
        <v>Ring-necked Duck</v>
      </c>
      <c r="E860" s="53">
        <f ca="1">IFERROR(__xludf.DUMMYFUNCTION("""COMPUTED_VALUE"""),1)</f>
        <v>1</v>
      </c>
      <c r="F860" s="15" t="str">
        <f ca="1">IFERROR(__xludf.DUMMYFUNCTION("""COMPUTED_VALUE"""),"male")</f>
        <v>male</v>
      </c>
      <c r="G860" s="44" t="str">
        <f ca="1">IFERROR(__xludf.DUMMYFUNCTION("""COMPUTED_VALUE"""),"Frodsham No 6 Tank")</f>
        <v>Frodsham No 6 Tank</v>
      </c>
      <c r="H860" s="12">
        <f ca="1">IFERROR(__xludf.DUMMYFUNCTION("""COMPUTED_VALUE"""),41429)</f>
        <v>41429</v>
      </c>
      <c r="I860" s="12">
        <f ca="1">IFERROR(__xludf.DUMMYFUNCTION("""COMPUTED_VALUE"""),41065)</f>
        <v>41065</v>
      </c>
      <c r="J860" s="14" t="str">
        <f ca="1">IFERROR(__xludf.DUMMYFUNCTION("""COMPUTED_VALUE"""),"Duff, F")</f>
        <v>Duff, F</v>
      </c>
      <c r="K860" s="15" t="str">
        <f ca="1">IFERROR(__xludf.DUMMYFUNCTION("""COMPUTED_VALUE"""),"W.S.Morton")</f>
        <v>W.S.Morton</v>
      </c>
      <c r="L860" s="17" t="str">
        <f ca="1">IFERROR(__xludf.DUMMYFUNCTION("""COMPUTED_VALUE"""),"closed")</f>
        <v>closed</v>
      </c>
      <c r="M860" s="17" t="str">
        <f ca="1">IFERROR(__xludf.DUMMYFUNCTION("""COMPUTED_VALUE"""),"1st U")</f>
        <v>1st U</v>
      </c>
      <c r="N860" s="15" t="str">
        <f ca="1">IFERROR(__xludf.DUMMYFUNCTION("""COMPUTED_VALUE"""),"accepted")</f>
        <v>accepted</v>
      </c>
      <c r="O860" s="18"/>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c r="BQ860" s="15"/>
      <c r="BR860" s="15"/>
      <c r="BS860" s="15"/>
      <c r="BT860" s="15"/>
      <c r="BU860" s="15"/>
      <c r="BV860" s="15"/>
      <c r="BW860" s="15"/>
      <c r="BX860" s="15"/>
      <c r="BY860" s="15"/>
      <c r="BZ860" s="15"/>
      <c r="CA860" s="15"/>
      <c r="CB860" s="15"/>
    </row>
    <row r="861" spans="1:80" ht="12.75" hidden="1" customHeight="1">
      <c r="A861" s="20">
        <f ca="1">IFERROR(__xludf.DUMMYFUNCTION("""COMPUTED_VALUE"""),2013)</f>
        <v>2013</v>
      </c>
      <c r="B861" s="45">
        <f ca="1">IFERROR(__xludf.DUMMYFUNCTION("""COMPUTED_VALUE"""),41334)</f>
        <v>41334</v>
      </c>
      <c r="C861" s="46">
        <f ca="1">IFERROR(__xludf.DUMMYFUNCTION("""COMPUTED_VALUE"""),41344)</f>
        <v>41344</v>
      </c>
      <c r="D861" s="47" t="str">
        <f ca="1">IFERROR(__xludf.DUMMYFUNCTION("""COMPUTED_VALUE"""),"Ring-necked Duck")</f>
        <v>Ring-necked Duck</v>
      </c>
      <c r="E861" s="52">
        <f ca="1">IFERROR(__xludf.DUMMYFUNCTION("""COMPUTED_VALUE"""),1)</f>
        <v>1</v>
      </c>
      <c r="F861" s="25" t="str">
        <f ca="1">IFERROR(__xludf.DUMMYFUNCTION("""COMPUTED_VALUE"""),"male")</f>
        <v>male</v>
      </c>
      <c r="G861" s="48" t="str">
        <f ca="1">IFERROR(__xludf.DUMMYFUNCTION("""COMPUTED_VALUE"""),"Frodsham No 6 Tank")</f>
        <v>Frodsham No 6 Tank</v>
      </c>
      <c r="H861" s="22">
        <f ca="1">IFERROR(__xludf.DUMMYFUNCTION("""COMPUTED_VALUE"""),41430)</f>
        <v>41430</v>
      </c>
      <c r="I861" s="22">
        <f ca="1">IFERROR(__xludf.DUMMYFUNCTION("""COMPUTED_VALUE"""),41066)</f>
        <v>41066</v>
      </c>
      <c r="J861" s="24" t="str">
        <f ca="1">IFERROR(__xludf.DUMMYFUNCTION("""COMPUTED_VALUE"""),"Turner, JE")</f>
        <v>Turner, JE</v>
      </c>
      <c r="K861" s="25" t="str">
        <f ca="1">IFERROR(__xludf.DUMMYFUNCTION("""COMPUTED_VALUE"""),"Turner, JE")</f>
        <v>Turner, JE</v>
      </c>
      <c r="L861" s="27" t="str">
        <f ca="1">IFERROR(__xludf.DUMMYFUNCTION("""COMPUTED_VALUE"""),"closed")</f>
        <v>closed</v>
      </c>
      <c r="M861" s="27" t="str">
        <f ca="1">IFERROR(__xludf.DUMMYFUNCTION("""COMPUTED_VALUE"""),"1st U")</f>
        <v>1st U</v>
      </c>
      <c r="N861" s="25" t="str">
        <f ca="1">IFERROR(__xludf.DUMMYFUNCTION("""COMPUTED_VALUE"""),"accepted")</f>
        <v>accepted</v>
      </c>
      <c r="O861" s="28" t="str">
        <f ca="1">IFERROR(__xludf.DUMMYFUNCTION("""COMPUTED_VALUE"""),"online photo")</f>
        <v>online photo</v>
      </c>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c r="AQ861" s="25"/>
      <c r="AR861" s="25"/>
      <c r="AS861" s="25"/>
      <c r="AT861" s="25"/>
      <c r="AU861" s="25"/>
      <c r="AV861" s="25"/>
      <c r="AW861" s="25"/>
      <c r="AX861" s="25"/>
      <c r="AY861" s="25"/>
      <c r="AZ861" s="25"/>
      <c r="BA861" s="25"/>
      <c r="BB861" s="25"/>
      <c r="BC861" s="25"/>
      <c r="BD861" s="25"/>
      <c r="BE861" s="25"/>
      <c r="BF861" s="25"/>
      <c r="BG861" s="25"/>
      <c r="BH861" s="25"/>
      <c r="BI861" s="25"/>
      <c r="BJ861" s="25"/>
      <c r="BK861" s="25"/>
      <c r="BL861" s="25"/>
      <c r="BM861" s="25"/>
      <c r="BN861" s="25"/>
      <c r="BO861" s="25"/>
      <c r="BP861" s="25"/>
      <c r="BQ861" s="25"/>
      <c r="BR861" s="25"/>
      <c r="BS861" s="25"/>
      <c r="BT861" s="25"/>
      <c r="BU861" s="25"/>
      <c r="BV861" s="25"/>
      <c r="BW861" s="25"/>
      <c r="BX861" s="25"/>
      <c r="BY861" s="25"/>
      <c r="BZ861" s="25"/>
      <c r="CA861" s="25"/>
      <c r="CB861" s="25"/>
    </row>
    <row r="862" spans="1:80" ht="12.75" hidden="1" customHeight="1">
      <c r="A862" s="10">
        <f ca="1">IFERROR(__xludf.DUMMYFUNCTION("""COMPUTED_VALUE"""),2013)</f>
        <v>2013</v>
      </c>
      <c r="B862" s="50">
        <f ca="1">IFERROR(__xludf.DUMMYFUNCTION("""COMPUTED_VALUE"""),41881)</f>
        <v>41881</v>
      </c>
      <c r="C862" s="41">
        <f ca="1">IFERROR(__xludf.DUMMYFUNCTION("""COMPUTED_VALUE"""),41810)</f>
        <v>41810</v>
      </c>
      <c r="D862" s="42" t="str">
        <f ca="1">IFERROR(__xludf.DUMMYFUNCTION("""COMPUTED_VALUE"""),"Quail")</f>
        <v>Quail</v>
      </c>
      <c r="E862" s="53">
        <f ca="1">IFERROR(__xludf.DUMMYFUNCTION("""COMPUTED_VALUE"""),1)</f>
        <v>1</v>
      </c>
      <c r="F862" s="15"/>
      <c r="G862" s="44" t="str">
        <f ca="1">IFERROR(__xludf.DUMMYFUNCTION("""COMPUTED_VALUE"""),"Adlington Driving Range")</f>
        <v>Adlington Driving Range</v>
      </c>
      <c r="H862" s="12">
        <f ca="1">IFERROR(__xludf.DUMMYFUNCTION("""COMPUTED_VALUE"""),41363)</f>
        <v>41363</v>
      </c>
      <c r="I862" s="13"/>
      <c r="J862" s="14"/>
      <c r="K862" s="15"/>
      <c r="L862" s="17" t="str">
        <f ca="1">IFERROR(__xludf.DUMMYFUNCTION("""COMPUTED_VALUE"""),"closed")</f>
        <v>closed</v>
      </c>
      <c r="M862" s="17" t="str">
        <f ca="1">IFERROR(__xludf.DUMMYFUNCTION("""COMPUTED_VALUE"""),"2nd U")</f>
        <v>2nd U</v>
      </c>
      <c r="N862" s="15" t="str">
        <f ca="1">IFERROR(__xludf.DUMMYFUNCTION("""COMPUTED_VALUE"""),"unproven")</f>
        <v>unproven</v>
      </c>
      <c r="O862" s="18" t="str">
        <f ca="1">IFERROR(__xludf.DUMMYFUNCTION("""COMPUTED_VALUE"""),"juv perdix thought more likely. Very early date wise")</f>
        <v>juv perdix thought more likely. Very early date wise</v>
      </c>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c r="BQ862" s="15"/>
      <c r="BR862" s="15"/>
      <c r="BS862" s="15"/>
      <c r="BT862" s="15"/>
      <c r="BU862" s="15"/>
      <c r="BV862" s="15"/>
      <c r="BW862" s="15"/>
      <c r="BX862" s="15"/>
      <c r="BY862" s="15"/>
      <c r="BZ862" s="15"/>
      <c r="CA862" s="15"/>
      <c r="CB862" s="15"/>
    </row>
    <row r="863" spans="1:80" ht="12.75" hidden="1" customHeight="1">
      <c r="A863" s="20">
        <f ca="1">IFERROR(__xludf.DUMMYFUNCTION("""COMPUTED_VALUE"""),2013)</f>
        <v>2013</v>
      </c>
      <c r="B863" s="45">
        <f ca="1">IFERROR(__xludf.DUMMYFUNCTION("""COMPUTED_VALUE"""),41949)</f>
        <v>41949</v>
      </c>
      <c r="C863" s="46">
        <f ca="1">IFERROR(__xludf.DUMMYFUNCTION("""COMPUTED_VALUE"""),41879)</f>
        <v>41879</v>
      </c>
      <c r="D863" s="47" t="str">
        <f ca="1">IFERROR(__xludf.DUMMYFUNCTION("""COMPUTED_VALUE"""),"Common Redpoll")</f>
        <v>Common Redpoll</v>
      </c>
      <c r="E863" s="52">
        <f ca="1">IFERROR(__xludf.DUMMYFUNCTION("""COMPUTED_VALUE"""),1)</f>
        <v>1</v>
      </c>
      <c r="F863" s="25" t="str">
        <f ca="1">IFERROR(__xludf.DUMMYFUNCTION("""COMPUTED_VALUE"""),"1st W")</f>
        <v>1st W</v>
      </c>
      <c r="G863" s="48" t="str">
        <f ca="1">IFERROR(__xludf.DUMMYFUNCTION("""COMPUTED_VALUE"""),"Congleton")</f>
        <v>Congleton</v>
      </c>
      <c r="H863" s="22">
        <f ca="1">IFERROR(__xludf.DUMMYFUNCTION("""COMPUTED_VALUE"""),41296)</f>
        <v>41296</v>
      </c>
      <c r="I863" s="22"/>
      <c r="J863" s="24" t="str">
        <f ca="1">IFERROR(__xludf.DUMMYFUNCTION("""COMPUTED_VALUE"""),"Capps, K")</f>
        <v>Capps, K</v>
      </c>
      <c r="K863" s="25" t="str">
        <f ca="1">IFERROR(__xludf.DUMMYFUNCTION("""COMPUTED_VALUE"""),"Capps, K")</f>
        <v>Capps, K</v>
      </c>
      <c r="L863" s="27" t="str">
        <f ca="1">IFERROR(__xludf.DUMMYFUNCTION("""COMPUTED_VALUE"""),"closed")</f>
        <v>closed</v>
      </c>
      <c r="M863" s="27" t="str">
        <f ca="1">IFERROR(__xludf.DUMMYFUNCTION("""COMPUTED_VALUE"""),"1st U")</f>
        <v>1st U</v>
      </c>
      <c r="N863" s="25" t="str">
        <f ca="1">IFERROR(__xludf.DUMMYFUNCTION("""COMPUTED_VALUE"""),"Accepted")</f>
        <v>Accepted</v>
      </c>
      <c r="O863" s="28"/>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c r="AQ863" s="25"/>
      <c r="AR863" s="25"/>
      <c r="AS863" s="25"/>
      <c r="AT863" s="25"/>
      <c r="AU863" s="25"/>
      <c r="AV863" s="25"/>
      <c r="AW863" s="25"/>
      <c r="AX863" s="25"/>
      <c r="AY863" s="25"/>
      <c r="AZ863" s="25"/>
      <c r="BA863" s="25"/>
      <c r="BB863" s="25"/>
      <c r="BC863" s="25"/>
      <c r="BD863" s="25"/>
      <c r="BE863" s="25"/>
      <c r="BF863" s="25"/>
      <c r="BG863" s="25"/>
      <c r="BH863" s="25"/>
      <c r="BI863" s="25"/>
      <c r="BJ863" s="25"/>
      <c r="BK863" s="25"/>
      <c r="BL863" s="25"/>
      <c r="BM863" s="25"/>
      <c r="BN863" s="25"/>
      <c r="BO863" s="25"/>
      <c r="BP863" s="25"/>
      <c r="BQ863" s="25"/>
      <c r="BR863" s="25"/>
      <c r="BS863" s="25"/>
      <c r="BT863" s="25"/>
      <c r="BU863" s="25"/>
      <c r="BV863" s="25"/>
      <c r="BW863" s="25"/>
      <c r="BX863" s="25"/>
      <c r="BY863" s="25"/>
      <c r="BZ863" s="25"/>
      <c r="CA863" s="25"/>
      <c r="CB863" s="25"/>
    </row>
    <row r="864" spans="1:80" ht="12.75" hidden="1" customHeight="1">
      <c r="A864" s="10">
        <f ca="1">IFERROR(__xludf.DUMMYFUNCTION("""COMPUTED_VALUE"""),2013)</f>
        <v>2013</v>
      </c>
      <c r="B864" s="50">
        <f ca="1">IFERROR(__xludf.DUMMYFUNCTION("""COMPUTED_VALUE"""),41880)</f>
        <v>41880</v>
      </c>
      <c r="C864" s="41">
        <f ca="1">IFERROR(__xludf.DUMMYFUNCTION("""COMPUTED_VALUE"""),41814)</f>
        <v>41814</v>
      </c>
      <c r="D864" s="42" t="str">
        <f ca="1">IFERROR(__xludf.DUMMYFUNCTION("""COMPUTED_VALUE"""),"Common Redpoll")</f>
        <v>Common Redpoll</v>
      </c>
      <c r="E864" s="53">
        <f ca="1">IFERROR(__xludf.DUMMYFUNCTION("""COMPUTED_VALUE"""),1)</f>
        <v>1</v>
      </c>
      <c r="F864" s="15" t="str">
        <f ca="1">IFERROR(__xludf.DUMMYFUNCTION("""COMPUTED_VALUE"""),"m")</f>
        <v>m</v>
      </c>
      <c r="G864" s="44" t="str">
        <f ca="1">IFERROR(__xludf.DUMMYFUNCTION("""COMPUTED_VALUE"""),"Hilbre")</f>
        <v>Hilbre</v>
      </c>
      <c r="H864" s="12">
        <f ca="1">IFERROR(__xludf.DUMMYFUNCTION("""COMPUTED_VALUE"""),41359)</f>
        <v>41359</v>
      </c>
      <c r="I864" s="12"/>
      <c r="J864" s="14" t="str">
        <f ca="1">IFERROR(__xludf.DUMMYFUNCTION("""COMPUTED_VALUE"""),"Hilbre Bird Observatory")</f>
        <v>Hilbre Bird Observatory</v>
      </c>
      <c r="K864" s="15" t="str">
        <f ca="1">IFERROR(__xludf.DUMMYFUNCTION("""COMPUTED_VALUE"""),"HiBO")</f>
        <v>HiBO</v>
      </c>
      <c r="L864" s="17" t="str">
        <f ca="1">IFERROR(__xludf.DUMMYFUNCTION("""COMPUTED_VALUE"""),"closed")</f>
        <v>closed</v>
      </c>
      <c r="M864" s="17" t="str">
        <f ca="1">IFERROR(__xludf.DUMMYFUNCTION("""COMPUTED_VALUE"""),"1st U")</f>
        <v>1st U</v>
      </c>
      <c r="N864" s="15" t="str">
        <f ca="1">IFERROR(__xludf.DUMMYFUNCTION("""COMPUTED_VALUE"""),"accepted")</f>
        <v>accepted</v>
      </c>
      <c r="O864" s="18"/>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c r="BW864" s="15"/>
      <c r="BX864" s="15"/>
      <c r="BY864" s="15"/>
      <c r="BZ864" s="15"/>
      <c r="CA864" s="15"/>
      <c r="CB864" s="15"/>
    </row>
    <row r="865" spans="1:80" ht="12.75" hidden="1" customHeight="1">
      <c r="A865" s="20">
        <f ca="1">IFERROR(__xludf.DUMMYFUNCTION("""COMPUTED_VALUE"""),2013)</f>
        <v>2013</v>
      </c>
      <c r="B865" s="45">
        <f ca="1">IFERROR(__xludf.DUMMYFUNCTION("""COMPUTED_VALUE"""),41814)</f>
        <v>41814</v>
      </c>
      <c r="C865" s="46">
        <f ca="1">IFERROR(__xludf.DUMMYFUNCTION("""COMPUTED_VALUE"""),41814)</f>
        <v>41814</v>
      </c>
      <c r="D865" s="47" t="str">
        <f ca="1">IFERROR(__xludf.DUMMYFUNCTION("""COMPUTED_VALUE"""),"Common Redpoll")</f>
        <v>Common Redpoll</v>
      </c>
      <c r="E865" s="52"/>
      <c r="F865" s="25"/>
      <c r="G865" s="48" t="str">
        <f ca="1">IFERROR(__xludf.DUMMYFUNCTION("""COMPUTED_VALUE"""),"Red Rocks, Hoylake")</f>
        <v>Red Rocks, Hoylake</v>
      </c>
      <c r="H865" s="22">
        <f ca="1">IFERROR(__xludf.DUMMYFUNCTION("""COMPUTED_VALUE"""),41388)</f>
        <v>41388</v>
      </c>
      <c r="I865" s="23"/>
      <c r="J865" s="24" t="str">
        <f ca="1">IFERROR(__xludf.DUMMYFUNCTION("""COMPUTED_VALUE"""),"Turner, JE")</f>
        <v>Turner, JE</v>
      </c>
      <c r="K865" s="25" t="str">
        <f ca="1">IFERROR(__xludf.DUMMYFUNCTION("""COMPUTED_VALUE"""),"Turner, JE")</f>
        <v>Turner, JE</v>
      </c>
      <c r="L865" s="27" t="str">
        <f ca="1">IFERROR(__xludf.DUMMYFUNCTION("""COMPUTED_VALUE"""),"closed")</f>
        <v>closed</v>
      </c>
      <c r="M865" s="27" t="str">
        <f ca="1">IFERROR(__xludf.DUMMYFUNCTION("""COMPUTED_VALUE"""),"1st U")</f>
        <v>1st U</v>
      </c>
      <c r="N865" s="25" t="str">
        <f ca="1">IFERROR(__xludf.DUMMYFUNCTION("""COMPUTED_VALUE"""),"accepted")</f>
        <v>accepted</v>
      </c>
      <c r="O865" s="28"/>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c r="AQ865" s="25"/>
      <c r="AR865" s="25"/>
      <c r="AS865" s="25"/>
      <c r="AT865" s="25"/>
      <c r="AU865" s="25"/>
      <c r="AV865" s="25"/>
      <c r="AW865" s="25"/>
      <c r="AX865" s="25"/>
      <c r="AY865" s="25"/>
      <c r="AZ865" s="25"/>
      <c r="BA865" s="25"/>
      <c r="BB865" s="25"/>
      <c r="BC865" s="25"/>
      <c r="BD865" s="25"/>
      <c r="BE865" s="25"/>
      <c r="BF865" s="25"/>
      <c r="BG865" s="25"/>
      <c r="BH865" s="25"/>
      <c r="BI865" s="25"/>
      <c r="BJ865" s="25"/>
      <c r="BK865" s="25"/>
      <c r="BL865" s="25"/>
      <c r="BM865" s="25"/>
      <c r="BN865" s="25"/>
      <c r="BO865" s="25"/>
      <c r="BP865" s="25"/>
      <c r="BQ865" s="25"/>
      <c r="BR865" s="25"/>
      <c r="BS865" s="25"/>
      <c r="BT865" s="25"/>
      <c r="BU865" s="25"/>
      <c r="BV865" s="25"/>
      <c r="BW865" s="25"/>
      <c r="BX865" s="25"/>
      <c r="BY865" s="25"/>
      <c r="BZ865" s="25"/>
      <c r="CA865" s="25"/>
      <c r="CB865" s="25"/>
    </row>
    <row r="866" spans="1:80" ht="12.75" hidden="1" customHeight="1">
      <c r="A866" s="10">
        <f ca="1">IFERROR(__xludf.DUMMYFUNCTION("""COMPUTED_VALUE"""),2013)</f>
        <v>2013</v>
      </c>
      <c r="B866" s="50">
        <f ca="1">IFERROR(__xludf.DUMMYFUNCTION("""COMPUTED_VALUE"""),41949)</f>
        <v>41949</v>
      </c>
      <c r="C866" s="41">
        <f ca="1">IFERROR(__xludf.DUMMYFUNCTION("""COMPUTED_VALUE"""),41879)</f>
        <v>41879</v>
      </c>
      <c r="D866" s="42" t="str">
        <f ca="1">IFERROR(__xludf.DUMMYFUNCTION("""COMPUTED_VALUE"""),"Common Redpoll [Greenland/Iceland race]")</f>
        <v>Common Redpoll [Greenland/Iceland race]</v>
      </c>
      <c r="E866" s="53">
        <f ca="1">IFERROR(__xludf.DUMMYFUNCTION("""COMPUTED_VALUE"""),1)</f>
        <v>1</v>
      </c>
      <c r="F866" s="15"/>
      <c r="G866" s="44" t="str">
        <f ca="1">IFERROR(__xludf.DUMMYFUNCTION("""COMPUTED_VALUE"""),"Red Rocks, Hoylake")</f>
        <v>Red Rocks, Hoylake</v>
      </c>
      <c r="H866" s="12">
        <f ca="1">IFERROR(__xludf.DUMMYFUNCTION("""COMPUTED_VALUE"""),41400)</f>
        <v>41400</v>
      </c>
      <c r="I866" s="13"/>
      <c r="J866" s="14" t="str">
        <f ca="1">IFERROR(__xludf.DUMMYFUNCTION("""COMPUTED_VALUE"""),"Turner, JE")</f>
        <v>Turner, JE</v>
      </c>
      <c r="K866" s="15" t="str">
        <f ca="1">IFERROR(__xludf.DUMMYFUNCTION("""COMPUTED_VALUE"""),"Turner, JE")</f>
        <v>Turner, JE</v>
      </c>
      <c r="L866" s="17" t="str">
        <f ca="1">IFERROR(__xludf.DUMMYFUNCTION("""COMPUTED_VALUE"""),"closed")</f>
        <v>closed</v>
      </c>
      <c r="M866" s="17" t="str">
        <f ca="1">IFERROR(__xludf.DUMMYFUNCTION("""COMPUTED_VALUE"""),"1st U")</f>
        <v>1st U</v>
      </c>
      <c r="N866" s="15" t="str">
        <f ca="1">IFERROR(__xludf.DUMMYFUNCTION("""COMPUTED_VALUE"""),"accepted")</f>
        <v>accepted</v>
      </c>
      <c r="O866" s="18" t="str">
        <f ca="1">IFERROR(__xludf.DUMMYFUNCTION("""COMPUTED_VALUE"""),"Accept as probably pale Icelandic, Hornemann's Arctic not ruled out.  Expert opinion sought and the view was  Report along the lines of ‘a stunning pale NW redpoll, either an islandica Common Redpoll or a hornemanni Arctic Redpoll’ ")</f>
        <v xml:space="preserve">Accept as probably pale Icelandic, Hornemann's Arctic not ruled out.  Expert opinion sought and the view was  Report along the lines of ‘a stunning pale NW redpoll, either an islandica Common Redpoll or a hornemanni Arctic Redpoll’ </v>
      </c>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c r="BQ866" s="15"/>
      <c r="BR866" s="15"/>
      <c r="BS866" s="15"/>
      <c r="BT866" s="15"/>
      <c r="BU866" s="15"/>
      <c r="BV866" s="15"/>
      <c r="BW866" s="15"/>
      <c r="BX866" s="15"/>
      <c r="BY866" s="15"/>
      <c r="BZ866" s="15"/>
      <c r="CA866" s="15"/>
      <c r="CB866" s="15"/>
    </row>
    <row r="867" spans="1:80" ht="12.75" hidden="1" customHeight="1">
      <c r="A867" s="20">
        <f ca="1">IFERROR(__xludf.DUMMYFUNCTION("""COMPUTED_VALUE"""),2013)</f>
        <v>2013</v>
      </c>
      <c r="B867" s="45">
        <f ca="1">IFERROR(__xludf.DUMMYFUNCTION("""COMPUTED_VALUE"""),41877)</f>
        <v>41877</v>
      </c>
      <c r="C867" s="46">
        <f ca="1">IFERROR(__xludf.DUMMYFUNCTION("""COMPUTED_VALUE"""),41879)</f>
        <v>41879</v>
      </c>
      <c r="D867" s="47" t="str">
        <f ca="1">IFERROR(__xludf.DUMMYFUNCTION("""COMPUTED_VALUE"""),"Common Redpoll")</f>
        <v>Common Redpoll</v>
      </c>
      <c r="E867" s="52">
        <f ca="1">IFERROR(__xludf.DUMMYFUNCTION("""COMPUTED_VALUE"""),1)</f>
        <v>1</v>
      </c>
      <c r="F867" s="25"/>
      <c r="G867" s="48" t="str">
        <f ca="1">IFERROR(__xludf.DUMMYFUNCTION("""COMPUTED_VALUE"""),"Woolston Eyes")</f>
        <v>Woolston Eyes</v>
      </c>
      <c r="H867" s="22">
        <f ca="1">IFERROR(__xludf.DUMMYFUNCTION("""COMPUTED_VALUE"""),41571)</f>
        <v>41571</v>
      </c>
      <c r="I867" s="22"/>
      <c r="J867" s="24" t="str">
        <f ca="1">IFERROR(__xludf.DUMMYFUNCTION("""COMPUTED_VALUE"""),"Riley, D")</f>
        <v>Riley, D</v>
      </c>
      <c r="K867" s="25" t="str">
        <f ca="1">IFERROR(__xludf.DUMMYFUNCTION("""COMPUTED_VALUE"""),"Riley, D")</f>
        <v>Riley, D</v>
      </c>
      <c r="L867" s="27" t="str">
        <f ca="1">IFERROR(__xludf.DUMMYFUNCTION("""COMPUTED_VALUE"""),"closed")</f>
        <v>closed</v>
      </c>
      <c r="M867" s="27" t="str">
        <f ca="1">IFERROR(__xludf.DUMMYFUNCTION("""COMPUTED_VALUE"""),"1st U")</f>
        <v>1st U</v>
      </c>
      <c r="N867" s="25" t="str">
        <f ca="1">IFERROR(__xludf.DUMMYFUNCTION("""COMPUTED_VALUE"""),"accepted")</f>
        <v>accepted</v>
      </c>
      <c r="O867" s="28"/>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c r="AQ867" s="25"/>
      <c r="AR867" s="25"/>
      <c r="AS867" s="25"/>
      <c r="AT867" s="25"/>
      <c r="AU867" s="25"/>
      <c r="AV867" s="25"/>
      <c r="AW867" s="25"/>
      <c r="AX867" s="25"/>
      <c r="AY867" s="25"/>
      <c r="AZ867" s="25"/>
      <c r="BA867" s="25"/>
      <c r="BB867" s="25"/>
      <c r="BC867" s="25"/>
      <c r="BD867" s="25"/>
      <c r="BE867" s="25"/>
      <c r="BF867" s="25"/>
      <c r="BG867" s="25"/>
      <c r="BH867" s="25"/>
      <c r="BI867" s="25"/>
      <c r="BJ867" s="25"/>
      <c r="BK867" s="25"/>
      <c r="BL867" s="25"/>
      <c r="BM867" s="25"/>
      <c r="BN867" s="25"/>
      <c r="BO867" s="25"/>
      <c r="BP867" s="25"/>
      <c r="BQ867" s="25"/>
      <c r="BR867" s="25"/>
      <c r="BS867" s="25"/>
      <c r="BT867" s="25"/>
      <c r="BU867" s="25"/>
      <c r="BV867" s="25"/>
      <c r="BW867" s="25"/>
      <c r="BX867" s="25"/>
      <c r="BY867" s="25"/>
      <c r="BZ867" s="25"/>
      <c r="CA867" s="25"/>
      <c r="CB867" s="25"/>
    </row>
    <row r="868" spans="1:80" ht="12.75" hidden="1" customHeight="1">
      <c r="A868" s="10">
        <f ca="1">IFERROR(__xludf.DUMMYFUNCTION("""COMPUTED_VALUE"""),2013)</f>
        <v>2013</v>
      </c>
      <c r="B868" s="50">
        <f ca="1">IFERROR(__xludf.DUMMYFUNCTION("""COMPUTED_VALUE"""),41515)</f>
        <v>41515</v>
      </c>
      <c r="C868" s="41">
        <f ca="1">IFERROR(__xludf.DUMMYFUNCTION("""COMPUTED_VALUE"""),41811)</f>
        <v>41811</v>
      </c>
      <c r="D868" s="42" t="str">
        <f ca="1">IFERROR(__xludf.DUMMYFUNCTION("""COMPUTED_VALUE"""),"Common Redpoll")</f>
        <v>Common Redpoll</v>
      </c>
      <c r="E868" s="53">
        <f ca="1">IFERROR(__xludf.DUMMYFUNCTION("""COMPUTED_VALUE"""),1)</f>
        <v>1</v>
      </c>
      <c r="F868" s="15"/>
      <c r="G868" s="44" t="str">
        <f ca="1">IFERROR(__xludf.DUMMYFUNCTION("""COMPUTED_VALUE"""),"Anderton")</f>
        <v>Anderton</v>
      </c>
      <c r="H868" s="12">
        <f ca="1">IFERROR(__xludf.DUMMYFUNCTION("""COMPUTED_VALUE"""),41594)</f>
        <v>41594</v>
      </c>
      <c r="I868" s="12"/>
      <c r="J868" s="14" t="str">
        <f ca="1">IFERROR(__xludf.DUMMYFUNCTION("""COMPUTED_VALUE"""),"Garner, A")</f>
        <v>Garner, A</v>
      </c>
      <c r="K868" s="15" t="str">
        <f ca="1">IFERROR(__xludf.DUMMYFUNCTION("""COMPUTED_VALUE"""),"Garner, A")</f>
        <v>Garner, A</v>
      </c>
      <c r="L868" s="17" t="str">
        <f ca="1">IFERROR(__xludf.DUMMYFUNCTION("""COMPUTED_VALUE"""),"closed")</f>
        <v>closed</v>
      </c>
      <c r="M868" s="17" t="str">
        <f ca="1">IFERROR(__xludf.DUMMYFUNCTION("""COMPUTED_VALUE"""),"1st U")</f>
        <v>1st U</v>
      </c>
      <c r="N868" s="15" t="str">
        <f ca="1">IFERROR(__xludf.DUMMYFUNCTION("""COMPUTED_VALUE"""),"accepted")</f>
        <v>accepted</v>
      </c>
      <c r="O868" s="18"/>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row>
    <row r="869" spans="1:80" ht="12.75" hidden="1" customHeight="1">
      <c r="A869" s="20">
        <f ca="1">IFERROR(__xludf.DUMMYFUNCTION("""COMPUTED_VALUE"""),2013)</f>
        <v>2013</v>
      </c>
      <c r="B869" s="45">
        <f ca="1">IFERROR(__xludf.DUMMYFUNCTION("""COMPUTED_VALUE"""),41877)</f>
        <v>41877</v>
      </c>
      <c r="C869" s="46">
        <f ca="1">IFERROR(__xludf.DUMMYFUNCTION("""COMPUTED_VALUE"""),41879)</f>
        <v>41879</v>
      </c>
      <c r="D869" s="47" t="str">
        <f ca="1">IFERROR(__xludf.DUMMYFUNCTION("""COMPUTED_VALUE"""),"Common Redpoll")</f>
        <v>Common Redpoll</v>
      </c>
      <c r="E869" s="52">
        <f ca="1">IFERROR(__xludf.DUMMYFUNCTION("""COMPUTED_VALUE"""),1)</f>
        <v>1</v>
      </c>
      <c r="F869" s="25"/>
      <c r="G869" s="48" t="str">
        <f ca="1">IFERROR(__xludf.DUMMYFUNCTION("""COMPUTED_VALUE"""),"Woolston Eyes")</f>
        <v>Woolston Eyes</v>
      </c>
      <c r="H869" s="22">
        <f ca="1">IFERROR(__xludf.DUMMYFUNCTION("""COMPUTED_VALUE"""),41602)</f>
        <v>41602</v>
      </c>
      <c r="I869" s="22"/>
      <c r="J869" s="24" t="str">
        <f ca="1">IFERROR(__xludf.DUMMYFUNCTION("""COMPUTED_VALUE"""),"Riley, D")</f>
        <v>Riley, D</v>
      </c>
      <c r="K869" s="25" t="str">
        <f ca="1">IFERROR(__xludf.DUMMYFUNCTION("""COMPUTED_VALUE"""),"Riley, D")</f>
        <v>Riley, D</v>
      </c>
      <c r="L869" s="27" t="str">
        <f ca="1">IFERROR(__xludf.DUMMYFUNCTION("""COMPUTED_VALUE"""),"closed")</f>
        <v>closed</v>
      </c>
      <c r="M869" s="27" t="str">
        <f ca="1">IFERROR(__xludf.DUMMYFUNCTION("""COMPUTED_VALUE"""),"1st U")</f>
        <v>1st U</v>
      </c>
      <c r="N869" s="25" t="str">
        <f ca="1">IFERROR(__xludf.DUMMYFUNCTION("""COMPUTED_VALUE"""),"accepted")</f>
        <v>accepted</v>
      </c>
      <c r="O869" s="28"/>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c r="AQ869" s="25"/>
      <c r="AR869" s="25"/>
      <c r="AS869" s="25"/>
      <c r="AT869" s="25"/>
      <c r="AU869" s="25"/>
      <c r="AV869" s="25"/>
      <c r="AW869" s="25"/>
      <c r="AX869" s="25"/>
      <c r="AY869" s="25"/>
      <c r="AZ869" s="25"/>
      <c r="BA869" s="25"/>
      <c r="BB869" s="25"/>
      <c r="BC869" s="25"/>
      <c r="BD869" s="25"/>
      <c r="BE869" s="25"/>
      <c r="BF869" s="25"/>
      <c r="BG869" s="25"/>
      <c r="BH869" s="25"/>
      <c r="BI869" s="25"/>
      <c r="BJ869" s="25"/>
      <c r="BK869" s="25"/>
      <c r="BL869" s="25"/>
      <c r="BM869" s="25"/>
      <c r="BN869" s="25"/>
      <c r="BO869" s="25"/>
      <c r="BP869" s="25"/>
      <c r="BQ869" s="25"/>
      <c r="BR869" s="25"/>
      <c r="BS869" s="25"/>
      <c r="BT869" s="25"/>
      <c r="BU869" s="25"/>
      <c r="BV869" s="25"/>
      <c r="BW869" s="25"/>
      <c r="BX869" s="25"/>
      <c r="BY869" s="25"/>
      <c r="BZ869" s="25"/>
      <c r="CA869" s="25"/>
      <c r="CB869" s="25"/>
    </row>
    <row r="870" spans="1:80" ht="12.75" hidden="1" customHeight="1">
      <c r="A870" s="10">
        <f ca="1">IFERROR(__xludf.DUMMYFUNCTION("""COMPUTED_VALUE"""),2013)</f>
        <v>2013</v>
      </c>
      <c r="B870" s="50">
        <f ca="1">IFERROR(__xludf.DUMMYFUNCTION("""COMPUTED_VALUE"""),41916)</f>
        <v>41916</v>
      </c>
      <c r="C870" s="41">
        <f ca="1">IFERROR(__xludf.DUMMYFUNCTION("""COMPUTED_VALUE"""),41904)</f>
        <v>41904</v>
      </c>
      <c r="D870" s="42" t="str">
        <f ca="1">IFERROR(__xludf.DUMMYFUNCTION("""COMPUTED_VALUE"""),"Nightjar")</f>
        <v>Nightjar</v>
      </c>
      <c r="E870" s="53" t="str">
        <f ca="1">IFERROR(__xludf.DUMMYFUNCTION("""COMPUTED_VALUE"""),"1M")</f>
        <v>1M</v>
      </c>
      <c r="F870" s="15"/>
      <c r="G870" s="44" t="str">
        <f ca="1">IFERROR(__xludf.DUMMYFUNCTION("""COMPUTED_VALUE"""),"Primrose Hill, Delamere")</f>
        <v>Primrose Hill, Delamere</v>
      </c>
      <c r="H870" s="12">
        <f ca="1">IFERROR(__xludf.DUMMYFUNCTION("""COMPUTED_VALUE"""),41433)</f>
        <v>41433</v>
      </c>
      <c r="I870" s="12">
        <f ca="1">IFERROR(__xludf.DUMMYFUNCTION("""COMPUTED_VALUE"""),41446)</f>
        <v>41446</v>
      </c>
      <c r="J870" s="14" t="str">
        <f ca="1">IFERROR(__xludf.DUMMYFUNCTION("""COMPUTED_VALUE"""),"F Duff")</f>
        <v>F Duff</v>
      </c>
      <c r="K870" s="15"/>
      <c r="L870" s="17" t="str">
        <f ca="1">IFERROR(__xludf.DUMMYFUNCTION("""COMPUTED_VALUE"""),"closed")</f>
        <v>closed</v>
      </c>
      <c r="M870" s="17" t="str">
        <f ca="1">IFERROR(__xludf.DUMMYFUNCTION("""COMPUTED_VALUE"""),"1st U")</f>
        <v>1st U</v>
      </c>
      <c r="N870" s="15" t="str">
        <f ca="1">IFERROR(__xludf.DUMMYFUNCTION("""COMPUTED_VALUE"""),"Accepted")</f>
        <v>Accepted</v>
      </c>
      <c r="O870" s="18"/>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c r="BQ870" s="15"/>
      <c r="BR870" s="15"/>
      <c r="BS870" s="15"/>
      <c r="BT870" s="15"/>
      <c r="BU870" s="15"/>
      <c r="BV870" s="15"/>
      <c r="BW870" s="15"/>
      <c r="BX870" s="15"/>
      <c r="BY870" s="15"/>
      <c r="BZ870" s="15"/>
      <c r="CA870" s="15"/>
      <c r="CB870" s="15"/>
    </row>
    <row r="871" spans="1:80" ht="12.75" hidden="1" customHeight="1">
      <c r="A871" s="20">
        <f ca="1">IFERROR(__xludf.DUMMYFUNCTION("""COMPUTED_VALUE"""),2013)</f>
        <v>2013</v>
      </c>
      <c r="B871" s="45">
        <f ca="1">IFERROR(__xludf.DUMMYFUNCTION("""COMPUTED_VALUE"""),41511)</f>
        <v>41511</v>
      </c>
      <c r="C871" s="46">
        <f ca="1">IFERROR(__xludf.DUMMYFUNCTION("""COMPUTED_VALUE"""),41845)</f>
        <v>41845</v>
      </c>
      <c r="D871" s="47" t="str">
        <f ca="1">IFERROR(__xludf.DUMMYFUNCTION("""COMPUTED_VALUE"""),"Water pipit")</f>
        <v>Water pipit</v>
      </c>
      <c r="E871" s="52">
        <f ca="1">IFERROR(__xludf.DUMMYFUNCTION("""COMPUTED_VALUE"""),1)</f>
        <v>1</v>
      </c>
      <c r="F871" s="25"/>
      <c r="G871" s="48" t="str">
        <f ca="1">IFERROR(__xludf.DUMMYFUNCTION("""COMPUTED_VALUE"""),"Neston Sewage Farm")</f>
        <v>Neston Sewage Farm</v>
      </c>
      <c r="H871" s="22">
        <f ca="1">IFERROR(__xludf.DUMMYFUNCTION("""COMPUTED_VALUE"""),41279)</f>
        <v>41279</v>
      </c>
      <c r="I871" s="22">
        <f ca="1">IFERROR(__xludf.DUMMYFUNCTION("""COMPUTED_VALUE"""),41310)</f>
        <v>41310</v>
      </c>
      <c r="J871" s="24" t="str">
        <f ca="1">IFERROR(__xludf.DUMMYFUNCTION("""COMPUTED_VALUE"""),"Eades, R")</f>
        <v>Eades, R</v>
      </c>
      <c r="K871" s="25"/>
      <c r="L871" s="27" t="str">
        <f ca="1">IFERROR(__xludf.DUMMYFUNCTION("""COMPUTED_VALUE"""),"closed")</f>
        <v>closed</v>
      </c>
      <c r="M871" s="27" t="str">
        <f ca="1">IFERROR(__xludf.DUMMYFUNCTION("""COMPUTED_VALUE"""),"1st U")</f>
        <v>1st U</v>
      </c>
      <c r="N871" s="25" t="str">
        <f ca="1">IFERROR(__xludf.DUMMYFUNCTION("""COMPUTED_VALUE"""),"accepted")</f>
        <v>accepted</v>
      </c>
      <c r="O871" s="28"/>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c r="AQ871" s="25"/>
      <c r="AR871" s="25"/>
      <c r="AS871" s="25"/>
      <c r="AT871" s="25"/>
      <c r="AU871" s="25"/>
      <c r="AV871" s="25"/>
      <c r="AW871" s="25"/>
      <c r="AX871" s="25"/>
      <c r="AY871" s="25"/>
      <c r="AZ871" s="25"/>
      <c r="BA871" s="25"/>
      <c r="BB871" s="25"/>
      <c r="BC871" s="25"/>
      <c r="BD871" s="25"/>
      <c r="BE871" s="25"/>
      <c r="BF871" s="25"/>
      <c r="BG871" s="25"/>
      <c r="BH871" s="25"/>
      <c r="BI871" s="25"/>
      <c r="BJ871" s="25"/>
      <c r="BK871" s="25"/>
      <c r="BL871" s="25"/>
      <c r="BM871" s="25"/>
      <c r="BN871" s="25"/>
      <c r="BO871" s="25"/>
      <c r="BP871" s="25"/>
      <c r="BQ871" s="25"/>
      <c r="BR871" s="25"/>
      <c r="BS871" s="25"/>
      <c r="BT871" s="25"/>
      <c r="BU871" s="25"/>
      <c r="BV871" s="25"/>
      <c r="BW871" s="25"/>
      <c r="BX871" s="25"/>
      <c r="BY871" s="25"/>
      <c r="BZ871" s="25"/>
      <c r="CA871" s="25"/>
      <c r="CB871" s="25"/>
    </row>
    <row r="872" spans="1:80" ht="12.75" hidden="1" customHeight="1">
      <c r="A872" s="10">
        <f ca="1">IFERROR(__xludf.DUMMYFUNCTION("""COMPUTED_VALUE"""),2013)</f>
        <v>2013</v>
      </c>
      <c r="B872" s="50">
        <f ca="1">IFERROR(__xludf.DUMMYFUNCTION("""COMPUTED_VALUE"""),41332)</f>
        <v>41332</v>
      </c>
      <c r="C872" s="41">
        <f ca="1">IFERROR(__xludf.DUMMYFUNCTION("""COMPUTED_VALUE"""),41794)</f>
        <v>41794</v>
      </c>
      <c r="D872" s="42" t="str">
        <f ca="1">IFERROR(__xludf.DUMMYFUNCTION("""COMPUTED_VALUE"""),"Water Pipit")</f>
        <v>Water Pipit</v>
      </c>
      <c r="E872" s="53">
        <f ca="1">IFERROR(__xludf.DUMMYFUNCTION("""COMPUTED_VALUE"""),1)</f>
        <v>1</v>
      </c>
      <c r="F872" s="15"/>
      <c r="G872" s="44" t="str">
        <f ca="1">IFERROR(__xludf.DUMMYFUNCTION("""COMPUTED_VALUE"""),"Neston Sewage Farm")</f>
        <v>Neston Sewage Farm</v>
      </c>
      <c r="H872" s="12">
        <f ca="1">IFERROR(__xludf.DUMMYFUNCTION("""COMPUTED_VALUE"""),41294)</f>
        <v>41294</v>
      </c>
      <c r="I872" s="12"/>
      <c r="J872" s="14" t="str">
        <f ca="1">IFERROR(__xludf.DUMMYFUNCTION("""COMPUTED_VALUE"""),"Baron, Mike")</f>
        <v>Baron, Mike</v>
      </c>
      <c r="K872" s="15"/>
      <c r="L872" s="17" t="str">
        <f ca="1">IFERROR(__xludf.DUMMYFUNCTION("""COMPUTED_VALUE"""),"closed")</f>
        <v>closed</v>
      </c>
      <c r="M872" s="17" t="str">
        <f ca="1">IFERROR(__xludf.DUMMYFUNCTION("""COMPUTED_VALUE"""),"1st U")</f>
        <v>1st U</v>
      </c>
      <c r="N872" s="15" t="str">
        <f ca="1">IFERROR(__xludf.DUMMYFUNCTION("""COMPUTED_VALUE"""),"accepted")</f>
        <v>accepted</v>
      </c>
      <c r="O872" s="18"/>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c r="BQ872" s="15"/>
      <c r="BR872" s="15"/>
      <c r="BS872" s="15"/>
      <c r="BT872" s="15"/>
      <c r="BU872" s="15"/>
      <c r="BV872" s="15"/>
      <c r="BW872" s="15"/>
      <c r="BX872" s="15"/>
      <c r="BY872" s="15"/>
      <c r="BZ872" s="15"/>
      <c r="CA872" s="15"/>
      <c r="CB872" s="15"/>
    </row>
    <row r="873" spans="1:80" ht="12.75" hidden="1" customHeight="1">
      <c r="A873" s="20">
        <f ca="1">IFERROR(__xludf.DUMMYFUNCTION("""COMPUTED_VALUE"""),2013)</f>
        <v>2013</v>
      </c>
      <c r="B873" s="45">
        <f ca="1">IFERROR(__xludf.DUMMYFUNCTION("""COMPUTED_VALUE"""),41511)</f>
        <v>41511</v>
      </c>
      <c r="C873" s="46">
        <f ca="1">IFERROR(__xludf.DUMMYFUNCTION("""COMPUTED_VALUE"""),41845)</f>
        <v>41845</v>
      </c>
      <c r="D873" s="47" t="str">
        <f ca="1">IFERROR(__xludf.DUMMYFUNCTION("""COMPUTED_VALUE"""),"Water pipit")</f>
        <v>Water pipit</v>
      </c>
      <c r="E873" s="52">
        <f ca="1">IFERROR(__xludf.DUMMYFUNCTION("""COMPUTED_VALUE"""),1)</f>
        <v>1</v>
      </c>
      <c r="F873" s="25"/>
      <c r="G873" s="48" t="str">
        <f ca="1">IFERROR(__xludf.DUMMYFUNCTION("""COMPUTED_VALUE"""),"Neston Sewage Farm")</f>
        <v>Neston Sewage Farm</v>
      </c>
      <c r="H873" s="22">
        <f ca="1">IFERROR(__xludf.DUMMYFUNCTION("""COMPUTED_VALUE"""),41294)</f>
        <v>41294</v>
      </c>
      <c r="I873" s="22"/>
      <c r="J873" s="24" t="str">
        <f ca="1">IFERROR(__xludf.DUMMYFUNCTION("""COMPUTED_VALUE"""),"Baron, Mike")</f>
        <v>Baron, Mike</v>
      </c>
      <c r="K873" s="25" t="str">
        <f ca="1">IFERROR(__xludf.DUMMYFUNCTION("""COMPUTED_VALUE"""),"?")</f>
        <v>?</v>
      </c>
      <c r="L873" s="27" t="str">
        <f ca="1">IFERROR(__xludf.DUMMYFUNCTION("""COMPUTED_VALUE"""),"closed")</f>
        <v>closed</v>
      </c>
      <c r="M873" s="27" t="str">
        <f ca="1">IFERROR(__xludf.DUMMYFUNCTION("""COMPUTED_VALUE"""),"1st U")</f>
        <v>1st U</v>
      </c>
      <c r="N873" s="25" t="str">
        <f ca="1">IFERROR(__xludf.DUMMYFUNCTION("""COMPUTED_VALUE"""),"accepted")</f>
        <v>accepted</v>
      </c>
      <c r="O873" s="28"/>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c r="AQ873" s="25"/>
      <c r="AR873" s="25"/>
      <c r="AS873" s="25"/>
      <c r="AT873" s="25"/>
      <c r="AU873" s="25"/>
      <c r="AV873" s="25"/>
      <c r="AW873" s="25"/>
      <c r="AX873" s="25"/>
      <c r="AY873" s="25"/>
      <c r="AZ873" s="25"/>
      <c r="BA873" s="25"/>
      <c r="BB873" s="25"/>
      <c r="BC873" s="25"/>
      <c r="BD873" s="25"/>
      <c r="BE873" s="25"/>
      <c r="BF873" s="25"/>
      <c r="BG873" s="25"/>
      <c r="BH873" s="25"/>
      <c r="BI873" s="25"/>
      <c r="BJ873" s="25"/>
      <c r="BK873" s="25"/>
      <c r="BL873" s="25"/>
      <c r="BM873" s="25"/>
      <c r="BN873" s="25"/>
      <c r="BO873" s="25"/>
      <c r="BP873" s="25"/>
      <c r="BQ873" s="25"/>
      <c r="BR873" s="25"/>
      <c r="BS873" s="25"/>
      <c r="BT873" s="25"/>
      <c r="BU873" s="25"/>
      <c r="BV873" s="25"/>
      <c r="BW873" s="25"/>
      <c r="BX873" s="25"/>
      <c r="BY873" s="25"/>
      <c r="BZ873" s="25"/>
      <c r="CA873" s="25"/>
      <c r="CB873" s="25"/>
    </row>
    <row r="874" spans="1:80" ht="12.75" hidden="1" customHeight="1">
      <c r="A874" s="10">
        <f ca="1">IFERROR(__xludf.DUMMYFUNCTION("""COMPUTED_VALUE"""),2013)</f>
        <v>2013</v>
      </c>
      <c r="B874" s="50">
        <f ca="1">IFERROR(__xludf.DUMMYFUNCTION("""COMPUTED_VALUE"""),41511)</f>
        <v>41511</v>
      </c>
      <c r="C874" s="41">
        <f ca="1">IFERROR(__xludf.DUMMYFUNCTION("""COMPUTED_VALUE"""),41845)</f>
        <v>41845</v>
      </c>
      <c r="D874" s="42" t="str">
        <f ca="1">IFERROR(__xludf.DUMMYFUNCTION("""COMPUTED_VALUE"""),"Water pipit")</f>
        <v>Water pipit</v>
      </c>
      <c r="E874" s="53">
        <f ca="1">IFERROR(__xludf.DUMMYFUNCTION("""COMPUTED_VALUE"""),1)</f>
        <v>1</v>
      </c>
      <c r="F874" s="15"/>
      <c r="G874" s="44" t="str">
        <f ca="1">IFERROR(__xludf.DUMMYFUNCTION("""COMPUTED_VALUE"""),"Neston Sewage Farm")</f>
        <v>Neston Sewage Farm</v>
      </c>
      <c r="H874" s="12">
        <f ca="1">IFERROR(__xludf.DUMMYFUNCTION("""COMPUTED_VALUE"""),41360)</f>
        <v>41360</v>
      </c>
      <c r="I874" s="12"/>
      <c r="J874" s="14" t="str">
        <f ca="1">IFERROR(__xludf.DUMMYFUNCTION("""COMPUTED_VALUE"""),"Eades, R")</f>
        <v>Eades, R</v>
      </c>
      <c r="K874" s="15"/>
      <c r="L874" s="17" t="str">
        <f ca="1">IFERROR(__xludf.DUMMYFUNCTION("""COMPUTED_VALUE"""),"closed")</f>
        <v>closed</v>
      </c>
      <c r="M874" s="17" t="str">
        <f ca="1">IFERROR(__xludf.DUMMYFUNCTION("""COMPUTED_VALUE"""),"1st U")</f>
        <v>1st U</v>
      </c>
      <c r="N874" s="15" t="str">
        <f ca="1">IFERROR(__xludf.DUMMYFUNCTION("""COMPUTED_VALUE"""),"accepted")</f>
        <v>accepted</v>
      </c>
      <c r="O874" s="18"/>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c r="BP874" s="15"/>
      <c r="BQ874" s="15"/>
      <c r="BR874" s="15"/>
      <c r="BS874" s="15"/>
      <c r="BT874" s="15"/>
      <c r="BU874" s="15"/>
      <c r="BV874" s="15"/>
      <c r="BW874" s="15"/>
      <c r="BX874" s="15"/>
      <c r="BY874" s="15"/>
      <c r="BZ874" s="15"/>
      <c r="CA874" s="15"/>
      <c r="CB874" s="15"/>
    </row>
    <row r="875" spans="1:80" ht="12.75" hidden="1" customHeight="1">
      <c r="A875" s="20">
        <f ca="1">IFERROR(__xludf.DUMMYFUNCTION("""COMPUTED_VALUE"""),2013)</f>
        <v>2013</v>
      </c>
      <c r="B875" s="45">
        <f ca="1">IFERROR(__xludf.DUMMYFUNCTION("""COMPUTED_VALUE"""),41877)</f>
        <v>41877</v>
      </c>
      <c r="C875" s="46">
        <f ca="1">IFERROR(__xludf.DUMMYFUNCTION("""COMPUTED_VALUE"""),41881)</f>
        <v>41881</v>
      </c>
      <c r="D875" s="47" t="str">
        <f ca="1">IFERROR(__xludf.DUMMYFUNCTION("""COMPUTED_VALUE"""),"Water PIpit")</f>
        <v>Water PIpit</v>
      </c>
      <c r="E875" s="52">
        <f ca="1">IFERROR(__xludf.DUMMYFUNCTION("""COMPUTED_VALUE"""),1)</f>
        <v>1</v>
      </c>
      <c r="F875" s="25"/>
      <c r="G875" s="48" t="str">
        <f ca="1">IFERROR(__xludf.DUMMYFUNCTION("""COMPUTED_VALUE"""),"Denhall Lane")</f>
        <v>Denhall Lane</v>
      </c>
      <c r="H875" s="22">
        <f ca="1">IFERROR(__xludf.DUMMYFUNCTION("""COMPUTED_VALUE"""),41627)</f>
        <v>41627</v>
      </c>
      <c r="I875" s="22"/>
      <c r="J875" s="24" t="str">
        <f ca="1">IFERROR(__xludf.DUMMYFUNCTION("""COMPUTED_VALUE"""),"Williams, E")</f>
        <v>Williams, E</v>
      </c>
      <c r="K875" s="25" t="str">
        <f ca="1">IFERROR(__xludf.DUMMYFUNCTION("""COMPUTED_VALUE"""),"Kenny Dummigan")</f>
        <v>Kenny Dummigan</v>
      </c>
      <c r="L875" s="27" t="str">
        <f ca="1">IFERROR(__xludf.DUMMYFUNCTION("""COMPUTED_VALUE"""),"closed")</f>
        <v>closed</v>
      </c>
      <c r="M875" s="27" t="str">
        <f ca="1">IFERROR(__xludf.DUMMYFUNCTION("""COMPUTED_VALUE"""),"1st U")</f>
        <v>1st U</v>
      </c>
      <c r="N875" s="25" t="str">
        <f ca="1">IFERROR(__xludf.DUMMYFUNCTION("""COMPUTED_VALUE"""),"accepted")</f>
        <v>accepted</v>
      </c>
      <c r="O875" s="28"/>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c r="AQ875" s="25"/>
      <c r="AR875" s="25"/>
      <c r="AS875" s="25"/>
      <c r="AT875" s="25"/>
      <c r="AU875" s="25"/>
      <c r="AV875" s="25"/>
      <c r="AW875" s="25"/>
      <c r="AX875" s="25"/>
      <c r="AY875" s="25"/>
      <c r="AZ875" s="25"/>
      <c r="BA875" s="25"/>
      <c r="BB875" s="25"/>
      <c r="BC875" s="25"/>
      <c r="BD875" s="25"/>
      <c r="BE875" s="25"/>
      <c r="BF875" s="25"/>
      <c r="BG875" s="25"/>
      <c r="BH875" s="25"/>
      <c r="BI875" s="25"/>
      <c r="BJ875" s="25"/>
      <c r="BK875" s="25"/>
      <c r="BL875" s="25"/>
      <c r="BM875" s="25"/>
      <c r="BN875" s="25"/>
      <c r="BO875" s="25"/>
      <c r="BP875" s="25"/>
      <c r="BQ875" s="25"/>
      <c r="BR875" s="25"/>
      <c r="BS875" s="25"/>
      <c r="BT875" s="25"/>
      <c r="BU875" s="25"/>
      <c r="BV875" s="25"/>
      <c r="BW875" s="25"/>
      <c r="BX875" s="25"/>
      <c r="BY875" s="25"/>
      <c r="BZ875" s="25"/>
      <c r="CA875" s="25"/>
      <c r="CB875" s="25"/>
    </row>
    <row r="876" spans="1:80" ht="12.75" hidden="1" customHeight="1">
      <c r="A876" s="10">
        <f ca="1">IFERROR(__xludf.DUMMYFUNCTION("""COMPUTED_VALUE"""),2013)</f>
        <v>2013</v>
      </c>
      <c r="B876" s="50">
        <f ca="1">IFERROR(__xludf.DUMMYFUNCTION("""COMPUTED_VALUE"""),41812)</f>
        <v>41812</v>
      </c>
      <c r="C876" s="41">
        <f ca="1">IFERROR(__xludf.DUMMYFUNCTION("""COMPUTED_VALUE"""),41812)</f>
        <v>41812</v>
      </c>
      <c r="D876" s="42" t="str">
        <f ca="1">IFERROR(__xludf.DUMMYFUNCTION("""COMPUTED_VALUE"""),"Slavonian Grebe")</f>
        <v>Slavonian Grebe</v>
      </c>
      <c r="E876" s="53">
        <f ca="1">IFERROR(__xludf.DUMMYFUNCTION("""COMPUTED_VALUE"""),1)</f>
        <v>1</v>
      </c>
      <c r="F876" s="15"/>
      <c r="G876" s="44" t="str">
        <f ca="1">IFERROR(__xludf.DUMMYFUNCTION("""COMPUTED_VALUE"""),"Astbury Country Park Congleton")</f>
        <v>Astbury Country Park Congleton</v>
      </c>
      <c r="H876" s="12">
        <f ca="1">IFERROR(__xludf.DUMMYFUNCTION("""COMPUTED_VALUE"""),41304)</f>
        <v>41304</v>
      </c>
      <c r="I876" s="12"/>
      <c r="J876" s="14" t="str">
        <f ca="1">IFERROR(__xludf.DUMMYFUNCTION("""COMPUTED_VALUE"""),"Woollen, P")</f>
        <v>Woollen, P</v>
      </c>
      <c r="K876" s="15" t="str">
        <f ca="1">IFERROR(__xludf.DUMMYFUNCTION("""COMPUTED_VALUE"""),"Spottiwood, J")</f>
        <v>Spottiwood, J</v>
      </c>
      <c r="L876" s="17" t="str">
        <f ca="1">IFERROR(__xludf.DUMMYFUNCTION("""COMPUTED_VALUE"""),"closed")</f>
        <v>closed</v>
      </c>
      <c r="M876" s="17" t="str">
        <f ca="1">IFERROR(__xludf.DUMMYFUNCTION("""COMPUTED_VALUE"""),"1st U")</f>
        <v>1st U</v>
      </c>
      <c r="N876" s="15" t="str">
        <f ca="1">IFERROR(__xludf.DUMMYFUNCTION("""COMPUTED_VALUE"""),"accepted")</f>
        <v>accepted</v>
      </c>
      <c r="O876" s="18"/>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c r="BP876" s="15"/>
      <c r="BQ876" s="15"/>
      <c r="BR876" s="15"/>
      <c r="BS876" s="15"/>
      <c r="BT876" s="15"/>
      <c r="BU876" s="15"/>
      <c r="BV876" s="15"/>
      <c r="BW876" s="15"/>
      <c r="BX876" s="15"/>
      <c r="BY876" s="15"/>
      <c r="BZ876" s="15"/>
      <c r="CA876" s="15"/>
      <c r="CB876" s="15"/>
    </row>
    <row r="877" spans="1:80" ht="12.75" hidden="1" customHeight="1">
      <c r="A877" s="20">
        <f ca="1">IFERROR(__xludf.DUMMYFUNCTION("""COMPUTED_VALUE"""),2013)</f>
        <v>2013</v>
      </c>
      <c r="B877" s="45">
        <f ca="1">IFERROR(__xludf.DUMMYFUNCTION("""COMPUTED_VALUE"""),41932)</f>
        <v>41932</v>
      </c>
      <c r="C877" s="46">
        <f ca="1">IFERROR(__xludf.DUMMYFUNCTION("""COMPUTED_VALUE"""),41932)</f>
        <v>41932</v>
      </c>
      <c r="D877" s="47" t="str">
        <f ca="1">IFERROR(__xludf.DUMMYFUNCTION("""COMPUTED_VALUE"""),"Slavonian Grebe")</f>
        <v>Slavonian Grebe</v>
      </c>
      <c r="E877" s="52">
        <f ca="1">IFERROR(__xludf.DUMMYFUNCTION("""COMPUTED_VALUE"""),1)</f>
        <v>1</v>
      </c>
      <c r="F877" s="25"/>
      <c r="G877" s="48" t="str">
        <f ca="1">IFERROR(__xludf.DUMMYFUNCTION("""COMPUTED_VALUE"""),"Astbury Country Park Congleton")</f>
        <v>Astbury Country Park Congleton</v>
      </c>
      <c r="H877" s="22">
        <f ca="1">IFERROR(__xludf.DUMMYFUNCTION("""COMPUTED_VALUE"""),41304)</f>
        <v>41304</v>
      </c>
      <c r="I877" s="23"/>
      <c r="J877" s="24" t="str">
        <f ca="1">IFERROR(__xludf.DUMMYFUNCTION("""COMPUTED_VALUE"""),"Spottiswood, J")</f>
        <v>Spottiswood, J</v>
      </c>
      <c r="K877" s="25" t="str">
        <f ca="1">IFERROR(__xludf.DUMMYFUNCTION("""COMPUTED_VALUE"""),"Spottiswood, J")</f>
        <v>Spottiswood, J</v>
      </c>
      <c r="L877" s="27" t="str">
        <f ca="1">IFERROR(__xludf.DUMMYFUNCTION("""COMPUTED_VALUE"""),"closed")</f>
        <v>closed</v>
      </c>
      <c r="M877" s="27" t="str">
        <f ca="1">IFERROR(__xludf.DUMMYFUNCTION("""COMPUTED_VALUE"""),"1st U")</f>
        <v>1st U</v>
      </c>
      <c r="N877" s="25" t="str">
        <f ca="1">IFERROR(__xludf.DUMMYFUNCTION("""COMPUTED_VALUE"""),"accepted")</f>
        <v>accepted</v>
      </c>
      <c r="O877" s="28"/>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c r="AQ877" s="25"/>
      <c r="AR877" s="25"/>
      <c r="AS877" s="25"/>
      <c r="AT877" s="25"/>
      <c r="AU877" s="25"/>
      <c r="AV877" s="25"/>
      <c r="AW877" s="25"/>
      <c r="AX877" s="25"/>
      <c r="AY877" s="25"/>
      <c r="AZ877" s="25"/>
      <c r="BA877" s="25"/>
      <c r="BB877" s="25"/>
      <c r="BC877" s="25"/>
      <c r="BD877" s="25"/>
      <c r="BE877" s="25"/>
      <c r="BF877" s="25"/>
      <c r="BG877" s="25"/>
      <c r="BH877" s="25"/>
      <c r="BI877" s="25"/>
      <c r="BJ877" s="25"/>
      <c r="BK877" s="25"/>
      <c r="BL877" s="25"/>
      <c r="BM877" s="25"/>
      <c r="BN877" s="25"/>
      <c r="BO877" s="25"/>
      <c r="BP877" s="25"/>
      <c r="BQ877" s="25"/>
      <c r="BR877" s="25"/>
      <c r="BS877" s="25"/>
      <c r="BT877" s="25"/>
      <c r="BU877" s="25"/>
      <c r="BV877" s="25"/>
      <c r="BW877" s="25"/>
      <c r="BX877" s="25"/>
      <c r="BY877" s="25"/>
      <c r="BZ877" s="25"/>
      <c r="CA877" s="25"/>
      <c r="CB877" s="25"/>
    </row>
    <row r="878" spans="1:80" ht="12.75" hidden="1" customHeight="1">
      <c r="A878" s="10">
        <f ca="1">IFERROR(__xludf.DUMMYFUNCTION("""COMPUTED_VALUE"""),2013)</f>
        <v>2013</v>
      </c>
      <c r="B878" s="50">
        <f ca="1">IFERROR(__xludf.DUMMYFUNCTION("""COMPUTED_VALUE"""),41812)</f>
        <v>41812</v>
      </c>
      <c r="C878" s="41">
        <f ca="1">IFERROR(__xludf.DUMMYFUNCTION("""COMPUTED_VALUE"""),41812)</f>
        <v>41812</v>
      </c>
      <c r="D878" s="42" t="str">
        <f ca="1">IFERROR(__xludf.DUMMYFUNCTION("""COMPUTED_VALUE"""),"Slavonian Grebe")</f>
        <v>Slavonian Grebe</v>
      </c>
      <c r="E878" s="53">
        <f ca="1">IFERROR(__xludf.DUMMYFUNCTION("""COMPUTED_VALUE"""),1)</f>
        <v>1</v>
      </c>
      <c r="F878" s="15"/>
      <c r="G878" s="44" t="str">
        <f ca="1">IFERROR(__xludf.DUMMYFUNCTION("""COMPUTED_VALUE"""),"Astbury Country Park Congleton")</f>
        <v>Astbury Country Park Congleton</v>
      </c>
      <c r="H878" s="12">
        <f ca="1">IFERROR(__xludf.DUMMYFUNCTION("""COMPUTED_VALUE"""),41307)</f>
        <v>41307</v>
      </c>
      <c r="I878" s="12"/>
      <c r="J878" s="14" t="str">
        <f ca="1">IFERROR(__xludf.DUMMYFUNCTION("""COMPUTED_VALUE"""),"Kirk, Peter")</f>
        <v>Kirk, Peter</v>
      </c>
      <c r="K878" s="15" t="str">
        <f ca="1">IFERROR(__xludf.DUMMYFUNCTION("""COMPUTED_VALUE"""),"Spottiwood, J")</f>
        <v>Spottiwood, J</v>
      </c>
      <c r="L878" s="17" t="str">
        <f ca="1">IFERROR(__xludf.DUMMYFUNCTION("""COMPUTED_VALUE"""),"closed")</f>
        <v>closed</v>
      </c>
      <c r="M878" s="17" t="str">
        <f ca="1">IFERROR(__xludf.DUMMYFUNCTION("""COMPUTED_VALUE"""),"1st U")</f>
        <v>1st U</v>
      </c>
      <c r="N878" s="15" t="str">
        <f ca="1">IFERROR(__xludf.DUMMYFUNCTION("""COMPUTED_VALUE"""),"accepted")</f>
        <v>accepted</v>
      </c>
      <c r="O878" s="18"/>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c r="BP878" s="15"/>
      <c r="BQ878" s="15"/>
      <c r="BR878" s="15"/>
      <c r="BS878" s="15"/>
      <c r="BT878" s="15"/>
      <c r="BU878" s="15"/>
      <c r="BV878" s="15"/>
      <c r="BW878" s="15"/>
      <c r="BX878" s="15"/>
      <c r="BY878" s="15"/>
      <c r="BZ878" s="15"/>
      <c r="CA878" s="15"/>
      <c r="CB878" s="15"/>
    </row>
    <row r="879" spans="1:80" ht="12.75" hidden="1" customHeight="1">
      <c r="A879" s="20">
        <f ca="1">IFERROR(__xludf.DUMMYFUNCTION("""COMPUTED_VALUE"""),2013)</f>
        <v>2013</v>
      </c>
      <c r="B879" s="45">
        <f ca="1">IFERROR(__xludf.DUMMYFUNCTION("""COMPUTED_VALUE"""),41812)</f>
        <v>41812</v>
      </c>
      <c r="C879" s="46">
        <f ca="1">IFERROR(__xludf.DUMMYFUNCTION("""COMPUTED_VALUE"""),41812)</f>
        <v>41812</v>
      </c>
      <c r="D879" s="47" t="str">
        <f ca="1">IFERROR(__xludf.DUMMYFUNCTION("""COMPUTED_VALUE"""),"Slavonian Grebe")</f>
        <v>Slavonian Grebe</v>
      </c>
      <c r="E879" s="52">
        <f ca="1">IFERROR(__xludf.DUMMYFUNCTION("""COMPUTED_VALUE"""),1)</f>
        <v>1</v>
      </c>
      <c r="F879" s="25"/>
      <c r="G879" s="48" t="str">
        <f ca="1">IFERROR(__xludf.DUMMYFUNCTION("""COMPUTED_VALUE"""),"Astbury Mere")</f>
        <v>Astbury Mere</v>
      </c>
      <c r="H879" s="22">
        <f ca="1">IFERROR(__xludf.DUMMYFUNCTION("""COMPUTED_VALUE"""),41317)</f>
        <v>41317</v>
      </c>
      <c r="I879" s="22"/>
      <c r="J879" s="24" t="str">
        <f ca="1">IFERROR(__xludf.DUMMYFUNCTION("""COMPUTED_VALUE"""),"Markham, J")</f>
        <v>Markham, J</v>
      </c>
      <c r="K879" s="25" t="str">
        <f ca="1">IFERROR(__xludf.DUMMYFUNCTION("""COMPUTED_VALUE"""),"Spottiwood, J")</f>
        <v>Spottiwood, J</v>
      </c>
      <c r="L879" s="27" t="str">
        <f ca="1">IFERROR(__xludf.DUMMYFUNCTION("""COMPUTED_VALUE"""),"closed")</f>
        <v>closed</v>
      </c>
      <c r="M879" s="27" t="str">
        <f ca="1">IFERROR(__xludf.DUMMYFUNCTION("""COMPUTED_VALUE"""),"1st U")</f>
        <v>1st U</v>
      </c>
      <c r="N879" s="25" t="str">
        <f ca="1">IFERROR(__xludf.DUMMYFUNCTION("""COMPUTED_VALUE"""),"accepted")</f>
        <v>accepted</v>
      </c>
      <c r="O879" s="28"/>
      <c r="P879" s="25"/>
      <c r="Q879" s="40"/>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c r="AQ879" s="25"/>
      <c r="AR879" s="25"/>
      <c r="AS879" s="25"/>
      <c r="AT879" s="25"/>
      <c r="AU879" s="25"/>
      <c r="AV879" s="25"/>
      <c r="AW879" s="25"/>
      <c r="AX879" s="25"/>
      <c r="AY879" s="25"/>
      <c r="AZ879" s="25"/>
      <c r="BA879" s="25"/>
      <c r="BB879" s="25"/>
      <c r="BC879" s="25"/>
      <c r="BD879" s="25"/>
      <c r="BE879" s="25"/>
      <c r="BF879" s="25"/>
      <c r="BG879" s="25"/>
      <c r="BH879" s="25"/>
      <c r="BI879" s="25"/>
      <c r="BJ879" s="25"/>
      <c r="BK879" s="25"/>
      <c r="BL879" s="25"/>
      <c r="BM879" s="25"/>
      <c r="BN879" s="25"/>
      <c r="BO879" s="25"/>
      <c r="BP879" s="25"/>
      <c r="BQ879" s="25"/>
      <c r="BR879" s="25"/>
      <c r="BS879" s="25"/>
      <c r="BT879" s="25"/>
      <c r="BU879" s="25"/>
      <c r="BV879" s="25"/>
      <c r="BW879" s="25"/>
      <c r="BX879" s="25"/>
      <c r="BY879" s="25"/>
      <c r="BZ879" s="25"/>
      <c r="CA879" s="25"/>
      <c r="CB879" s="25"/>
    </row>
    <row r="880" spans="1:80" ht="12.75" hidden="1" customHeight="1">
      <c r="A880" s="10">
        <f ca="1">IFERROR(__xludf.DUMMYFUNCTION("""COMPUTED_VALUE"""),2013)</f>
        <v>2013</v>
      </c>
      <c r="B880" s="50">
        <f ca="1">IFERROR(__xludf.DUMMYFUNCTION("""COMPUTED_VALUE"""),41878)</f>
        <v>41878</v>
      </c>
      <c r="C880" s="41"/>
      <c r="D880" s="42" t="str">
        <f ca="1">IFERROR(__xludf.DUMMYFUNCTION("""COMPUTED_VALUE"""),"Slavonian Grebe")</f>
        <v>Slavonian Grebe</v>
      </c>
      <c r="E880" s="53">
        <f ca="1">IFERROR(__xludf.DUMMYFUNCTION("""COMPUTED_VALUE"""),1)</f>
        <v>1</v>
      </c>
      <c r="F880" s="15"/>
      <c r="G880" s="44" t="str">
        <f ca="1">IFERROR(__xludf.DUMMYFUNCTION("""COMPUTED_VALUE"""),"Hilbre")</f>
        <v>Hilbre</v>
      </c>
      <c r="H880" s="12">
        <f ca="1">IFERROR(__xludf.DUMMYFUNCTION("""COMPUTED_VALUE"""),41535)</f>
        <v>41535</v>
      </c>
      <c r="I880" s="13"/>
      <c r="J880" s="14" t="str">
        <f ca="1">IFERROR(__xludf.DUMMYFUNCTION("""COMPUTED_VALUE"""),"Hilbre Bird Observatory")</f>
        <v>Hilbre Bird Observatory</v>
      </c>
      <c r="K880" s="15"/>
      <c r="L880" s="17" t="str">
        <f ca="1">IFERROR(__xludf.DUMMYFUNCTION("""COMPUTED_VALUE"""),"closed")</f>
        <v>closed</v>
      </c>
      <c r="M880" s="17" t="str">
        <f ca="1">IFERROR(__xludf.DUMMYFUNCTION("""COMPUTED_VALUE"""),"proxy")</f>
        <v>proxy</v>
      </c>
      <c r="N880" s="15" t="str">
        <f ca="1">IFERROR(__xludf.DUMMYFUNCTION("""COMPUTED_VALUE"""),"accepted")</f>
        <v>accepted</v>
      </c>
      <c r="O880" s="18"/>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c r="BM880" s="15"/>
      <c r="BN880" s="15"/>
      <c r="BO880" s="15"/>
      <c r="BP880" s="15"/>
      <c r="BQ880" s="15"/>
      <c r="BR880" s="15"/>
      <c r="BS880" s="15"/>
      <c r="BT880" s="15"/>
      <c r="BU880" s="15"/>
      <c r="BV880" s="15"/>
      <c r="BW880" s="15"/>
      <c r="BX880" s="15"/>
      <c r="BY880" s="15"/>
      <c r="BZ880" s="15"/>
      <c r="CA880" s="15"/>
      <c r="CB880" s="15"/>
    </row>
    <row r="881" spans="1:80" ht="12.75" hidden="1" customHeight="1">
      <c r="A881" s="20">
        <f ca="1">IFERROR(__xludf.DUMMYFUNCTION("""COMPUTED_VALUE"""),2013)</f>
        <v>2013</v>
      </c>
      <c r="B881" s="45">
        <f ca="1">IFERROR(__xludf.DUMMYFUNCTION("""COMPUTED_VALUE"""),44568)</f>
        <v>44568</v>
      </c>
      <c r="C881" s="46"/>
      <c r="D881" s="47" t="str">
        <f ca="1">IFERROR(__xludf.DUMMYFUNCTION("""COMPUTED_VALUE"""),"Stilt Sandpiper")</f>
        <v>Stilt Sandpiper</v>
      </c>
      <c r="E881" s="52"/>
      <c r="F881" s="25"/>
      <c r="G881" s="48" t="str">
        <f ca="1">IFERROR(__xludf.DUMMYFUNCTION("""COMPUTED_VALUE"""),"Frodsham then Neumanns")</f>
        <v>Frodsham then Neumanns</v>
      </c>
      <c r="H881" s="22">
        <f ca="1">IFERROR(__xludf.DUMMYFUNCTION("""COMPUTED_VALUE"""),41515)</f>
        <v>41515</v>
      </c>
      <c r="I881" s="22">
        <f ca="1">IFERROR(__xludf.DUMMYFUNCTION("""COMPUTED_VALUE"""),41524)</f>
        <v>41524</v>
      </c>
      <c r="J881" s="24"/>
      <c r="K881" s="25"/>
      <c r="L881" s="27" t="str">
        <f ca="1">IFERROR(__xludf.DUMMYFUNCTION("""COMPUTED_VALUE"""),"closed")</f>
        <v>closed</v>
      </c>
      <c r="M881" s="27"/>
      <c r="N881" s="25" t="str">
        <f ca="1">IFERROR(__xludf.DUMMYFUNCTION("""COMPUTED_VALUE"""),"BBRC-OK")</f>
        <v>BBRC-OK</v>
      </c>
      <c r="O881" s="28" t="str">
        <f ca="1">IFERROR(__xludf.DUMMYFUNCTION("""COMPUTED_VALUE"""),"Neumann's Flash, adult, 29th August to 2nd September, photo; presumed same, Sandbach Flashes, 2nd to 7th September, photo.")</f>
        <v>Neumann's Flash, adult, 29th August to 2nd September, photo; presumed same, Sandbach Flashes, 2nd to 7th September, photo.</v>
      </c>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c r="AQ881" s="25"/>
      <c r="AR881" s="25"/>
      <c r="AS881" s="25"/>
      <c r="AT881" s="25"/>
      <c r="AU881" s="25"/>
      <c r="AV881" s="25"/>
      <c r="AW881" s="25"/>
      <c r="AX881" s="25"/>
      <c r="AY881" s="25"/>
      <c r="AZ881" s="25"/>
      <c r="BA881" s="25"/>
      <c r="BB881" s="25"/>
      <c r="BC881" s="25"/>
      <c r="BD881" s="25"/>
      <c r="BE881" s="25"/>
      <c r="BF881" s="25"/>
      <c r="BG881" s="25"/>
      <c r="BH881" s="25"/>
      <c r="BI881" s="25"/>
      <c r="BJ881" s="25"/>
      <c r="BK881" s="25"/>
      <c r="BL881" s="25"/>
      <c r="BM881" s="25"/>
      <c r="BN881" s="25"/>
      <c r="BO881" s="25"/>
      <c r="BP881" s="25"/>
      <c r="BQ881" s="25"/>
      <c r="BR881" s="25"/>
      <c r="BS881" s="25"/>
      <c r="BT881" s="25"/>
      <c r="BU881" s="25"/>
      <c r="BV881" s="25"/>
      <c r="BW881" s="25"/>
      <c r="BX881" s="25"/>
      <c r="BY881" s="25"/>
      <c r="BZ881" s="25"/>
      <c r="CA881" s="25"/>
      <c r="CB881" s="25"/>
    </row>
    <row r="882" spans="1:80" ht="12.75" hidden="1" customHeight="1">
      <c r="A882" s="10">
        <f ca="1">IFERROR(__xludf.DUMMYFUNCTION("""COMPUTED_VALUE"""),2013)</f>
        <v>2013</v>
      </c>
      <c r="B882" s="50">
        <f ca="1">IFERROR(__xludf.DUMMYFUNCTION("""COMPUTED_VALUE"""),41942)</f>
        <v>41942</v>
      </c>
      <c r="C882" s="41">
        <f ca="1">IFERROR(__xludf.DUMMYFUNCTION("""COMPUTED_VALUE"""),41941)</f>
        <v>41941</v>
      </c>
      <c r="D882" s="42" t="str">
        <f ca="1">IFERROR(__xludf.DUMMYFUNCTION("""COMPUTED_VALUE"""),"Temminck's Stint")</f>
        <v>Temminck's Stint</v>
      </c>
      <c r="E882" s="53">
        <f ca="1">IFERROR(__xludf.DUMMYFUNCTION("""COMPUTED_VALUE"""),1)</f>
        <v>1</v>
      </c>
      <c r="F882" s="15"/>
      <c r="G882" s="44" t="str">
        <f ca="1">IFERROR(__xludf.DUMMYFUNCTION("""COMPUTED_VALUE"""),"Reception Scrape, BMW RSPB")</f>
        <v>Reception Scrape, BMW RSPB</v>
      </c>
      <c r="H882" s="12">
        <f ca="1">IFERROR(__xludf.DUMMYFUNCTION("""COMPUTED_VALUE"""),41418)</f>
        <v>41418</v>
      </c>
      <c r="I882" s="13"/>
      <c r="J882" s="14" t="str">
        <f ca="1">IFERROR(__xludf.DUMMYFUNCTION("""COMPUTED_VALUE"""),"Wells, CE")</f>
        <v>Wells, CE</v>
      </c>
      <c r="K882" s="15"/>
      <c r="L882" s="17" t="str">
        <f ca="1">IFERROR(__xludf.DUMMYFUNCTION("""COMPUTED_VALUE"""),"closed")</f>
        <v>closed</v>
      </c>
      <c r="M882" s="17" t="str">
        <f ca="1">IFERROR(__xludf.DUMMYFUNCTION("""COMPUTED_VALUE"""),"1st U")</f>
        <v>1st U</v>
      </c>
      <c r="N882" s="15" t="str">
        <f ca="1">IFERROR(__xludf.DUMMYFUNCTION("""COMPUTED_VALUE"""),"accepted")</f>
        <v>accepted</v>
      </c>
      <c r="O882" s="18"/>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c r="BM882" s="15"/>
      <c r="BN882" s="15"/>
      <c r="BO882" s="15"/>
      <c r="BP882" s="15"/>
      <c r="BQ882" s="15"/>
      <c r="BR882" s="15"/>
      <c r="BS882" s="15"/>
      <c r="BT882" s="15"/>
      <c r="BU882" s="15"/>
      <c r="BV882" s="15"/>
      <c r="BW882" s="15"/>
      <c r="BX882" s="15"/>
      <c r="BY882" s="15"/>
      <c r="BZ882" s="15"/>
      <c r="CA882" s="15"/>
      <c r="CB882" s="15"/>
    </row>
    <row r="883" spans="1:80" ht="12.75" hidden="1" customHeight="1">
      <c r="A883" s="20">
        <f ca="1">IFERROR(__xludf.DUMMYFUNCTION("""COMPUTED_VALUE"""),2013)</f>
        <v>2013</v>
      </c>
      <c r="B883" s="45">
        <f ca="1">IFERROR(__xludf.DUMMYFUNCTION("""COMPUTED_VALUE"""),41942)</f>
        <v>41942</v>
      </c>
      <c r="C883" s="46">
        <f ca="1">IFERROR(__xludf.DUMMYFUNCTION("""COMPUTED_VALUE"""),41941)</f>
        <v>41941</v>
      </c>
      <c r="D883" s="47" t="str">
        <f ca="1">IFERROR(__xludf.DUMMYFUNCTION("""COMPUTED_VALUE"""),"Temminck's Stint")</f>
        <v>Temminck's Stint</v>
      </c>
      <c r="E883" s="52">
        <f ca="1">IFERROR(__xludf.DUMMYFUNCTION("""COMPUTED_VALUE"""),1)</f>
        <v>1</v>
      </c>
      <c r="F883" s="25"/>
      <c r="G883" s="48" t="str">
        <f ca="1">IFERROR(__xludf.DUMMYFUNCTION("""COMPUTED_VALUE"""),"Reception Scrape, BMW RSPB")</f>
        <v>Reception Scrape, BMW RSPB</v>
      </c>
      <c r="H883" s="22">
        <f ca="1">IFERROR(__xludf.DUMMYFUNCTION("""COMPUTED_VALUE"""),41494)</f>
        <v>41494</v>
      </c>
      <c r="I883" s="23"/>
      <c r="J883" s="24" t="str">
        <f ca="1">IFERROR(__xludf.DUMMYFUNCTION("""COMPUTED_VALUE"""),"Wells, CE")</f>
        <v>Wells, CE</v>
      </c>
      <c r="K883" s="25"/>
      <c r="L883" s="27" t="str">
        <f ca="1">IFERROR(__xludf.DUMMYFUNCTION("""COMPUTED_VALUE"""),"closed")</f>
        <v>closed</v>
      </c>
      <c r="M883" s="27" t="str">
        <f ca="1">IFERROR(__xludf.DUMMYFUNCTION("""COMPUTED_VALUE"""),"1st U")</f>
        <v>1st U</v>
      </c>
      <c r="N883" s="25" t="str">
        <f ca="1">IFERROR(__xludf.DUMMYFUNCTION("""COMPUTED_VALUE"""),"accepted")</f>
        <v>accepted</v>
      </c>
      <c r="O883" s="28"/>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c r="AQ883" s="25"/>
      <c r="AR883" s="25"/>
      <c r="AS883" s="25"/>
      <c r="AT883" s="25"/>
      <c r="AU883" s="25"/>
      <c r="AV883" s="25"/>
      <c r="AW883" s="25"/>
      <c r="AX883" s="25"/>
      <c r="AY883" s="25"/>
      <c r="AZ883" s="25"/>
      <c r="BA883" s="25"/>
      <c r="BB883" s="25"/>
      <c r="BC883" s="25"/>
      <c r="BD883" s="25"/>
      <c r="BE883" s="25"/>
      <c r="BF883" s="25"/>
      <c r="BG883" s="25"/>
      <c r="BH883" s="25"/>
      <c r="BI883" s="25"/>
      <c r="BJ883" s="25"/>
      <c r="BK883" s="25"/>
      <c r="BL883" s="25"/>
      <c r="BM883" s="25"/>
      <c r="BN883" s="25"/>
      <c r="BO883" s="25"/>
      <c r="BP883" s="25"/>
      <c r="BQ883" s="25"/>
      <c r="BR883" s="25"/>
      <c r="BS883" s="25"/>
      <c r="BT883" s="25"/>
      <c r="BU883" s="25"/>
      <c r="BV883" s="25"/>
      <c r="BW883" s="25"/>
      <c r="BX883" s="25"/>
      <c r="BY883" s="25"/>
      <c r="BZ883" s="25"/>
      <c r="CA883" s="25"/>
      <c r="CB883" s="25"/>
    </row>
    <row r="884" spans="1:80" ht="12.75" hidden="1" customHeight="1">
      <c r="A884" s="10">
        <f ca="1">IFERROR(__xludf.DUMMYFUNCTION("""COMPUTED_VALUE"""),2013)</f>
        <v>2013</v>
      </c>
      <c r="B884" s="50">
        <f ca="1">IFERROR(__xludf.DUMMYFUNCTION("""COMPUTED_VALUE"""),41878)</f>
        <v>41878</v>
      </c>
      <c r="C884" s="41">
        <f ca="1">IFERROR(__xludf.DUMMYFUNCTION("""COMPUTED_VALUE"""),41884)</f>
        <v>41884</v>
      </c>
      <c r="D884" s="42" t="str">
        <f ca="1">IFERROR(__xludf.DUMMYFUNCTION("""COMPUTED_VALUE"""),"Pectoral Sandpiper")</f>
        <v>Pectoral Sandpiper</v>
      </c>
      <c r="E884" s="53">
        <f ca="1">IFERROR(__xludf.DUMMYFUNCTION("""COMPUTED_VALUE"""),1)</f>
        <v>1</v>
      </c>
      <c r="F884" s="15"/>
      <c r="G884" s="44" t="str">
        <f ca="1">IFERROR(__xludf.DUMMYFUNCTION("""COMPUTED_VALUE"""),"Carr Lane Pools, Hale")</f>
        <v>Carr Lane Pools, Hale</v>
      </c>
      <c r="H884" s="12">
        <f ca="1">IFERROR(__xludf.DUMMYFUNCTION("""COMPUTED_VALUE"""),41397)</f>
        <v>41397</v>
      </c>
      <c r="I884" s="12"/>
      <c r="J884" s="14" t="str">
        <f ca="1">IFERROR(__xludf.DUMMYFUNCTION("""COMPUTED_VALUE"""),"Cockbain RP &amp; CA")</f>
        <v>Cockbain RP &amp; CA</v>
      </c>
      <c r="K884" s="15"/>
      <c r="L884" s="17" t="str">
        <f ca="1">IFERROR(__xludf.DUMMYFUNCTION("""COMPUTED_VALUE"""),"closed")</f>
        <v>closed</v>
      </c>
      <c r="M884" s="17" t="str">
        <f ca="1">IFERROR(__xludf.DUMMYFUNCTION("""COMPUTED_VALUE"""),"1st U")</f>
        <v>1st U</v>
      </c>
      <c r="N884" s="15" t="str">
        <f ca="1">IFERROR(__xludf.DUMMYFUNCTION("""COMPUTED_VALUE"""),"accepted")</f>
        <v>accepted</v>
      </c>
      <c r="O884" s="18"/>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c r="BM884" s="15"/>
      <c r="BN884" s="15"/>
      <c r="BO884" s="15"/>
      <c r="BP884" s="15"/>
      <c r="BQ884" s="15"/>
      <c r="BR884" s="15"/>
      <c r="BS884" s="15"/>
      <c r="BT884" s="15"/>
      <c r="BU884" s="15"/>
      <c r="BV884" s="15"/>
      <c r="BW884" s="15"/>
      <c r="BX884" s="15"/>
      <c r="BY884" s="15"/>
      <c r="BZ884" s="15"/>
      <c r="CA884" s="15"/>
      <c r="CB884" s="15"/>
    </row>
    <row r="885" spans="1:80" ht="12.75" hidden="1" customHeight="1">
      <c r="A885" s="20">
        <f ca="1">IFERROR(__xludf.DUMMYFUNCTION("""COMPUTED_VALUE"""),2013)</f>
        <v>2013</v>
      </c>
      <c r="B885" s="45">
        <f ca="1">IFERROR(__xludf.DUMMYFUNCTION("""COMPUTED_VALUE"""),41878)</f>
        <v>41878</v>
      </c>
      <c r="C885" s="46"/>
      <c r="D885" s="47" t="str">
        <f ca="1">IFERROR(__xludf.DUMMYFUNCTION("""COMPUTED_VALUE"""),"Pectoral Sandpiper")</f>
        <v>Pectoral Sandpiper</v>
      </c>
      <c r="E885" s="52">
        <f ca="1">IFERROR(__xludf.DUMMYFUNCTION("""COMPUTED_VALUE"""),1)</f>
        <v>1</v>
      </c>
      <c r="F885" s="25"/>
      <c r="G885" s="48" t="str">
        <f ca="1">IFERROR(__xludf.DUMMYFUNCTION("""COMPUTED_VALUE"""),"Carr Lane Pools, Hale")</f>
        <v>Carr Lane Pools, Hale</v>
      </c>
      <c r="H885" s="22">
        <f ca="1">IFERROR(__xludf.DUMMYFUNCTION("""COMPUTED_VALUE"""),41398)</f>
        <v>41398</v>
      </c>
      <c r="I885" s="22"/>
      <c r="J885" s="24" t="str">
        <f ca="1">IFERROR(__xludf.DUMMYFUNCTION("""COMPUTED_VALUE"""),"Cockbain RP &amp; CA")</f>
        <v>Cockbain RP &amp; CA</v>
      </c>
      <c r="K885" s="25"/>
      <c r="L885" s="27" t="str">
        <f ca="1">IFERROR(__xludf.DUMMYFUNCTION("""COMPUTED_VALUE"""),"closed")</f>
        <v>closed</v>
      </c>
      <c r="M885" s="27" t="str">
        <f ca="1">IFERROR(__xludf.DUMMYFUNCTION("""COMPUTED_VALUE"""),"1st U")</f>
        <v>1st U</v>
      </c>
      <c r="N885" s="25" t="str">
        <f ca="1">IFERROR(__xludf.DUMMYFUNCTION("""COMPUTED_VALUE"""),"accepted")</f>
        <v>accepted</v>
      </c>
      <c r="O885" s="28"/>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c r="AQ885" s="25"/>
      <c r="AR885" s="25"/>
      <c r="AS885" s="25"/>
      <c r="AT885" s="25"/>
      <c r="AU885" s="25"/>
      <c r="AV885" s="25"/>
      <c r="AW885" s="25"/>
      <c r="AX885" s="25"/>
      <c r="AY885" s="25"/>
      <c r="AZ885" s="25"/>
      <c r="BA885" s="25"/>
      <c r="BB885" s="25"/>
      <c r="BC885" s="25"/>
      <c r="BD885" s="25"/>
      <c r="BE885" s="25"/>
      <c r="BF885" s="25"/>
      <c r="BG885" s="25"/>
      <c r="BH885" s="25"/>
      <c r="BI885" s="25"/>
      <c r="BJ885" s="25"/>
      <c r="BK885" s="25"/>
      <c r="BL885" s="25"/>
      <c r="BM885" s="25"/>
      <c r="BN885" s="25"/>
      <c r="BO885" s="25"/>
      <c r="BP885" s="25"/>
      <c r="BQ885" s="25"/>
      <c r="BR885" s="25"/>
      <c r="BS885" s="25"/>
      <c r="BT885" s="25"/>
      <c r="BU885" s="25"/>
      <c r="BV885" s="25"/>
      <c r="BW885" s="25"/>
      <c r="BX885" s="25"/>
      <c r="BY885" s="25"/>
      <c r="BZ885" s="25"/>
      <c r="CA885" s="25"/>
      <c r="CB885" s="25"/>
    </row>
    <row r="886" spans="1:80" ht="12.75" hidden="1" customHeight="1">
      <c r="A886" s="10">
        <f ca="1">IFERROR(__xludf.DUMMYFUNCTION("""COMPUTED_VALUE"""),2013)</f>
        <v>2013</v>
      </c>
      <c r="B886" s="50">
        <f ca="1">IFERROR(__xludf.DUMMYFUNCTION("""COMPUTED_VALUE"""),41942)</f>
        <v>41942</v>
      </c>
      <c r="C886" s="41">
        <f ca="1">IFERROR(__xludf.DUMMYFUNCTION("""COMPUTED_VALUE"""),41941)</f>
        <v>41941</v>
      </c>
      <c r="D886" s="42" t="str">
        <f ca="1">IFERROR(__xludf.DUMMYFUNCTION("""COMPUTED_VALUE"""),"Pectoral Sandpiper")</f>
        <v>Pectoral Sandpiper</v>
      </c>
      <c r="E886" s="53">
        <f ca="1">IFERROR(__xludf.DUMMYFUNCTION("""COMPUTED_VALUE"""),1)</f>
        <v>1</v>
      </c>
      <c r="F886" s="15"/>
      <c r="G886" s="44" t="str">
        <f ca="1">IFERROR(__xludf.DUMMYFUNCTION("""COMPUTED_VALUE"""),"Reception Scrape, BMW RSPB")</f>
        <v>Reception Scrape, BMW RSPB</v>
      </c>
      <c r="H886" s="12">
        <f ca="1">IFERROR(__xludf.DUMMYFUNCTION("""COMPUTED_VALUE"""),41445)</f>
        <v>41445</v>
      </c>
      <c r="I886" s="12"/>
      <c r="J886" s="14" t="str">
        <f ca="1">IFERROR(__xludf.DUMMYFUNCTION("""COMPUTED_VALUE"""),"Wells, CE")</f>
        <v>Wells, CE</v>
      </c>
      <c r="K886" s="15" t="str">
        <f ca="1">IFERROR(__xludf.DUMMYFUNCTION("""COMPUTED_VALUE"""),"Wells, C")</f>
        <v>Wells, C</v>
      </c>
      <c r="L886" s="17" t="str">
        <f ca="1">IFERROR(__xludf.DUMMYFUNCTION("""COMPUTED_VALUE"""),"closed")</f>
        <v>closed</v>
      </c>
      <c r="M886" s="17" t="str">
        <f ca="1">IFERROR(__xludf.DUMMYFUNCTION("""COMPUTED_VALUE"""),"1st U")</f>
        <v>1st U</v>
      </c>
      <c r="N886" s="15" t="str">
        <f ca="1">IFERROR(__xludf.DUMMYFUNCTION("""COMPUTED_VALUE"""),"accepted")</f>
        <v>accepted</v>
      </c>
      <c r="O886" s="18"/>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row>
    <row r="887" spans="1:80" ht="13.5" hidden="1">
      <c r="A887" s="20">
        <f ca="1">IFERROR(__xludf.DUMMYFUNCTION("""COMPUTED_VALUE"""),2013)</f>
        <v>2013</v>
      </c>
      <c r="B887" s="45">
        <f ca="1">IFERROR(__xludf.DUMMYFUNCTION("""COMPUTED_VALUE"""),41878)</f>
        <v>41878</v>
      </c>
      <c r="C887" s="46">
        <f ca="1">IFERROR(__xludf.DUMMYFUNCTION("""COMPUTED_VALUE"""),41884)</f>
        <v>41884</v>
      </c>
      <c r="D887" s="47" t="str">
        <f ca="1">IFERROR(__xludf.DUMMYFUNCTION("""COMPUTED_VALUE"""),"Pectoral Sandpiper")</f>
        <v>Pectoral Sandpiper</v>
      </c>
      <c r="E887" s="52">
        <f ca="1">IFERROR(__xludf.DUMMYFUNCTION("""COMPUTED_VALUE"""),1)</f>
        <v>1</v>
      </c>
      <c r="F887" s="25"/>
      <c r="G887" s="48" t="str">
        <f ca="1">IFERROR(__xludf.DUMMYFUNCTION("""COMPUTED_VALUE"""),"Reception Scrape, BMW RSPB")</f>
        <v>Reception Scrape, BMW RSPB</v>
      </c>
      <c r="H887" s="22">
        <f ca="1">IFERROR(__xludf.DUMMYFUNCTION("""COMPUTED_VALUE"""),41546)</f>
        <v>41546</v>
      </c>
      <c r="I887" s="22"/>
      <c r="J887" s="24" t="str">
        <f ca="1">IFERROR(__xludf.DUMMYFUNCTION("""COMPUTED_VALUE"""),"Tollitt, B")</f>
        <v>Tollitt, B</v>
      </c>
      <c r="K887" s="25"/>
      <c r="L887" s="27" t="str">
        <f ca="1">IFERROR(__xludf.DUMMYFUNCTION("""COMPUTED_VALUE"""),"closed")</f>
        <v>closed</v>
      </c>
      <c r="M887" s="27" t="str">
        <f ca="1">IFERROR(__xludf.DUMMYFUNCTION("""COMPUTED_VALUE"""),"1st U")</f>
        <v>1st U</v>
      </c>
      <c r="N887" s="25" t="str">
        <f ca="1">IFERROR(__xludf.DUMMYFUNCTION("""COMPUTED_VALUE"""),"accepted")</f>
        <v>accepted</v>
      </c>
      <c r="O887" s="28"/>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c r="AQ887" s="25"/>
      <c r="AR887" s="25"/>
      <c r="AS887" s="25"/>
      <c r="AT887" s="25"/>
      <c r="AU887" s="25"/>
      <c r="AV887" s="25"/>
      <c r="AW887" s="25"/>
      <c r="AX887" s="25"/>
      <c r="AY887" s="25"/>
      <c r="AZ887" s="25"/>
      <c r="BA887" s="25"/>
      <c r="BB887" s="25"/>
      <c r="BC887" s="25"/>
      <c r="BD887" s="25"/>
      <c r="BE887" s="25"/>
      <c r="BF887" s="25"/>
      <c r="BG887" s="25"/>
      <c r="BH887" s="25"/>
      <c r="BI887" s="25"/>
      <c r="BJ887" s="25"/>
      <c r="BK887" s="25"/>
      <c r="BL887" s="25"/>
      <c r="BM887" s="25"/>
      <c r="BN887" s="25"/>
      <c r="BO887" s="25"/>
      <c r="BP887" s="25"/>
      <c r="BQ887" s="25"/>
      <c r="BR887" s="25"/>
      <c r="BS887" s="25"/>
      <c r="BT887" s="25"/>
      <c r="BU887" s="25"/>
      <c r="BV887" s="25"/>
      <c r="BW887" s="25"/>
      <c r="BX887" s="25"/>
      <c r="BY887" s="25"/>
      <c r="BZ887" s="25"/>
      <c r="CA887" s="25"/>
      <c r="CB887" s="25"/>
    </row>
    <row r="888" spans="1:80" ht="12.75" hidden="1" customHeight="1">
      <c r="A888" s="10">
        <f ca="1">IFERROR(__xludf.DUMMYFUNCTION("""COMPUTED_VALUE"""),2013)</f>
        <v>2013</v>
      </c>
      <c r="B888" s="50">
        <f ca="1">IFERROR(__xludf.DUMMYFUNCTION("""COMPUTED_VALUE"""),41846)</f>
        <v>41846</v>
      </c>
      <c r="C888" s="41">
        <f ca="1">IFERROR(__xludf.DUMMYFUNCTION("""COMPUTED_VALUE"""),41866)</f>
        <v>41866</v>
      </c>
      <c r="D888" s="42" t="str">
        <f ca="1">IFERROR(__xludf.DUMMYFUNCTION("""COMPUTED_VALUE"""),"Pectoral Sandpiper")</f>
        <v>Pectoral Sandpiper</v>
      </c>
      <c r="E888" s="53">
        <f ca="1">IFERROR(__xludf.DUMMYFUNCTION("""COMPUTED_VALUE"""),1)</f>
        <v>1</v>
      </c>
      <c r="F888" s="15" t="str">
        <f ca="1">IFERROR(__xludf.DUMMYFUNCTION("""COMPUTED_VALUE"""),"juv")</f>
        <v>juv</v>
      </c>
      <c r="G888" s="44" t="str">
        <f ca="1">IFERROR(__xludf.DUMMYFUNCTION("""COMPUTED_VALUE"""),"Inner Marsh Farm RSPB")</f>
        <v>Inner Marsh Farm RSPB</v>
      </c>
      <c r="H888" s="12">
        <f ca="1">IFERROR(__xludf.DUMMYFUNCTION("""COMPUTED_VALUE"""),41550)</f>
        <v>41550</v>
      </c>
      <c r="I888" s="12"/>
      <c r="J888" s="14" t="str">
        <f ca="1">IFERROR(__xludf.DUMMYFUNCTION("""COMPUTED_VALUE"""),"Smith, R")</f>
        <v>Smith, R</v>
      </c>
      <c r="K888" s="15" t="str">
        <f ca="1">IFERROR(__xludf.DUMMYFUNCTION("""COMPUTED_VALUE"""),"Smith, R")</f>
        <v>Smith, R</v>
      </c>
      <c r="L888" s="17" t="str">
        <f ca="1">IFERROR(__xludf.DUMMYFUNCTION("""COMPUTED_VALUE"""),"closed")</f>
        <v>closed</v>
      </c>
      <c r="M888" s="17" t="str">
        <f ca="1">IFERROR(__xludf.DUMMYFUNCTION("""COMPUTED_VALUE"""),"1st U")</f>
        <v>1st U</v>
      </c>
      <c r="N888" s="15" t="str">
        <f ca="1">IFERROR(__xludf.DUMMYFUNCTION("""COMPUTED_VALUE"""),"accepted")</f>
        <v>accepted</v>
      </c>
      <c r="O888" s="18"/>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row>
    <row r="889" spans="1:80" ht="12.75" hidden="1" customHeight="1">
      <c r="A889" s="20">
        <f ca="1">IFERROR(__xludf.DUMMYFUNCTION("""COMPUTED_VALUE"""),2013)</f>
        <v>2013</v>
      </c>
      <c r="B889" s="45">
        <f ca="1">IFERROR(__xludf.DUMMYFUNCTION("""COMPUTED_VALUE"""),44568)</f>
        <v>44568</v>
      </c>
      <c r="C889" s="46"/>
      <c r="D889" s="47" t="str">
        <f ca="1">IFERROR(__xludf.DUMMYFUNCTION("""COMPUTED_VALUE"""),"Semipalmated Sandpiper")</f>
        <v>Semipalmated Sandpiper</v>
      </c>
      <c r="E889" s="52"/>
      <c r="F889" s="25"/>
      <c r="G889" s="71" t="str">
        <f ca="1">IFERROR(__xludf.DUMMYFUNCTION("""COMPUTED_VALUE"""),"Hoylake")</f>
        <v>Hoylake</v>
      </c>
      <c r="H889" s="22">
        <f ca="1">IFERROR(__xludf.DUMMYFUNCTION("""COMPUTED_VALUE"""),41507)</f>
        <v>41507</v>
      </c>
      <c r="I889" s="22"/>
      <c r="J889" s="24"/>
      <c r="K889" s="25"/>
      <c r="L889" s="27" t="str">
        <f ca="1">IFERROR(__xludf.DUMMYFUNCTION("""COMPUTED_VALUE"""),"closed")</f>
        <v>closed</v>
      </c>
      <c r="M889" s="27"/>
      <c r="N889" s="25" t="str">
        <f ca="1">IFERROR(__xludf.DUMMYFUNCTION("""COMPUTED_VALUE"""),"BBRC-OK")</f>
        <v>BBRC-OK</v>
      </c>
      <c r="O889" s="28" t="str">
        <f ca="1">IFERROR(__xludf.DUMMYFUNCTION("""COMPUTED_VALUE"""),"Hoylake Shore, Wirral, adult, 21st September.")</f>
        <v>Hoylake Shore, Wirral, adult, 21st September.</v>
      </c>
      <c r="P889" s="40"/>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c r="AQ889" s="25"/>
      <c r="AR889" s="25"/>
      <c r="AS889" s="25"/>
      <c r="AT889" s="25"/>
      <c r="AU889" s="25"/>
      <c r="AV889" s="25"/>
      <c r="AW889" s="25"/>
      <c r="AX889" s="25"/>
      <c r="AY889" s="25"/>
      <c r="AZ889" s="25"/>
      <c r="BA889" s="25"/>
      <c r="BB889" s="25"/>
      <c r="BC889" s="25"/>
      <c r="BD889" s="25"/>
      <c r="BE889" s="25"/>
      <c r="BF889" s="25"/>
      <c r="BG889" s="25"/>
      <c r="BH889" s="25"/>
      <c r="BI889" s="25"/>
      <c r="BJ889" s="25"/>
      <c r="BK889" s="25"/>
      <c r="BL889" s="25"/>
      <c r="BM889" s="25"/>
      <c r="BN889" s="25"/>
      <c r="BO889" s="25"/>
      <c r="BP889" s="25"/>
      <c r="BQ889" s="25"/>
      <c r="BR889" s="25"/>
      <c r="BS889" s="25"/>
      <c r="BT889" s="25"/>
      <c r="BU889" s="25"/>
      <c r="BV889" s="25"/>
      <c r="BW889" s="25"/>
      <c r="BX889" s="25"/>
      <c r="BY889" s="25"/>
      <c r="BZ889" s="25"/>
      <c r="CA889" s="25"/>
      <c r="CB889" s="25"/>
    </row>
    <row r="890" spans="1:80" ht="12.75" hidden="1" customHeight="1">
      <c r="A890" s="10">
        <f ca="1">IFERROR(__xludf.DUMMYFUNCTION("""COMPUTED_VALUE"""),2013)</f>
        <v>2013</v>
      </c>
      <c r="B890" s="50">
        <f ca="1">IFERROR(__xludf.DUMMYFUNCTION("""COMPUTED_VALUE"""),41334)</f>
        <v>41334</v>
      </c>
      <c r="C890" s="41"/>
      <c r="D890" s="42" t="str">
        <f ca="1">IFERROR(__xludf.DUMMYFUNCTION("""COMPUTED_VALUE"""),"Caspian Gull")</f>
        <v>Caspian Gull</v>
      </c>
      <c r="E890" s="53">
        <f ca="1">IFERROR(__xludf.DUMMYFUNCTION("""COMPUTED_VALUE"""),1)</f>
        <v>1</v>
      </c>
      <c r="F890" s="15" t="str">
        <f ca="1">IFERROR(__xludf.DUMMYFUNCTION("""COMPUTED_VALUE"""),"3rd W")</f>
        <v>3rd W</v>
      </c>
      <c r="G890" s="44" t="str">
        <f ca="1">IFERROR(__xludf.DUMMYFUNCTION("""COMPUTED_VALUE"""),"Hoylake")</f>
        <v>Hoylake</v>
      </c>
      <c r="H890" s="12">
        <f ca="1">IFERROR(__xludf.DUMMYFUNCTION("""COMPUTED_VALUE"""),41319)</f>
        <v>41319</v>
      </c>
      <c r="I890" s="12"/>
      <c r="J890" s="14" t="str">
        <f ca="1">IFERROR(__xludf.DUMMYFUNCTION("""COMPUTED_VALUE"""),"Turner, JE")</f>
        <v>Turner, JE</v>
      </c>
      <c r="K890" s="15" t="str">
        <f ca="1">IFERROR(__xludf.DUMMYFUNCTION("""COMPUTED_VALUE"""),"Turner, JE")</f>
        <v>Turner, JE</v>
      </c>
      <c r="L890" s="17" t="str">
        <f ca="1">IFERROR(__xludf.DUMMYFUNCTION("""COMPUTED_VALUE"""),"closed")</f>
        <v>closed</v>
      </c>
      <c r="M890" s="17" t="str">
        <f ca="1">IFERROR(__xludf.DUMMYFUNCTION("""COMPUTED_VALUE"""),"panel")</f>
        <v>panel</v>
      </c>
      <c r="N890" s="15" t="str">
        <f ca="1">IFERROR(__xludf.DUMMYFUNCTION("""COMPUTED_VALUE"""),"accepted")</f>
        <v>accepted</v>
      </c>
      <c r="O890" s="18"/>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row>
    <row r="891" spans="1:80" ht="12.75" hidden="1" customHeight="1">
      <c r="A891" s="20">
        <f ca="1">IFERROR(__xludf.DUMMYFUNCTION("""COMPUTED_VALUE"""),2013)</f>
        <v>2013</v>
      </c>
      <c r="B891" s="45">
        <f ca="1">IFERROR(__xludf.DUMMYFUNCTION("""COMPUTED_VALUE"""),41948)</f>
        <v>41948</v>
      </c>
      <c r="C891" s="46"/>
      <c r="D891" s="47" t="str">
        <f ca="1">IFERROR(__xludf.DUMMYFUNCTION("""COMPUTED_VALUE"""),"Long-tailed Skua")</f>
        <v>Long-tailed Skua</v>
      </c>
      <c r="E891" s="52">
        <f ca="1">IFERROR(__xludf.DUMMYFUNCTION("""COMPUTED_VALUE"""),1)</f>
        <v>1</v>
      </c>
      <c r="F891" s="25" t="str">
        <f ca="1">IFERROR(__xludf.DUMMYFUNCTION("""COMPUTED_VALUE"""),"int Juv")</f>
        <v>int Juv</v>
      </c>
      <c r="G891" s="48" t="str">
        <f ca="1">IFERROR(__xludf.DUMMYFUNCTION("""COMPUTED_VALUE"""),"Hilbre")</f>
        <v>Hilbre</v>
      </c>
      <c r="H891" s="22">
        <f ca="1">IFERROR(__xludf.DUMMYFUNCTION("""COMPUTED_VALUE"""),41532)</f>
        <v>41532</v>
      </c>
      <c r="I891" s="22"/>
      <c r="J891" s="67" t="str">
        <f ca="1">IFERROR(__xludf.DUMMYFUNCTION("""COMPUTED_VALUE"""),"Hilbre Bird Observatory")</f>
        <v>Hilbre Bird Observatory</v>
      </c>
      <c r="K891" s="25"/>
      <c r="L891" s="27" t="str">
        <f ca="1">IFERROR(__xludf.DUMMYFUNCTION("""COMPUTED_VALUE"""),"closed")</f>
        <v>closed</v>
      </c>
      <c r="M891" s="27" t="str">
        <f ca="1">IFERROR(__xludf.DUMMYFUNCTION("""COMPUTED_VALUE"""),"proxy")</f>
        <v>proxy</v>
      </c>
      <c r="N891" s="25" t="str">
        <f ca="1">IFERROR(__xludf.DUMMYFUNCTION("""COMPUTED_VALUE"""),"accepted")</f>
        <v>accepted</v>
      </c>
      <c r="O891" s="28"/>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c r="AQ891" s="25"/>
      <c r="AR891" s="25"/>
      <c r="AS891" s="25"/>
      <c r="AT891" s="25"/>
      <c r="AU891" s="25"/>
      <c r="AV891" s="25"/>
      <c r="AW891" s="25"/>
      <c r="AX891" s="25"/>
      <c r="AY891" s="25"/>
      <c r="AZ891" s="25"/>
      <c r="BA891" s="25"/>
      <c r="BB891" s="25"/>
      <c r="BC891" s="25"/>
      <c r="BD891" s="25"/>
      <c r="BE891" s="25"/>
      <c r="BF891" s="25"/>
      <c r="BG891" s="25"/>
      <c r="BH891" s="25"/>
      <c r="BI891" s="25"/>
      <c r="BJ891" s="25"/>
      <c r="BK891" s="25"/>
      <c r="BL891" s="25"/>
      <c r="BM891" s="25"/>
      <c r="BN891" s="25"/>
      <c r="BO891" s="25"/>
      <c r="BP891" s="25"/>
      <c r="BQ891" s="25"/>
      <c r="BR891" s="25"/>
      <c r="BS891" s="25"/>
      <c r="BT891" s="25"/>
      <c r="BU891" s="25"/>
      <c r="BV891" s="25"/>
      <c r="BW891" s="25"/>
      <c r="BX891" s="25"/>
      <c r="BY891" s="25"/>
      <c r="BZ891" s="25"/>
      <c r="CA891" s="25"/>
      <c r="CB891" s="25"/>
    </row>
    <row r="892" spans="1:80" ht="12.75" hidden="1" customHeight="1">
      <c r="A892" s="10">
        <f ca="1">IFERROR(__xludf.DUMMYFUNCTION("""COMPUTED_VALUE"""),2013)</f>
        <v>2013</v>
      </c>
      <c r="B892" s="50">
        <f ca="1">IFERROR(__xludf.DUMMYFUNCTION("""COMPUTED_VALUE"""),41948)</f>
        <v>41948</v>
      </c>
      <c r="C892" s="41">
        <f ca="1">IFERROR(__xludf.DUMMYFUNCTION("""COMPUTED_VALUE"""),41883)</f>
        <v>41883</v>
      </c>
      <c r="D892" s="42" t="str">
        <f ca="1">IFERROR(__xludf.DUMMYFUNCTION("""COMPUTED_VALUE"""),"Long-tailed Skua")</f>
        <v>Long-tailed Skua</v>
      </c>
      <c r="E892" s="53">
        <f ca="1">IFERROR(__xludf.DUMMYFUNCTION("""COMPUTED_VALUE"""),1)</f>
        <v>1</v>
      </c>
      <c r="F892" s="15" t="str">
        <f ca="1">IFERROR(__xludf.DUMMYFUNCTION("""COMPUTED_VALUE"""),"int Juv")</f>
        <v>int Juv</v>
      </c>
      <c r="G892" s="44" t="str">
        <f ca="1">IFERROR(__xludf.DUMMYFUNCTION("""COMPUTED_VALUE"""),"Hoylake")</f>
        <v>Hoylake</v>
      </c>
      <c r="H892" s="12">
        <f ca="1">IFERROR(__xludf.DUMMYFUNCTION("""COMPUTED_VALUE"""),41532)</f>
        <v>41532</v>
      </c>
      <c r="I892" s="12"/>
      <c r="J892" s="14" t="str">
        <f ca="1">IFERROR(__xludf.DUMMYFUNCTION("""COMPUTED_VALUE"""),"Turner, JE")</f>
        <v>Turner, JE</v>
      </c>
      <c r="K892" s="15" t="str">
        <f ca="1">IFERROR(__xludf.DUMMYFUNCTION("""COMPUTED_VALUE"""),"Turner, JE")</f>
        <v>Turner, JE</v>
      </c>
      <c r="L892" s="17" t="str">
        <f ca="1">IFERROR(__xludf.DUMMYFUNCTION("""COMPUTED_VALUE"""),"closed")</f>
        <v>closed</v>
      </c>
      <c r="M892" s="17" t="str">
        <f ca="1">IFERROR(__xludf.DUMMYFUNCTION("""COMPUTED_VALUE"""),"1st U")</f>
        <v>1st U</v>
      </c>
      <c r="N892" s="15" t="str">
        <f ca="1">IFERROR(__xludf.DUMMYFUNCTION("""COMPUTED_VALUE"""),"accepted")</f>
        <v>accepted</v>
      </c>
      <c r="O892" s="18"/>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c r="BM892" s="15"/>
      <c r="BN892" s="15"/>
      <c r="BO892" s="15"/>
      <c r="BP892" s="15"/>
      <c r="BQ892" s="15"/>
      <c r="BR892" s="15"/>
      <c r="BS892" s="15"/>
      <c r="BT892" s="15"/>
      <c r="BU892" s="15"/>
      <c r="BV892" s="15"/>
      <c r="BW892" s="15"/>
      <c r="BX892" s="15"/>
      <c r="BY892" s="15"/>
      <c r="BZ892" s="15"/>
      <c r="CA892" s="15"/>
      <c r="CB892" s="15"/>
    </row>
    <row r="893" spans="1:80" ht="12.75" hidden="1" customHeight="1">
      <c r="A893" s="20">
        <f ca="1">IFERROR(__xludf.DUMMYFUNCTION("""COMPUTED_VALUE"""),2013)</f>
        <v>2013</v>
      </c>
      <c r="B893" s="45">
        <f ca="1">IFERROR(__xludf.DUMMYFUNCTION("""COMPUTED_VALUE"""),41948)</f>
        <v>41948</v>
      </c>
      <c r="C893" s="46"/>
      <c r="D893" s="47" t="str">
        <f ca="1">IFERROR(__xludf.DUMMYFUNCTION("""COMPUTED_VALUE"""),"Long-tailed Skua")</f>
        <v>Long-tailed Skua</v>
      </c>
      <c r="E893" s="52">
        <f ca="1">IFERROR(__xludf.DUMMYFUNCTION("""COMPUTED_VALUE"""),2)</f>
        <v>2</v>
      </c>
      <c r="F893" s="25" t="str">
        <f ca="1">IFERROR(__xludf.DUMMYFUNCTION("""COMPUTED_VALUE"""),"int juv, pale juv")</f>
        <v>int juv, pale juv</v>
      </c>
      <c r="G893" s="48" t="str">
        <f ca="1">IFERROR(__xludf.DUMMYFUNCTION("""COMPUTED_VALUE"""),"Hilbre")</f>
        <v>Hilbre</v>
      </c>
      <c r="H893" s="22">
        <f ca="1">IFERROR(__xludf.DUMMYFUNCTION("""COMPUTED_VALUE"""),41533)</f>
        <v>41533</v>
      </c>
      <c r="I893" s="22"/>
      <c r="J893" s="24" t="str">
        <f ca="1">IFERROR(__xludf.DUMMYFUNCTION("""COMPUTED_VALUE"""),"Hilbre Bird Observatory")</f>
        <v>Hilbre Bird Observatory</v>
      </c>
      <c r="K893" s="25"/>
      <c r="L893" s="27" t="str">
        <f ca="1">IFERROR(__xludf.DUMMYFUNCTION("""COMPUTED_VALUE"""),"closed")</f>
        <v>closed</v>
      </c>
      <c r="M893" s="27" t="str">
        <f ca="1">IFERROR(__xludf.DUMMYFUNCTION("""COMPUTED_VALUE"""),"proxy")</f>
        <v>proxy</v>
      </c>
      <c r="N893" s="25" t="str">
        <f ca="1">IFERROR(__xludf.DUMMYFUNCTION("""COMPUTED_VALUE"""),"accepted")</f>
        <v>accepted</v>
      </c>
      <c r="O893" s="28"/>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c r="AQ893" s="25"/>
      <c r="AR893" s="25"/>
      <c r="AS893" s="25"/>
      <c r="AT893" s="25"/>
      <c r="AU893" s="25"/>
      <c r="AV893" s="25"/>
      <c r="AW893" s="25"/>
      <c r="AX893" s="25"/>
      <c r="AY893" s="25"/>
      <c r="AZ893" s="25"/>
      <c r="BA893" s="25"/>
      <c r="BB893" s="25"/>
      <c r="BC893" s="25"/>
      <c r="BD893" s="25"/>
      <c r="BE893" s="25"/>
      <c r="BF893" s="25"/>
      <c r="BG893" s="25"/>
      <c r="BH893" s="25"/>
      <c r="BI893" s="25"/>
      <c r="BJ893" s="25"/>
      <c r="BK893" s="25"/>
      <c r="BL893" s="25"/>
      <c r="BM893" s="25"/>
      <c r="BN893" s="25"/>
      <c r="BO893" s="25"/>
      <c r="BP893" s="25"/>
      <c r="BQ893" s="25"/>
      <c r="BR893" s="25"/>
      <c r="BS893" s="25"/>
      <c r="BT893" s="25"/>
      <c r="BU893" s="25"/>
      <c r="BV893" s="25"/>
      <c r="BW893" s="25"/>
      <c r="BX893" s="25"/>
      <c r="BY893" s="25"/>
      <c r="BZ893" s="25"/>
      <c r="CA893" s="25"/>
      <c r="CB893" s="25"/>
    </row>
    <row r="894" spans="1:80" ht="12.75" hidden="1" customHeight="1">
      <c r="A894" s="10">
        <f ca="1">IFERROR(__xludf.DUMMYFUNCTION("""COMPUTED_VALUE"""),2013)</f>
        <v>2013</v>
      </c>
      <c r="B894" s="50">
        <f ca="1">IFERROR(__xludf.DUMMYFUNCTION("""COMPUTED_VALUE"""),41948)</f>
        <v>41948</v>
      </c>
      <c r="C894" s="41">
        <f ca="1">IFERROR(__xludf.DUMMYFUNCTION("""COMPUTED_VALUE"""),41883)</f>
        <v>41883</v>
      </c>
      <c r="D894" s="42" t="str">
        <f ca="1">IFERROR(__xludf.DUMMYFUNCTION("""COMPUTED_VALUE"""),"Long-tailed Skua")</f>
        <v>Long-tailed Skua</v>
      </c>
      <c r="E894" s="53">
        <f ca="1">IFERROR(__xludf.DUMMYFUNCTION("""COMPUTED_VALUE"""),1)</f>
        <v>1</v>
      </c>
      <c r="F894" s="15" t="str">
        <f ca="1">IFERROR(__xludf.DUMMYFUNCTION("""COMPUTED_VALUE"""),"int juv")</f>
        <v>int juv</v>
      </c>
      <c r="G894" s="44" t="str">
        <f ca="1">IFERROR(__xludf.DUMMYFUNCTION("""COMPUTED_VALUE"""),"Hoylake")</f>
        <v>Hoylake</v>
      </c>
      <c r="H894" s="12">
        <f ca="1">IFERROR(__xludf.DUMMYFUNCTION("""COMPUTED_VALUE"""),41533)</f>
        <v>41533</v>
      </c>
      <c r="I894" s="12"/>
      <c r="J894" s="14" t="str">
        <f ca="1">IFERROR(__xludf.DUMMYFUNCTION("""COMPUTED_VALUE"""),"Turner, JE")</f>
        <v>Turner, JE</v>
      </c>
      <c r="K894" s="15" t="str">
        <f ca="1">IFERROR(__xludf.DUMMYFUNCTION("""COMPUTED_VALUE"""),"Turner, JE")</f>
        <v>Turner, JE</v>
      </c>
      <c r="L894" s="17" t="str">
        <f ca="1">IFERROR(__xludf.DUMMYFUNCTION("""COMPUTED_VALUE"""),"closed")</f>
        <v>closed</v>
      </c>
      <c r="M894" s="17" t="str">
        <f ca="1">IFERROR(__xludf.DUMMYFUNCTION("""COMPUTED_VALUE"""),"1st U")</f>
        <v>1st U</v>
      </c>
      <c r="N894" s="15" t="str">
        <f ca="1">IFERROR(__xludf.DUMMYFUNCTION("""COMPUTED_VALUE"""),"accepted")</f>
        <v>accepted</v>
      </c>
      <c r="O894" s="18"/>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c r="BM894" s="15"/>
      <c r="BN894" s="15"/>
      <c r="BO894" s="15"/>
      <c r="BP894" s="15"/>
      <c r="BQ894" s="15"/>
      <c r="BR894" s="15"/>
      <c r="BS894" s="15"/>
      <c r="BT894" s="15"/>
      <c r="BU894" s="15"/>
      <c r="BV894" s="15"/>
      <c r="BW894" s="15"/>
      <c r="BX894" s="15"/>
      <c r="BY894" s="15"/>
      <c r="BZ894" s="15"/>
      <c r="CA894" s="15"/>
      <c r="CB894" s="15"/>
    </row>
    <row r="895" spans="1:80" ht="12.75" hidden="1" customHeight="1">
      <c r="A895" s="20">
        <f ca="1">IFERROR(__xludf.DUMMYFUNCTION("""COMPUTED_VALUE"""),2013)</f>
        <v>2013</v>
      </c>
      <c r="B895" s="45">
        <f ca="1">IFERROR(__xludf.DUMMYFUNCTION("""COMPUTED_VALUE"""),41948)</f>
        <v>41948</v>
      </c>
      <c r="C895" s="46"/>
      <c r="D895" s="47" t="str">
        <f ca="1">IFERROR(__xludf.DUMMYFUNCTION("""COMPUTED_VALUE"""),"Long-tailed Skua")</f>
        <v>Long-tailed Skua</v>
      </c>
      <c r="E895" s="52">
        <f ca="1">IFERROR(__xludf.DUMMYFUNCTION("""COMPUTED_VALUE"""),1)</f>
        <v>1</v>
      </c>
      <c r="F895" s="25" t="str">
        <f ca="1">IFERROR(__xludf.DUMMYFUNCTION("""COMPUTED_VALUE"""),"sub ad")</f>
        <v>sub ad</v>
      </c>
      <c r="G895" s="48" t="str">
        <f ca="1">IFERROR(__xludf.DUMMYFUNCTION("""COMPUTED_VALUE"""),"Hilbre")</f>
        <v>Hilbre</v>
      </c>
      <c r="H895" s="22">
        <f ca="1">IFERROR(__xludf.DUMMYFUNCTION("""COMPUTED_VALUE"""),41534)</f>
        <v>41534</v>
      </c>
      <c r="I895" s="22"/>
      <c r="J895" s="24" t="str">
        <f ca="1">IFERROR(__xludf.DUMMYFUNCTION("""COMPUTED_VALUE"""),"Hilbre Bird Observatory")</f>
        <v>Hilbre Bird Observatory</v>
      </c>
      <c r="K895" s="25"/>
      <c r="L895" s="27" t="str">
        <f ca="1">IFERROR(__xludf.DUMMYFUNCTION("""COMPUTED_VALUE"""),"closed")</f>
        <v>closed</v>
      </c>
      <c r="M895" s="27" t="str">
        <f ca="1">IFERROR(__xludf.DUMMYFUNCTION("""COMPUTED_VALUE"""),"proxy")</f>
        <v>proxy</v>
      </c>
      <c r="N895" s="25" t="str">
        <f ca="1">IFERROR(__xludf.DUMMYFUNCTION("""COMPUTED_VALUE"""),"accepted")</f>
        <v>accepted</v>
      </c>
      <c r="O895" s="28"/>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c r="AQ895" s="25"/>
      <c r="AR895" s="25"/>
      <c r="AS895" s="25"/>
      <c r="AT895" s="25"/>
      <c r="AU895" s="25"/>
      <c r="AV895" s="25"/>
      <c r="AW895" s="25"/>
      <c r="AX895" s="25"/>
      <c r="AY895" s="25"/>
      <c r="AZ895" s="25"/>
      <c r="BA895" s="25"/>
      <c r="BB895" s="25"/>
      <c r="BC895" s="25"/>
      <c r="BD895" s="25"/>
      <c r="BE895" s="25"/>
      <c r="BF895" s="25"/>
      <c r="BG895" s="25"/>
      <c r="BH895" s="25"/>
      <c r="BI895" s="25"/>
      <c r="BJ895" s="25"/>
      <c r="BK895" s="25"/>
      <c r="BL895" s="25"/>
      <c r="BM895" s="25"/>
      <c r="BN895" s="25"/>
      <c r="BO895" s="25"/>
      <c r="BP895" s="25"/>
      <c r="BQ895" s="25"/>
      <c r="BR895" s="25"/>
      <c r="BS895" s="25"/>
      <c r="BT895" s="25"/>
      <c r="BU895" s="25"/>
      <c r="BV895" s="25"/>
      <c r="BW895" s="25"/>
      <c r="BX895" s="25"/>
      <c r="BY895" s="25"/>
      <c r="BZ895" s="25"/>
      <c r="CA895" s="25"/>
      <c r="CB895" s="25"/>
    </row>
    <row r="896" spans="1:80" ht="12.75" hidden="1" customHeight="1">
      <c r="A896" s="10">
        <f ca="1">IFERROR(__xludf.DUMMYFUNCTION("""COMPUTED_VALUE"""),2013)</f>
        <v>2013</v>
      </c>
      <c r="B896" s="50">
        <f ca="1">IFERROR(__xludf.DUMMYFUNCTION("""COMPUTED_VALUE"""),41948)</f>
        <v>41948</v>
      </c>
      <c r="C896" s="41">
        <f ca="1">IFERROR(__xludf.DUMMYFUNCTION("""COMPUTED_VALUE"""),41883)</f>
        <v>41883</v>
      </c>
      <c r="D896" s="42" t="str">
        <f ca="1">IFERROR(__xludf.DUMMYFUNCTION("""COMPUTED_VALUE"""),"Long-tailed Skua")</f>
        <v>Long-tailed Skua</v>
      </c>
      <c r="E896" s="53">
        <f ca="1">IFERROR(__xludf.DUMMYFUNCTION("""COMPUTED_VALUE"""),2)</f>
        <v>2</v>
      </c>
      <c r="F896" s="15" t="str">
        <f ca="1">IFERROR(__xludf.DUMMYFUNCTION("""COMPUTED_VALUE"""),"near ad, int juv")</f>
        <v>near ad, int juv</v>
      </c>
      <c r="G896" s="44" t="str">
        <f ca="1">IFERROR(__xludf.DUMMYFUNCTION("""COMPUTED_VALUE"""),"Hoylake")</f>
        <v>Hoylake</v>
      </c>
      <c r="H896" s="12">
        <f ca="1">IFERROR(__xludf.DUMMYFUNCTION("""COMPUTED_VALUE"""),41534)</f>
        <v>41534</v>
      </c>
      <c r="I896" s="12"/>
      <c r="J896" s="14" t="str">
        <f ca="1">IFERROR(__xludf.DUMMYFUNCTION("""COMPUTED_VALUE"""),"Turner, JE")</f>
        <v>Turner, JE</v>
      </c>
      <c r="K896" s="15" t="str">
        <f ca="1">IFERROR(__xludf.DUMMYFUNCTION("""COMPUTED_VALUE"""),"Turner, JE")</f>
        <v>Turner, JE</v>
      </c>
      <c r="L896" s="17" t="str">
        <f ca="1">IFERROR(__xludf.DUMMYFUNCTION("""COMPUTED_VALUE"""),"closed")</f>
        <v>closed</v>
      </c>
      <c r="M896" s="17" t="str">
        <f ca="1">IFERROR(__xludf.DUMMYFUNCTION("""COMPUTED_VALUE"""),"1st U")</f>
        <v>1st U</v>
      </c>
      <c r="N896" s="15" t="str">
        <f ca="1">IFERROR(__xludf.DUMMYFUNCTION("""COMPUTED_VALUE"""),"accepted")</f>
        <v>accepted</v>
      </c>
      <c r="O896" s="18"/>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c r="BM896" s="15"/>
      <c r="BN896" s="15"/>
      <c r="BO896" s="15"/>
      <c r="BP896" s="15"/>
      <c r="BQ896" s="15"/>
      <c r="BR896" s="15"/>
      <c r="BS896" s="15"/>
      <c r="BT896" s="15"/>
      <c r="BU896" s="15"/>
      <c r="BV896" s="15"/>
      <c r="BW896" s="15"/>
      <c r="BX896" s="15"/>
      <c r="BY896" s="15"/>
      <c r="BZ896" s="15"/>
      <c r="CA896" s="15"/>
      <c r="CB896" s="15"/>
    </row>
    <row r="897" spans="1:80" ht="12.75" hidden="1" customHeight="1">
      <c r="A897" s="20">
        <f ca="1">IFERROR(__xludf.DUMMYFUNCTION("""COMPUTED_VALUE"""),2013)</f>
        <v>2013</v>
      </c>
      <c r="B897" s="45">
        <f ca="1">IFERROR(__xludf.DUMMYFUNCTION("""COMPUTED_VALUE"""),41948)</f>
        <v>41948</v>
      </c>
      <c r="C897" s="46">
        <f ca="1">IFERROR(__xludf.DUMMYFUNCTION("""COMPUTED_VALUE"""),41883)</f>
        <v>41883</v>
      </c>
      <c r="D897" s="47" t="str">
        <f ca="1">IFERROR(__xludf.DUMMYFUNCTION("""COMPUTED_VALUE"""),"Long-tailed Skua")</f>
        <v>Long-tailed Skua</v>
      </c>
      <c r="E897" s="52">
        <f ca="1">IFERROR(__xludf.DUMMYFUNCTION("""COMPUTED_VALUE"""),1)</f>
        <v>1</v>
      </c>
      <c r="F897" s="25" t="str">
        <f ca="1">IFERROR(__xludf.DUMMYFUNCTION("""COMPUTED_VALUE"""),"in juv ")</f>
        <v xml:space="preserve">in juv </v>
      </c>
      <c r="G897" s="48" t="str">
        <f ca="1">IFERROR(__xludf.DUMMYFUNCTION("""COMPUTED_VALUE"""),"Hoylake")</f>
        <v>Hoylake</v>
      </c>
      <c r="H897" s="22">
        <f ca="1">IFERROR(__xludf.DUMMYFUNCTION("""COMPUTED_VALUE"""),41535)</f>
        <v>41535</v>
      </c>
      <c r="I897" s="22"/>
      <c r="J897" s="24" t="str">
        <f ca="1">IFERROR(__xludf.DUMMYFUNCTION("""COMPUTED_VALUE"""),"Turner, JE")</f>
        <v>Turner, JE</v>
      </c>
      <c r="K897" s="25" t="str">
        <f ca="1">IFERROR(__xludf.DUMMYFUNCTION("""COMPUTED_VALUE"""),"Turner, JE")</f>
        <v>Turner, JE</v>
      </c>
      <c r="L897" s="27" t="str">
        <f ca="1">IFERROR(__xludf.DUMMYFUNCTION("""COMPUTED_VALUE"""),"closed")</f>
        <v>closed</v>
      </c>
      <c r="M897" s="27" t="str">
        <f ca="1">IFERROR(__xludf.DUMMYFUNCTION("""COMPUTED_VALUE"""),"1st U")</f>
        <v>1st U</v>
      </c>
      <c r="N897" s="25" t="str">
        <f ca="1">IFERROR(__xludf.DUMMYFUNCTION("""COMPUTED_VALUE"""),"accepted")</f>
        <v>accepted</v>
      </c>
      <c r="O897" s="28"/>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c r="AQ897" s="25"/>
      <c r="AR897" s="25"/>
      <c r="AS897" s="25"/>
      <c r="AT897" s="25"/>
      <c r="AU897" s="25"/>
      <c r="AV897" s="25"/>
      <c r="AW897" s="25"/>
      <c r="AX897" s="25"/>
      <c r="AY897" s="25"/>
      <c r="AZ897" s="25"/>
      <c r="BA897" s="25"/>
      <c r="BB897" s="25"/>
      <c r="BC897" s="25"/>
      <c r="BD897" s="25"/>
      <c r="BE897" s="25"/>
      <c r="BF897" s="25"/>
      <c r="BG897" s="25"/>
      <c r="BH897" s="25"/>
      <c r="BI897" s="25"/>
      <c r="BJ897" s="25"/>
      <c r="BK897" s="25"/>
      <c r="BL897" s="25"/>
      <c r="BM897" s="25"/>
      <c r="BN897" s="25"/>
      <c r="BO897" s="25"/>
      <c r="BP897" s="25"/>
      <c r="BQ897" s="25"/>
      <c r="BR897" s="25"/>
      <c r="BS897" s="25"/>
      <c r="BT897" s="25"/>
      <c r="BU897" s="25"/>
      <c r="BV897" s="25"/>
      <c r="BW897" s="25"/>
      <c r="BX897" s="25"/>
      <c r="BY897" s="25"/>
      <c r="BZ897" s="25"/>
      <c r="CA897" s="25"/>
      <c r="CB897" s="25"/>
    </row>
    <row r="898" spans="1:80" ht="12.75" hidden="1" customHeight="1">
      <c r="A898" s="10">
        <f ca="1">IFERROR(__xludf.DUMMYFUNCTION("""COMPUTED_VALUE"""),2013)</f>
        <v>2013</v>
      </c>
      <c r="B898" s="50">
        <f ca="1">IFERROR(__xludf.DUMMYFUNCTION("""COMPUTED_VALUE"""),41886)</f>
        <v>41886</v>
      </c>
      <c r="C898" s="41">
        <f ca="1">IFERROR(__xludf.DUMMYFUNCTION("""COMPUTED_VALUE"""),41883)</f>
        <v>41883</v>
      </c>
      <c r="D898" s="42" t="str">
        <f ca="1">IFERROR(__xludf.DUMMYFUNCTION("""COMPUTED_VALUE"""),"Black Guillemot")</f>
        <v>Black Guillemot</v>
      </c>
      <c r="E898" s="53">
        <f ca="1">IFERROR(__xludf.DUMMYFUNCTION("""COMPUTED_VALUE"""),1)</f>
        <v>1</v>
      </c>
      <c r="F898" s="15"/>
      <c r="G898" s="44" t="str">
        <f ca="1">IFERROR(__xludf.DUMMYFUNCTION("""COMPUTED_VALUE"""),"Hilbre")</f>
        <v>Hilbre</v>
      </c>
      <c r="H898" s="12">
        <f ca="1">IFERROR(__xludf.DUMMYFUNCTION("""COMPUTED_VALUE"""),41429)</f>
        <v>41429</v>
      </c>
      <c r="I898" s="13"/>
      <c r="J898" s="14" t="str">
        <f ca="1">IFERROR(__xludf.DUMMYFUNCTION("""COMPUTED_VALUE"""),"Hilbre Bird Observatory")</f>
        <v>Hilbre Bird Observatory</v>
      </c>
      <c r="K898" s="15"/>
      <c r="L898" s="17" t="str">
        <f ca="1">IFERROR(__xludf.DUMMYFUNCTION("""COMPUTED_VALUE"""),"closed")</f>
        <v>closed</v>
      </c>
      <c r="M898" s="17" t="str">
        <f ca="1">IFERROR(__xludf.DUMMYFUNCTION("""COMPUTED_VALUE"""),"1st U")</f>
        <v>1st U</v>
      </c>
      <c r="N898" s="15" t="str">
        <f ca="1">IFERROR(__xludf.DUMMYFUNCTION("""COMPUTED_VALUE"""),"accepted")</f>
        <v>accepted</v>
      </c>
      <c r="O898" s="18"/>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c r="BM898" s="15"/>
      <c r="BN898" s="15"/>
      <c r="BO898" s="15"/>
      <c r="BP898" s="15"/>
      <c r="BQ898" s="15"/>
      <c r="BR898" s="15"/>
      <c r="BS898" s="15"/>
      <c r="BT898" s="15"/>
      <c r="BU898" s="15"/>
      <c r="BV898" s="15"/>
      <c r="BW898" s="15"/>
      <c r="BX898" s="15"/>
      <c r="BY898" s="15"/>
      <c r="BZ898" s="15"/>
      <c r="CA898" s="15"/>
      <c r="CB898" s="15"/>
    </row>
    <row r="899" spans="1:80" ht="12.75" hidden="1" customHeight="1">
      <c r="A899" s="20">
        <f ca="1">IFERROR(__xludf.DUMMYFUNCTION("""COMPUTED_VALUE"""),2013)</f>
        <v>2013</v>
      </c>
      <c r="B899" s="45">
        <f ca="1">IFERROR(__xludf.DUMMYFUNCTION("""COMPUTED_VALUE"""),41948)</f>
        <v>41948</v>
      </c>
      <c r="C899" s="46">
        <f ca="1">IFERROR(__xludf.DUMMYFUNCTION("""COMPUTED_VALUE"""),41800)</f>
        <v>41800</v>
      </c>
      <c r="D899" s="47" t="str">
        <f ca="1">IFERROR(__xludf.DUMMYFUNCTION("""COMPUTED_VALUE"""),"Puffin")</f>
        <v>Puffin</v>
      </c>
      <c r="E899" s="52">
        <f ca="1">IFERROR(__xludf.DUMMYFUNCTION("""COMPUTED_VALUE"""),1)</f>
        <v>1</v>
      </c>
      <c r="F899" s="25"/>
      <c r="G899" s="48" t="str">
        <f ca="1">IFERROR(__xludf.DUMMYFUNCTION("""COMPUTED_VALUE"""),"Hoylake")</f>
        <v>Hoylake</v>
      </c>
      <c r="H899" s="22">
        <f ca="1">IFERROR(__xludf.DUMMYFUNCTION("""COMPUTED_VALUE"""),41382)</f>
        <v>41382</v>
      </c>
      <c r="I899" s="22">
        <f ca="1">IFERROR(__xludf.DUMMYFUNCTION("""COMPUTED_VALUE"""),41383)</f>
        <v>41383</v>
      </c>
      <c r="J899" s="24" t="str">
        <f ca="1">IFERROR(__xludf.DUMMYFUNCTION("""COMPUTED_VALUE"""),"Turner, JE")</f>
        <v>Turner, JE</v>
      </c>
      <c r="K899" s="25" t="str">
        <f ca="1">IFERROR(__xludf.DUMMYFUNCTION("""COMPUTED_VALUE"""),"Turner, JE")</f>
        <v>Turner, JE</v>
      </c>
      <c r="L899" s="27" t="str">
        <f ca="1">IFERROR(__xludf.DUMMYFUNCTION("""COMPUTED_VALUE"""),"closed")</f>
        <v>closed</v>
      </c>
      <c r="M899" s="27" t="str">
        <f ca="1">IFERROR(__xludf.DUMMYFUNCTION("""COMPUTED_VALUE"""),"1st U")</f>
        <v>1st U</v>
      </c>
      <c r="N899" s="25" t="str">
        <f ca="1">IFERROR(__xludf.DUMMYFUNCTION("""COMPUTED_VALUE"""),"accepted")</f>
        <v>accepted</v>
      </c>
      <c r="O899" s="28"/>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c r="AQ899" s="25"/>
      <c r="AR899" s="25"/>
      <c r="AS899" s="25"/>
      <c r="AT899" s="25"/>
      <c r="AU899" s="25"/>
      <c r="AV899" s="25"/>
      <c r="AW899" s="25"/>
      <c r="AX899" s="25"/>
      <c r="AY899" s="25"/>
      <c r="AZ899" s="25"/>
      <c r="BA899" s="25"/>
      <c r="BB899" s="25"/>
      <c r="BC899" s="25"/>
      <c r="BD899" s="25"/>
      <c r="BE899" s="25"/>
      <c r="BF899" s="25"/>
      <c r="BG899" s="25"/>
      <c r="BH899" s="25"/>
      <c r="BI899" s="25"/>
      <c r="BJ899" s="25"/>
      <c r="BK899" s="25"/>
      <c r="BL899" s="25"/>
      <c r="BM899" s="25"/>
      <c r="BN899" s="25"/>
      <c r="BO899" s="25"/>
      <c r="BP899" s="25"/>
      <c r="BQ899" s="25"/>
      <c r="BR899" s="25"/>
      <c r="BS899" s="25"/>
      <c r="BT899" s="25"/>
      <c r="BU899" s="25"/>
      <c r="BV899" s="25"/>
      <c r="BW899" s="25"/>
      <c r="BX899" s="25"/>
      <c r="BY899" s="25"/>
      <c r="BZ899" s="25"/>
      <c r="CA899" s="25"/>
      <c r="CB899" s="25"/>
    </row>
    <row r="900" spans="1:80" ht="12.75" hidden="1" customHeight="1">
      <c r="A900" s="10">
        <f ca="1">IFERROR(__xludf.DUMMYFUNCTION("""COMPUTED_VALUE"""),2013)</f>
        <v>2013</v>
      </c>
      <c r="B900" s="50">
        <f ca="1">IFERROR(__xludf.DUMMYFUNCTION("""COMPUTED_VALUE"""),41948)</f>
        <v>41948</v>
      </c>
      <c r="C900" s="41"/>
      <c r="D900" s="42" t="str">
        <f ca="1">IFERROR(__xludf.DUMMYFUNCTION("""COMPUTED_VALUE"""),"Puffin")</f>
        <v>Puffin</v>
      </c>
      <c r="E900" s="53">
        <f ca="1">IFERROR(__xludf.DUMMYFUNCTION("""COMPUTED_VALUE"""),1)</f>
        <v>1</v>
      </c>
      <c r="F900" s="15"/>
      <c r="G900" s="44" t="str">
        <f ca="1">IFERROR(__xludf.DUMMYFUNCTION("""COMPUTED_VALUE"""),"Hilbre")</f>
        <v>Hilbre</v>
      </c>
      <c r="H900" s="12">
        <f ca="1">IFERROR(__xludf.DUMMYFUNCTION("""COMPUTED_VALUE"""),41387)</f>
        <v>41387</v>
      </c>
      <c r="I900" s="12"/>
      <c r="J900" s="14" t="str">
        <f ca="1">IFERROR(__xludf.DUMMYFUNCTION("""COMPUTED_VALUE"""),"Hilbre Bird Observatory")</f>
        <v>Hilbre Bird Observatory</v>
      </c>
      <c r="K900" s="15"/>
      <c r="L900" s="17" t="str">
        <f ca="1">IFERROR(__xludf.DUMMYFUNCTION("""COMPUTED_VALUE"""),"closed")</f>
        <v>closed</v>
      </c>
      <c r="M900" s="17" t="str">
        <f ca="1">IFERROR(__xludf.DUMMYFUNCTION("""COMPUTED_VALUE"""),"proxy")</f>
        <v>proxy</v>
      </c>
      <c r="N900" s="15" t="str">
        <f ca="1">IFERROR(__xludf.DUMMYFUNCTION("""COMPUTED_VALUE"""),"accepted")</f>
        <v>accepted</v>
      </c>
      <c r="O900" s="18"/>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c r="BM900" s="15"/>
      <c r="BN900" s="15"/>
      <c r="BO900" s="15"/>
      <c r="BP900" s="15"/>
      <c r="BQ900" s="15"/>
      <c r="BR900" s="15"/>
      <c r="BS900" s="15"/>
      <c r="BT900" s="15"/>
      <c r="BU900" s="15"/>
      <c r="BV900" s="15"/>
      <c r="BW900" s="15"/>
      <c r="BX900" s="15"/>
      <c r="BY900" s="15"/>
      <c r="BZ900" s="15"/>
      <c r="CA900" s="15"/>
      <c r="CB900" s="15"/>
    </row>
    <row r="901" spans="1:80" ht="12.75" hidden="1" customHeight="1">
      <c r="A901" s="20">
        <f ca="1">IFERROR(__xludf.DUMMYFUNCTION("""COMPUTED_VALUE"""),2013)</f>
        <v>2013</v>
      </c>
      <c r="B901" s="45">
        <f ca="1">IFERROR(__xludf.DUMMYFUNCTION("""COMPUTED_VALUE"""),41446)</f>
        <v>41446</v>
      </c>
      <c r="C901" s="46">
        <f ca="1">IFERROR(__xludf.DUMMYFUNCTION("""COMPUTED_VALUE"""),41810)</f>
        <v>41810</v>
      </c>
      <c r="D901" s="47" t="str">
        <f ca="1">IFERROR(__xludf.DUMMYFUNCTION("""COMPUTED_VALUE"""),"Puffin")</f>
        <v>Puffin</v>
      </c>
      <c r="E901" s="52">
        <f ca="1">IFERROR(__xludf.DUMMYFUNCTION("""COMPUTED_VALUE"""),1)</f>
        <v>1</v>
      </c>
      <c r="F901" s="25"/>
      <c r="G901" s="48" t="str">
        <f ca="1">IFERROR(__xludf.DUMMYFUNCTION("""COMPUTED_VALUE"""),"at sea 7m NNW of hilbre")</f>
        <v>at sea 7m NNW of hilbre</v>
      </c>
      <c r="H901" s="22">
        <f ca="1">IFERROR(__xludf.DUMMYFUNCTION("""COMPUTED_VALUE"""),41465)</f>
        <v>41465</v>
      </c>
      <c r="I901" s="22"/>
      <c r="J901" s="24" t="str">
        <f ca="1">IFERROR(__xludf.DUMMYFUNCTION("""COMPUTED_VALUE"""),"Turner, JE")</f>
        <v>Turner, JE</v>
      </c>
      <c r="K901" s="25" t="str">
        <f ca="1">IFERROR(__xludf.DUMMYFUNCTION("""COMPUTED_VALUE"""),"Turner, JE")</f>
        <v>Turner, JE</v>
      </c>
      <c r="L901" s="27" t="str">
        <f ca="1">IFERROR(__xludf.DUMMYFUNCTION("""COMPUTED_VALUE"""),"closed")</f>
        <v>closed</v>
      </c>
      <c r="M901" s="27" t="str">
        <f ca="1">IFERROR(__xludf.DUMMYFUNCTION("""COMPUTED_VALUE"""),"1st U")</f>
        <v>1st U</v>
      </c>
      <c r="N901" s="25" t="str">
        <f ca="1">IFERROR(__xludf.DUMMYFUNCTION("""COMPUTED_VALUE"""),"accepted")</f>
        <v>accepted</v>
      </c>
      <c r="O901" s="28"/>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c r="AQ901" s="25"/>
      <c r="AR901" s="25"/>
      <c r="AS901" s="25"/>
      <c r="AT901" s="25"/>
      <c r="AU901" s="25"/>
      <c r="AV901" s="25"/>
      <c r="AW901" s="25"/>
      <c r="AX901" s="25"/>
      <c r="AY901" s="25"/>
      <c r="AZ901" s="25"/>
      <c r="BA901" s="25"/>
      <c r="BB901" s="25"/>
      <c r="BC901" s="25"/>
      <c r="BD901" s="25"/>
      <c r="BE901" s="25"/>
      <c r="BF901" s="25"/>
      <c r="BG901" s="25"/>
      <c r="BH901" s="25"/>
      <c r="BI901" s="25"/>
      <c r="BJ901" s="25"/>
      <c r="BK901" s="25"/>
      <c r="BL901" s="25"/>
      <c r="BM901" s="25"/>
      <c r="BN901" s="25"/>
      <c r="BO901" s="25"/>
      <c r="BP901" s="25"/>
      <c r="BQ901" s="25"/>
      <c r="BR901" s="25"/>
      <c r="BS901" s="25"/>
      <c r="BT901" s="25"/>
      <c r="BU901" s="25"/>
      <c r="BV901" s="25"/>
      <c r="BW901" s="25"/>
      <c r="BX901" s="25"/>
      <c r="BY901" s="25"/>
      <c r="BZ901" s="25"/>
      <c r="CA901" s="25"/>
      <c r="CB901" s="25"/>
    </row>
    <row r="902" spans="1:80" ht="12.75" hidden="1" customHeight="1">
      <c r="A902" s="10">
        <f ca="1">IFERROR(__xludf.DUMMYFUNCTION("""COMPUTED_VALUE"""),2013)</f>
        <v>2013</v>
      </c>
      <c r="B902" s="50">
        <f ca="1">IFERROR(__xludf.DUMMYFUNCTION("""COMPUTED_VALUE"""),41878)</f>
        <v>41878</v>
      </c>
      <c r="C902" s="41"/>
      <c r="D902" s="42" t="str">
        <f ca="1">IFERROR(__xludf.DUMMYFUNCTION("""COMPUTED_VALUE"""),"Black-throated Diver")</f>
        <v>Black-throated Diver</v>
      </c>
      <c r="E902" s="53">
        <f ca="1">IFERROR(__xludf.DUMMYFUNCTION("""COMPUTED_VALUE"""),1)</f>
        <v>1</v>
      </c>
      <c r="F902" s="15"/>
      <c r="G902" s="44" t="str">
        <f ca="1">IFERROR(__xludf.DUMMYFUNCTION("""COMPUTED_VALUE"""),"Hilbre")</f>
        <v>Hilbre</v>
      </c>
      <c r="H902" s="12">
        <f ca="1">IFERROR(__xludf.DUMMYFUNCTION("""COMPUTED_VALUE"""),41301)</f>
        <v>41301</v>
      </c>
      <c r="I902" s="13"/>
      <c r="J902" s="68" t="str">
        <f ca="1">IFERROR(__xludf.DUMMYFUNCTION("""COMPUTED_VALUE"""),"Hilbre Bird Observatory")</f>
        <v>Hilbre Bird Observatory</v>
      </c>
      <c r="K902" s="15"/>
      <c r="L902" s="17" t="str">
        <f ca="1">IFERROR(__xludf.DUMMYFUNCTION("""COMPUTED_VALUE"""),"closed")</f>
        <v>closed</v>
      </c>
      <c r="M902" s="17" t="str">
        <f ca="1">IFERROR(__xludf.DUMMYFUNCTION("""COMPUTED_VALUE"""),"proxy")</f>
        <v>proxy</v>
      </c>
      <c r="N902" s="15" t="str">
        <f ca="1">IFERROR(__xludf.DUMMYFUNCTION("""COMPUTED_VALUE"""),"accepted")</f>
        <v>accepted</v>
      </c>
      <c r="O902" s="18"/>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c r="BM902" s="15"/>
      <c r="BN902" s="15"/>
      <c r="BO902" s="15"/>
      <c r="BP902" s="15"/>
      <c r="BQ902" s="15"/>
      <c r="BR902" s="15"/>
      <c r="BS902" s="15"/>
      <c r="BT902" s="15"/>
      <c r="BU902" s="15"/>
      <c r="BV902" s="15"/>
      <c r="BW902" s="15"/>
      <c r="BX902" s="15"/>
      <c r="BY902" s="15"/>
      <c r="BZ902" s="15"/>
      <c r="CA902" s="15"/>
      <c r="CB902" s="15"/>
    </row>
    <row r="903" spans="1:80" ht="12.75" hidden="1" customHeight="1">
      <c r="A903" s="20">
        <f ca="1">IFERROR(__xludf.DUMMYFUNCTION("""COMPUTED_VALUE"""),2013)</f>
        <v>2013</v>
      </c>
      <c r="B903" s="45">
        <f ca="1">IFERROR(__xludf.DUMMYFUNCTION("""COMPUTED_VALUE"""),41878)</f>
        <v>41878</v>
      </c>
      <c r="C903" s="46"/>
      <c r="D903" s="47" t="str">
        <f ca="1">IFERROR(__xludf.DUMMYFUNCTION("""COMPUTED_VALUE"""),"Black-throated Diver")</f>
        <v>Black-throated Diver</v>
      </c>
      <c r="E903" s="52">
        <f ca="1">IFERROR(__xludf.DUMMYFUNCTION("""COMPUTED_VALUE"""),1)</f>
        <v>1</v>
      </c>
      <c r="F903" s="25"/>
      <c r="G903" s="48" t="str">
        <f ca="1">IFERROR(__xludf.DUMMYFUNCTION("""COMPUTED_VALUE"""),"Hilbre")</f>
        <v>Hilbre</v>
      </c>
      <c r="H903" s="22">
        <f ca="1">IFERROR(__xludf.DUMMYFUNCTION("""COMPUTED_VALUE"""),41314)</f>
        <v>41314</v>
      </c>
      <c r="I903" s="23"/>
      <c r="J903" s="67" t="str">
        <f ca="1">IFERROR(__xludf.DUMMYFUNCTION("""COMPUTED_VALUE"""),"Hilbre Bird Observatory")</f>
        <v>Hilbre Bird Observatory</v>
      </c>
      <c r="K903" s="25"/>
      <c r="L903" s="27" t="str">
        <f ca="1">IFERROR(__xludf.DUMMYFUNCTION("""COMPUTED_VALUE"""),"closed")</f>
        <v>closed</v>
      </c>
      <c r="M903" s="27" t="str">
        <f ca="1">IFERROR(__xludf.DUMMYFUNCTION("""COMPUTED_VALUE"""),"proxy")</f>
        <v>proxy</v>
      </c>
      <c r="N903" s="25" t="str">
        <f ca="1">IFERROR(__xludf.DUMMYFUNCTION("""COMPUTED_VALUE"""),"accepted")</f>
        <v>accepted</v>
      </c>
      <c r="O903" s="28"/>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c r="AQ903" s="25"/>
      <c r="AR903" s="25"/>
      <c r="AS903" s="25"/>
      <c r="AT903" s="25"/>
      <c r="AU903" s="25"/>
      <c r="AV903" s="25"/>
      <c r="AW903" s="25"/>
      <c r="AX903" s="25"/>
      <c r="AY903" s="25"/>
      <c r="AZ903" s="25"/>
      <c r="BA903" s="25"/>
      <c r="BB903" s="25"/>
      <c r="BC903" s="25"/>
      <c r="BD903" s="25"/>
      <c r="BE903" s="25"/>
      <c r="BF903" s="25"/>
      <c r="BG903" s="25"/>
      <c r="BH903" s="25"/>
      <c r="BI903" s="25"/>
      <c r="BJ903" s="25"/>
      <c r="BK903" s="25"/>
      <c r="BL903" s="25"/>
      <c r="BM903" s="25"/>
      <c r="BN903" s="25"/>
      <c r="BO903" s="25"/>
      <c r="BP903" s="25"/>
      <c r="BQ903" s="25"/>
      <c r="BR903" s="25"/>
      <c r="BS903" s="25"/>
      <c r="BT903" s="25"/>
      <c r="BU903" s="25"/>
      <c r="BV903" s="25"/>
      <c r="BW903" s="25"/>
      <c r="BX903" s="25"/>
      <c r="BY903" s="25"/>
      <c r="BZ903" s="25"/>
      <c r="CA903" s="25"/>
      <c r="CB903" s="25"/>
    </row>
    <row r="904" spans="1:80" ht="12.75" hidden="1" customHeight="1">
      <c r="A904" s="10">
        <f ca="1">IFERROR(__xludf.DUMMYFUNCTION("""COMPUTED_VALUE"""),2013)</f>
        <v>2013</v>
      </c>
      <c r="B904" s="50">
        <f ca="1">IFERROR(__xludf.DUMMYFUNCTION("""COMPUTED_VALUE"""),41878)</f>
        <v>41878</v>
      </c>
      <c r="C904" s="41"/>
      <c r="D904" s="42" t="str">
        <f ca="1">IFERROR(__xludf.DUMMYFUNCTION("""COMPUTED_VALUE"""),"Black-throated Diver")</f>
        <v>Black-throated Diver</v>
      </c>
      <c r="E904" s="53">
        <f ca="1">IFERROR(__xludf.DUMMYFUNCTION("""COMPUTED_VALUE"""),1)</f>
        <v>1</v>
      </c>
      <c r="F904" s="15"/>
      <c r="G904" s="44" t="str">
        <f ca="1">IFERROR(__xludf.DUMMYFUNCTION("""COMPUTED_VALUE"""),"Hilbre")</f>
        <v>Hilbre</v>
      </c>
      <c r="H904" s="12">
        <f ca="1">IFERROR(__xludf.DUMMYFUNCTION("""COMPUTED_VALUE"""),41317)</f>
        <v>41317</v>
      </c>
      <c r="I904" s="12"/>
      <c r="J904" s="68" t="str">
        <f ca="1">IFERROR(__xludf.DUMMYFUNCTION("""COMPUTED_VALUE"""),"Hilbre Bird Observatory")</f>
        <v>Hilbre Bird Observatory</v>
      </c>
      <c r="K904" s="15"/>
      <c r="L904" s="17" t="str">
        <f ca="1">IFERROR(__xludf.DUMMYFUNCTION("""COMPUTED_VALUE"""),"closed")</f>
        <v>closed</v>
      </c>
      <c r="M904" s="17" t="str">
        <f ca="1">IFERROR(__xludf.DUMMYFUNCTION("""COMPUTED_VALUE"""),"proxy")</f>
        <v>proxy</v>
      </c>
      <c r="N904" s="15" t="str">
        <f ca="1">IFERROR(__xludf.DUMMYFUNCTION("""COMPUTED_VALUE"""),"accepted")</f>
        <v>accepted</v>
      </c>
      <c r="O904" s="18"/>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c r="BM904" s="15"/>
      <c r="BN904" s="15"/>
      <c r="BO904" s="15"/>
      <c r="BP904" s="15"/>
      <c r="BQ904" s="15"/>
      <c r="BR904" s="15"/>
      <c r="BS904" s="15"/>
      <c r="BT904" s="15"/>
      <c r="BU904" s="15"/>
      <c r="BV904" s="15"/>
      <c r="BW904" s="15"/>
      <c r="BX904" s="15"/>
      <c r="BY904" s="15"/>
      <c r="BZ904" s="15"/>
      <c r="CA904" s="15"/>
      <c r="CB904" s="15"/>
    </row>
    <row r="905" spans="1:80" ht="12.75" hidden="1" customHeight="1">
      <c r="A905" s="20">
        <f ca="1">IFERROR(__xludf.DUMMYFUNCTION("""COMPUTED_VALUE"""),2013)</f>
        <v>2013</v>
      </c>
      <c r="B905" s="45">
        <f ca="1">IFERROR(__xludf.DUMMYFUNCTION("""COMPUTED_VALUE"""),41948)</f>
        <v>41948</v>
      </c>
      <c r="C905" s="46">
        <f ca="1">IFERROR(__xludf.DUMMYFUNCTION("""COMPUTED_VALUE"""),41904)</f>
        <v>41904</v>
      </c>
      <c r="D905" s="47" t="str">
        <f ca="1">IFERROR(__xludf.DUMMYFUNCTION("""COMPUTED_VALUE"""),"Black-throated Diver")</f>
        <v>Black-throated Diver</v>
      </c>
      <c r="E905" s="52">
        <f ca="1">IFERROR(__xludf.DUMMYFUNCTION("""COMPUTED_VALUE"""),1)</f>
        <v>1</v>
      </c>
      <c r="F905" s="25"/>
      <c r="G905" s="48" t="str">
        <f ca="1">IFERROR(__xludf.DUMMYFUNCTION("""COMPUTED_VALUE"""),"Hoylake")</f>
        <v>Hoylake</v>
      </c>
      <c r="H905" s="22">
        <f ca="1">IFERROR(__xludf.DUMMYFUNCTION("""COMPUTED_VALUE"""),41342)</f>
        <v>41342</v>
      </c>
      <c r="I905" s="22"/>
      <c r="J905" s="24" t="str">
        <f ca="1">IFERROR(__xludf.DUMMYFUNCTION("""COMPUTED_VALUE"""),"Turner, JE")</f>
        <v>Turner, JE</v>
      </c>
      <c r="K905" s="25" t="str">
        <f ca="1">IFERROR(__xludf.DUMMYFUNCTION("""COMPUTED_VALUE"""),"Turner, JE")</f>
        <v>Turner, JE</v>
      </c>
      <c r="L905" s="27" t="str">
        <f ca="1">IFERROR(__xludf.DUMMYFUNCTION("""COMPUTED_VALUE"""),"closed")</f>
        <v>closed</v>
      </c>
      <c r="M905" s="27" t="str">
        <f ca="1">IFERROR(__xludf.DUMMYFUNCTION("""COMPUTED_VALUE"""),"1st U")</f>
        <v>1st U</v>
      </c>
      <c r="N905" s="25" t="str">
        <f ca="1">IFERROR(__xludf.DUMMYFUNCTION("""COMPUTED_VALUE"""),"accepted")</f>
        <v>accepted</v>
      </c>
      <c r="O905" s="28"/>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c r="AQ905" s="25"/>
      <c r="AR905" s="25"/>
      <c r="AS905" s="25"/>
      <c r="AT905" s="25"/>
      <c r="AU905" s="25"/>
      <c r="AV905" s="25"/>
      <c r="AW905" s="25"/>
      <c r="AX905" s="25"/>
      <c r="AY905" s="25"/>
      <c r="AZ905" s="25"/>
      <c r="BA905" s="25"/>
      <c r="BB905" s="25"/>
      <c r="BC905" s="25"/>
      <c r="BD905" s="25"/>
      <c r="BE905" s="25"/>
      <c r="BF905" s="25"/>
      <c r="BG905" s="25"/>
      <c r="BH905" s="25"/>
      <c r="BI905" s="25"/>
      <c r="BJ905" s="25"/>
      <c r="BK905" s="25"/>
      <c r="BL905" s="25"/>
      <c r="BM905" s="25"/>
      <c r="BN905" s="25"/>
      <c r="BO905" s="25"/>
      <c r="BP905" s="25"/>
      <c r="BQ905" s="25"/>
      <c r="BR905" s="25"/>
      <c r="BS905" s="25"/>
      <c r="BT905" s="25"/>
      <c r="BU905" s="25"/>
      <c r="BV905" s="25"/>
      <c r="BW905" s="25"/>
      <c r="BX905" s="25"/>
      <c r="BY905" s="25"/>
      <c r="BZ905" s="25"/>
      <c r="CA905" s="25"/>
      <c r="CB905" s="25"/>
    </row>
    <row r="906" spans="1:80" ht="12.75" hidden="1" customHeight="1">
      <c r="A906" s="10">
        <f ca="1">IFERROR(__xludf.DUMMYFUNCTION("""COMPUTED_VALUE"""),2013)</f>
        <v>2013</v>
      </c>
      <c r="B906" s="50">
        <f ca="1">IFERROR(__xludf.DUMMYFUNCTION("""COMPUTED_VALUE"""),41878)</f>
        <v>41878</v>
      </c>
      <c r="C906" s="41"/>
      <c r="D906" s="42" t="str">
        <f ca="1">IFERROR(__xludf.DUMMYFUNCTION("""COMPUTED_VALUE"""),"Black-throated Diver")</f>
        <v>Black-throated Diver</v>
      </c>
      <c r="E906" s="53">
        <f ca="1">IFERROR(__xludf.DUMMYFUNCTION("""COMPUTED_VALUE"""),1)</f>
        <v>1</v>
      </c>
      <c r="F906" s="15"/>
      <c r="G906" s="44" t="str">
        <f ca="1">IFERROR(__xludf.DUMMYFUNCTION("""COMPUTED_VALUE"""),"Hilbre")</f>
        <v>Hilbre</v>
      </c>
      <c r="H906" s="12">
        <f ca="1">IFERROR(__xludf.DUMMYFUNCTION("""COMPUTED_VALUE"""),41375)</f>
        <v>41375</v>
      </c>
      <c r="I906" s="12"/>
      <c r="J906" s="68" t="str">
        <f ca="1">IFERROR(__xludf.DUMMYFUNCTION("""COMPUTED_VALUE"""),"Hilbre Bird Observatory")</f>
        <v>Hilbre Bird Observatory</v>
      </c>
      <c r="K906" s="15"/>
      <c r="L906" s="17" t="str">
        <f ca="1">IFERROR(__xludf.DUMMYFUNCTION("""COMPUTED_VALUE"""),"closed")</f>
        <v>closed</v>
      </c>
      <c r="M906" s="17" t="str">
        <f ca="1">IFERROR(__xludf.DUMMYFUNCTION("""COMPUTED_VALUE"""),"proxy")</f>
        <v>proxy</v>
      </c>
      <c r="N906" s="15" t="str">
        <f ca="1">IFERROR(__xludf.DUMMYFUNCTION("""COMPUTED_VALUE"""),"accepted")</f>
        <v>accepted</v>
      </c>
      <c r="O906" s="18"/>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c r="BP906" s="15"/>
      <c r="BQ906" s="15"/>
      <c r="BR906" s="15"/>
      <c r="BS906" s="15"/>
      <c r="BT906" s="15"/>
      <c r="BU906" s="15"/>
      <c r="BV906" s="15"/>
      <c r="BW906" s="15"/>
      <c r="BX906" s="15"/>
      <c r="BY906" s="15"/>
      <c r="BZ906" s="15"/>
      <c r="CA906" s="15"/>
      <c r="CB906" s="15"/>
    </row>
    <row r="907" spans="1:80" ht="12.75" hidden="1" customHeight="1">
      <c r="A907" s="20">
        <f ca="1">IFERROR(__xludf.DUMMYFUNCTION("""COMPUTED_VALUE"""),2013)</f>
        <v>2013</v>
      </c>
      <c r="B907" s="45">
        <f ca="1">IFERROR(__xludf.DUMMYFUNCTION("""COMPUTED_VALUE"""),41948)</f>
        <v>41948</v>
      </c>
      <c r="C907" s="46">
        <f ca="1">IFERROR(__xludf.DUMMYFUNCTION("""COMPUTED_VALUE"""),41904)</f>
        <v>41904</v>
      </c>
      <c r="D907" s="47" t="str">
        <f ca="1">IFERROR(__xludf.DUMMYFUNCTION("""COMPUTED_VALUE"""),"Black-throated Diver")</f>
        <v>Black-throated Diver</v>
      </c>
      <c r="E907" s="52">
        <f ca="1">IFERROR(__xludf.DUMMYFUNCTION("""COMPUTED_VALUE"""),1)</f>
        <v>1</v>
      </c>
      <c r="F907" s="25"/>
      <c r="G907" s="48" t="str">
        <f ca="1">IFERROR(__xludf.DUMMYFUNCTION("""COMPUTED_VALUE"""),"Red Rocks, Hoylake")</f>
        <v>Red Rocks, Hoylake</v>
      </c>
      <c r="H907" s="22">
        <f ca="1">IFERROR(__xludf.DUMMYFUNCTION("""COMPUTED_VALUE"""),41377)</f>
        <v>41377</v>
      </c>
      <c r="I907" s="22"/>
      <c r="J907" s="24" t="str">
        <f ca="1">IFERROR(__xludf.DUMMYFUNCTION("""COMPUTED_VALUE"""),"Turner, JE")</f>
        <v>Turner, JE</v>
      </c>
      <c r="K907" s="25" t="str">
        <f ca="1">IFERROR(__xludf.DUMMYFUNCTION("""COMPUTED_VALUE"""),"Turner, JE")</f>
        <v>Turner, JE</v>
      </c>
      <c r="L907" s="27" t="str">
        <f ca="1">IFERROR(__xludf.DUMMYFUNCTION("""COMPUTED_VALUE"""),"closed")</f>
        <v>closed</v>
      </c>
      <c r="M907" s="27" t="str">
        <f ca="1">IFERROR(__xludf.DUMMYFUNCTION("""COMPUTED_VALUE"""),"1st U")</f>
        <v>1st U</v>
      </c>
      <c r="N907" s="25" t="str">
        <f ca="1">IFERROR(__xludf.DUMMYFUNCTION("""COMPUTED_VALUE"""),"accepted")</f>
        <v>accepted</v>
      </c>
      <c r="O907" s="28"/>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c r="AQ907" s="25"/>
      <c r="AR907" s="25"/>
      <c r="AS907" s="25"/>
      <c r="AT907" s="25"/>
      <c r="AU907" s="25"/>
      <c r="AV907" s="25"/>
      <c r="AW907" s="25"/>
      <c r="AX907" s="25"/>
      <c r="AY907" s="25"/>
      <c r="AZ907" s="25"/>
      <c r="BA907" s="25"/>
      <c r="BB907" s="25"/>
      <c r="BC907" s="25"/>
      <c r="BD907" s="25"/>
      <c r="BE907" s="25"/>
      <c r="BF907" s="25"/>
      <c r="BG907" s="25"/>
      <c r="BH907" s="25"/>
      <c r="BI907" s="25"/>
      <c r="BJ907" s="25"/>
      <c r="BK907" s="25"/>
      <c r="BL907" s="25"/>
      <c r="BM907" s="25"/>
      <c r="BN907" s="25"/>
      <c r="BO907" s="25"/>
      <c r="BP907" s="25"/>
      <c r="BQ907" s="25"/>
      <c r="BR907" s="25"/>
      <c r="BS907" s="25"/>
      <c r="BT907" s="25"/>
      <c r="BU907" s="25"/>
      <c r="BV907" s="25"/>
      <c r="BW907" s="25"/>
      <c r="BX907" s="25"/>
      <c r="BY907" s="25"/>
      <c r="BZ907" s="25"/>
      <c r="CA907" s="25"/>
      <c r="CB907" s="25"/>
    </row>
    <row r="908" spans="1:80" ht="15.75" hidden="1" customHeight="1">
      <c r="A908" s="10">
        <f ca="1">IFERROR(__xludf.DUMMYFUNCTION("""COMPUTED_VALUE"""),2013)</f>
        <v>2013</v>
      </c>
      <c r="B908" s="50">
        <f ca="1">IFERROR(__xludf.DUMMYFUNCTION("""COMPUTED_VALUE"""),41878)</f>
        <v>41878</v>
      </c>
      <c r="C908" s="41"/>
      <c r="D908" s="42" t="str">
        <f ca="1">IFERROR(__xludf.DUMMYFUNCTION("""COMPUTED_VALUE"""),"Black-throated Diver")</f>
        <v>Black-throated Diver</v>
      </c>
      <c r="E908" s="53">
        <f ca="1">IFERROR(__xludf.DUMMYFUNCTION("""COMPUTED_VALUE"""),1)</f>
        <v>1</v>
      </c>
      <c r="F908" s="15"/>
      <c r="G908" s="44" t="str">
        <f ca="1">IFERROR(__xludf.DUMMYFUNCTION("""COMPUTED_VALUE"""),"Hilbre")</f>
        <v>Hilbre</v>
      </c>
      <c r="H908" s="12">
        <f ca="1">IFERROR(__xludf.DUMMYFUNCTION("""COMPUTED_VALUE"""),41378)</f>
        <v>41378</v>
      </c>
      <c r="I908" s="12"/>
      <c r="J908" s="68" t="str">
        <f ca="1">IFERROR(__xludf.DUMMYFUNCTION("""COMPUTED_VALUE"""),"Hilbre Bird Observatory")</f>
        <v>Hilbre Bird Observatory</v>
      </c>
      <c r="K908" s="15"/>
      <c r="L908" s="17" t="str">
        <f ca="1">IFERROR(__xludf.DUMMYFUNCTION("""COMPUTED_VALUE"""),"closed")</f>
        <v>closed</v>
      </c>
      <c r="M908" s="17" t="str">
        <f ca="1">IFERROR(__xludf.DUMMYFUNCTION("""COMPUTED_VALUE"""),"proxy")</f>
        <v>proxy</v>
      </c>
      <c r="N908" s="15" t="str">
        <f ca="1">IFERROR(__xludf.DUMMYFUNCTION("""COMPUTED_VALUE"""),"accepted")</f>
        <v>accepted</v>
      </c>
      <c r="O908" s="18"/>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c r="BM908" s="15"/>
      <c r="BN908" s="15"/>
      <c r="BO908" s="15"/>
      <c r="BP908" s="15"/>
      <c r="BQ908" s="15"/>
      <c r="BR908" s="15"/>
      <c r="BS908" s="15"/>
      <c r="BT908" s="15"/>
      <c r="BU908" s="15"/>
      <c r="BV908" s="15"/>
      <c r="BW908" s="15"/>
      <c r="BX908" s="15"/>
      <c r="BY908" s="15"/>
      <c r="BZ908" s="15"/>
      <c r="CA908" s="15"/>
      <c r="CB908" s="15"/>
    </row>
    <row r="909" spans="1:80" ht="12.75" hidden="1" customHeight="1">
      <c r="A909" s="20">
        <f ca="1">IFERROR(__xludf.DUMMYFUNCTION("""COMPUTED_VALUE"""),2013)</f>
        <v>2013</v>
      </c>
      <c r="B909" s="45">
        <f ca="1">IFERROR(__xludf.DUMMYFUNCTION("""COMPUTED_VALUE"""),41934)</f>
        <v>41934</v>
      </c>
      <c r="C909" s="46">
        <f ca="1">IFERROR(__xludf.DUMMYFUNCTION("""COMPUTED_VALUE"""),41904)</f>
        <v>41904</v>
      </c>
      <c r="D909" s="47" t="str">
        <f ca="1">IFERROR(__xludf.DUMMYFUNCTION("""COMPUTED_VALUE"""),"Black-throated Diver")</f>
        <v>Black-throated Diver</v>
      </c>
      <c r="E909" s="52">
        <f ca="1">IFERROR(__xludf.DUMMYFUNCTION("""COMPUTED_VALUE"""),1)</f>
        <v>1</v>
      </c>
      <c r="F909" s="25"/>
      <c r="G909" s="48" t="str">
        <f ca="1">IFERROR(__xludf.DUMMYFUNCTION("""COMPUTED_VALUE"""),"Hoylake")</f>
        <v>Hoylake</v>
      </c>
      <c r="H909" s="22">
        <f ca="1">IFERROR(__xludf.DUMMYFUNCTION("""COMPUTED_VALUE"""),41382)</f>
        <v>41382</v>
      </c>
      <c r="I909" s="22"/>
      <c r="J909" s="24" t="str">
        <f ca="1">IFERROR(__xludf.DUMMYFUNCTION("""COMPUTED_VALUE"""),"Turner, JE")</f>
        <v>Turner, JE</v>
      </c>
      <c r="K909" s="25" t="str">
        <f ca="1">IFERROR(__xludf.DUMMYFUNCTION("""COMPUTED_VALUE"""),"Turner, JE")</f>
        <v>Turner, JE</v>
      </c>
      <c r="L909" s="27" t="str">
        <f ca="1">IFERROR(__xludf.DUMMYFUNCTION("""COMPUTED_VALUE"""),"closed")</f>
        <v>closed</v>
      </c>
      <c r="M909" s="27" t="str">
        <f ca="1">IFERROR(__xludf.DUMMYFUNCTION("""COMPUTED_VALUE"""),"1st U")</f>
        <v>1st U</v>
      </c>
      <c r="N909" s="25" t="str">
        <f ca="1">IFERROR(__xludf.DUMMYFUNCTION("""COMPUTED_VALUE"""),"accepted")</f>
        <v>accepted</v>
      </c>
      <c r="O909" s="28"/>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c r="AQ909" s="25"/>
      <c r="AR909" s="25"/>
      <c r="AS909" s="25"/>
      <c r="AT909" s="25"/>
      <c r="AU909" s="25"/>
      <c r="AV909" s="25"/>
      <c r="AW909" s="25"/>
      <c r="AX909" s="25"/>
      <c r="AY909" s="25"/>
      <c r="AZ909" s="25"/>
      <c r="BA909" s="25"/>
      <c r="BB909" s="25"/>
      <c r="BC909" s="25"/>
      <c r="BD909" s="25"/>
      <c r="BE909" s="25"/>
      <c r="BF909" s="25"/>
      <c r="BG909" s="25"/>
      <c r="BH909" s="25"/>
      <c r="BI909" s="25"/>
      <c r="BJ909" s="25"/>
      <c r="BK909" s="25"/>
      <c r="BL909" s="25"/>
      <c r="BM909" s="25"/>
      <c r="BN909" s="25"/>
      <c r="BO909" s="25"/>
      <c r="BP909" s="25"/>
      <c r="BQ909" s="25"/>
      <c r="BR909" s="25"/>
      <c r="BS909" s="25"/>
      <c r="BT909" s="25"/>
      <c r="BU909" s="25"/>
      <c r="BV909" s="25"/>
      <c r="BW909" s="25"/>
      <c r="BX909" s="25"/>
      <c r="BY909" s="25"/>
      <c r="BZ909" s="25"/>
      <c r="CA909" s="25"/>
      <c r="CB909" s="25"/>
    </row>
    <row r="910" spans="1:80" ht="12.75" hidden="1" customHeight="1">
      <c r="A910" s="10">
        <f ca="1">IFERROR(__xludf.DUMMYFUNCTION("""COMPUTED_VALUE"""),2013)</f>
        <v>2013</v>
      </c>
      <c r="B910" s="50">
        <f ca="1">IFERROR(__xludf.DUMMYFUNCTION("""COMPUTED_VALUE"""),41934)</f>
        <v>41934</v>
      </c>
      <c r="C910" s="41">
        <f ca="1">IFERROR(__xludf.DUMMYFUNCTION("""COMPUTED_VALUE"""),41904)</f>
        <v>41904</v>
      </c>
      <c r="D910" s="42" t="str">
        <f ca="1">IFERROR(__xludf.DUMMYFUNCTION("""COMPUTED_VALUE"""),"Black-throated Diver")</f>
        <v>Black-throated Diver</v>
      </c>
      <c r="E910" s="53">
        <f ca="1">IFERROR(__xludf.DUMMYFUNCTION("""COMPUTED_VALUE"""),1)</f>
        <v>1</v>
      </c>
      <c r="F910" s="15"/>
      <c r="G910" s="44" t="str">
        <f ca="1">IFERROR(__xludf.DUMMYFUNCTION("""COMPUTED_VALUE"""),"Hoylake")</f>
        <v>Hoylake</v>
      </c>
      <c r="H910" s="12">
        <f ca="1">IFERROR(__xludf.DUMMYFUNCTION("""COMPUTED_VALUE"""),41389)</f>
        <v>41389</v>
      </c>
      <c r="I910" s="12"/>
      <c r="J910" s="14" t="str">
        <f ca="1">IFERROR(__xludf.DUMMYFUNCTION("""COMPUTED_VALUE"""),"Turner, JE")</f>
        <v>Turner, JE</v>
      </c>
      <c r="K910" s="15" t="str">
        <f ca="1">IFERROR(__xludf.DUMMYFUNCTION("""COMPUTED_VALUE"""),"Turner, JE")</f>
        <v>Turner, JE</v>
      </c>
      <c r="L910" s="17" t="str">
        <f ca="1">IFERROR(__xludf.DUMMYFUNCTION("""COMPUTED_VALUE"""),"closed")</f>
        <v>closed</v>
      </c>
      <c r="M910" s="17" t="str">
        <f ca="1">IFERROR(__xludf.DUMMYFUNCTION("""COMPUTED_VALUE"""),"1st U")</f>
        <v>1st U</v>
      </c>
      <c r="N910" s="15" t="str">
        <f ca="1">IFERROR(__xludf.DUMMYFUNCTION("""COMPUTED_VALUE"""),"accepted")</f>
        <v>accepted</v>
      </c>
      <c r="O910" s="18"/>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c r="BM910" s="15"/>
      <c r="BN910" s="15"/>
      <c r="BO910" s="15"/>
      <c r="BP910" s="15"/>
      <c r="BQ910" s="15"/>
      <c r="BR910" s="15"/>
      <c r="BS910" s="15"/>
      <c r="BT910" s="15"/>
      <c r="BU910" s="15"/>
      <c r="BV910" s="15"/>
      <c r="BW910" s="15"/>
      <c r="BX910" s="15"/>
      <c r="BY910" s="15"/>
      <c r="BZ910" s="15"/>
      <c r="CA910" s="15"/>
      <c r="CB910" s="15"/>
    </row>
    <row r="911" spans="1:80" ht="12.75" hidden="1" customHeight="1">
      <c r="A911" s="20">
        <f ca="1">IFERROR(__xludf.DUMMYFUNCTION("""COMPUTED_VALUE"""),2013)</f>
        <v>2013</v>
      </c>
      <c r="B911" s="45">
        <f ca="1">IFERROR(__xludf.DUMMYFUNCTION("""COMPUTED_VALUE"""),41878)</f>
        <v>41878</v>
      </c>
      <c r="C911" s="46"/>
      <c r="D911" s="47" t="str">
        <f ca="1">IFERROR(__xludf.DUMMYFUNCTION("""COMPUTED_VALUE"""),"Black-throated Diver")</f>
        <v>Black-throated Diver</v>
      </c>
      <c r="E911" s="52">
        <f ca="1">IFERROR(__xludf.DUMMYFUNCTION("""COMPUTED_VALUE"""),1)</f>
        <v>1</v>
      </c>
      <c r="F911" s="25"/>
      <c r="G911" s="48" t="str">
        <f ca="1">IFERROR(__xludf.DUMMYFUNCTION("""COMPUTED_VALUE"""),"Hilbre")</f>
        <v>Hilbre</v>
      </c>
      <c r="H911" s="22">
        <f ca="1">IFERROR(__xludf.DUMMYFUNCTION("""COMPUTED_VALUE"""),41527)</f>
        <v>41527</v>
      </c>
      <c r="I911" s="22"/>
      <c r="J911" s="67" t="str">
        <f ca="1">IFERROR(__xludf.DUMMYFUNCTION("""COMPUTED_VALUE"""),"Hilbre Bird Observatory")</f>
        <v>Hilbre Bird Observatory</v>
      </c>
      <c r="K911" s="25"/>
      <c r="L911" s="27" t="str">
        <f ca="1">IFERROR(__xludf.DUMMYFUNCTION("""COMPUTED_VALUE"""),"closed")</f>
        <v>closed</v>
      </c>
      <c r="M911" s="27" t="str">
        <f ca="1">IFERROR(__xludf.DUMMYFUNCTION("""COMPUTED_VALUE"""),"proxy")</f>
        <v>proxy</v>
      </c>
      <c r="N911" s="25" t="str">
        <f ca="1">IFERROR(__xludf.DUMMYFUNCTION("""COMPUTED_VALUE"""),"accepted")</f>
        <v>accepted</v>
      </c>
      <c r="O911" s="28"/>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c r="AQ911" s="25"/>
      <c r="AR911" s="25"/>
      <c r="AS911" s="25"/>
      <c r="AT911" s="25"/>
      <c r="AU911" s="25"/>
      <c r="AV911" s="25"/>
      <c r="AW911" s="25"/>
      <c r="AX911" s="25"/>
      <c r="AY911" s="25"/>
      <c r="AZ911" s="25"/>
      <c r="BA911" s="25"/>
      <c r="BB911" s="25"/>
      <c r="BC911" s="25"/>
      <c r="BD911" s="25"/>
      <c r="BE911" s="25"/>
      <c r="BF911" s="25"/>
      <c r="BG911" s="25"/>
      <c r="BH911" s="25"/>
      <c r="BI911" s="25"/>
      <c r="BJ911" s="25"/>
      <c r="BK911" s="25"/>
      <c r="BL911" s="25"/>
      <c r="BM911" s="25"/>
      <c r="BN911" s="25"/>
      <c r="BO911" s="25"/>
      <c r="BP911" s="25"/>
      <c r="BQ911" s="25"/>
      <c r="BR911" s="25"/>
      <c r="BS911" s="25"/>
      <c r="BT911" s="25"/>
      <c r="BU911" s="25"/>
      <c r="BV911" s="25"/>
      <c r="BW911" s="25"/>
      <c r="BX911" s="25"/>
      <c r="BY911" s="25"/>
      <c r="BZ911" s="25"/>
      <c r="CA911" s="25"/>
      <c r="CB911" s="25"/>
    </row>
    <row r="912" spans="1:80" ht="12.75" hidden="1" customHeight="1">
      <c r="A912" s="10">
        <f ca="1">IFERROR(__xludf.DUMMYFUNCTION("""COMPUTED_VALUE"""),2013)</f>
        <v>2013</v>
      </c>
      <c r="B912" s="50">
        <f ca="1">IFERROR(__xludf.DUMMYFUNCTION("""COMPUTED_VALUE"""),41906)</f>
        <v>41906</v>
      </c>
      <c r="C912" s="41">
        <f ca="1">IFERROR(__xludf.DUMMYFUNCTION("""COMPUTED_VALUE"""),41903)</f>
        <v>41903</v>
      </c>
      <c r="D912" s="42" t="str">
        <f ca="1">IFERROR(__xludf.DUMMYFUNCTION("""COMPUTED_VALUE"""),"Great Northern Diver")</f>
        <v>Great Northern Diver</v>
      </c>
      <c r="E912" s="53">
        <f ca="1">IFERROR(__xludf.DUMMYFUNCTION("""COMPUTED_VALUE"""),1)</f>
        <v>1</v>
      </c>
      <c r="F912" s="15" t="str">
        <f ca="1">IFERROR(__xludf.DUMMYFUNCTION("""COMPUTED_VALUE"""),"Juvenile")</f>
        <v>Juvenile</v>
      </c>
      <c r="G912" s="44" t="str">
        <f ca="1">IFERROR(__xludf.DUMMYFUNCTION("""COMPUTED_VALUE"""),"Budworth Mere, Marbury Country Park")</f>
        <v>Budworth Mere, Marbury Country Park</v>
      </c>
      <c r="H912" s="12">
        <f ca="1">IFERROR(__xludf.DUMMYFUNCTION("""COMPUTED_VALUE"""),41296)</f>
        <v>41296</v>
      </c>
      <c r="I912" s="12">
        <f ca="1">IFERROR(__xludf.DUMMYFUNCTION("""COMPUTED_VALUE"""),41299)</f>
        <v>41299</v>
      </c>
      <c r="J912" s="14" t="str">
        <f ca="1">IFERROR(__xludf.DUMMYFUNCTION("""COMPUTED_VALUE"""),"G Baker")</f>
        <v>G Baker</v>
      </c>
      <c r="K912" s="15" t="str">
        <f ca="1">IFERROR(__xludf.DUMMYFUNCTION("""COMPUTED_VALUE"""),"G Baker")</f>
        <v>G Baker</v>
      </c>
      <c r="L912" s="17" t="str">
        <f ca="1">IFERROR(__xludf.DUMMYFUNCTION("""COMPUTED_VALUE"""),"closed")</f>
        <v>closed</v>
      </c>
      <c r="M912" s="17"/>
      <c r="N912" s="15" t="str">
        <f ca="1">IFERROR(__xludf.DUMMYFUNCTION("""COMPUTED_VALUE"""),"accepted")</f>
        <v>accepted</v>
      </c>
      <c r="O912" s="18"/>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c r="BK912" s="15"/>
      <c r="BL912" s="15"/>
      <c r="BM912" s="15"/>
      <c r="BN912" s="15"/>
      <c r="BO912" s="15"/>
      <c r="BP912" s="15"/>
      <c r="BQ912" s="15"/>
      <c r="BR912" s="15"/>
      <c r="BS912" s="15"/>
      <c r="BT912" s="15"/>
      <c r="BU912" s="15"/>
      <c r="BV912" s="15"/>
      <c r="BW912" s="15"/>
      <c r="BX912" s="15"/>
      <c r="BY912" s="15"/>
      <c r="BZ912" s="15"/>
      <c r="CA912" s="15"/>
      <c r="CB912" s="15"/>
    </row>
    <row r="913" spans="1:80" ht="12.75" hidden="1" customHeight="1">
      <c r="A913" s="20">
        <f ca="1">IFERROR(__xludf.DUMMYFUNCTION("""COMPUTED_VALUE"""),2013)</f>
        <v>2013</v>
      </c>
      <c r="B913" s="45">
        <f ca="1">IFERROR(__xludf.DUMMYFUNCTION("""COMPUTED_VALUE"""),41878)</f>
        <v>41878</v>
      </c>
      <c r="C913" s="46"/>
      <c r="D913" s="47" t="str">
        <f ca="1">IFERROR(__xludf.DUMMYFUNCTION("""COMPUTED_VALUE"""),"Great Northern Diver")</f>
        <v>Great Northern Diver</v>
      </c>
      <c r="E913" s="52">
        <f ca="1">IFERROR(__xludf.DUMMYFUNCTION("""COMPUTED_VALUE"""),1)</f>
        <v>1</v>
      </c>
      <c r="F913" s="25"/>
      <c r="G913" s="48" t="str">
        <f ca="1">IFERROR(__xludf.DUMMYFUNCTION("""COMPUTED_VALUE"""),"Hilbre")</f>
        <v>Hilbre</v>
      </c>
      <c r="H913" s="22">
        <f ca="1">IFERROR(__xludf.DUMMYFUNCTION("""COMPUTED_VALUE"""),41302)</f>
        <v>41302</v>
      </c>
      <c r="I913" s="22"/>
      <c r="J913" s="67" t="str">
        <f ca="1">IFERROR(__xludf.DUMMYFUNCTION("""COMPUTED_VALUE"""),"Hilbre Bird Observatory")</f>
        <v>Hilbre Bird Observatory</v>
      </c>
      <c r="K913" s="25"/>
      <c r="L913" s="27" t="str">
        <f ca="1">IFERROR(__xludf.DUMMYFUNCTION("""COMPUTED_VALUE"""),"closed")</f>
        <v>closed</v>
      </c>
      <c r="M913" s="27" t="str">
        <f ca="1">IFERROR(__xludf.DUMMYFUNCTION("""COMPUTED_VALUE"""),"proxy")</f>
        <v>proxy</v>
      </c>
      <c r="N913" s="25" t="str">
        <f ca="1">IFERROR(__xludf.DUMMYFUNCTION("""COMPUTED_VALUE"""),"accepted")</f>
        <v>accepted</v>
      </c>
      <c r="O913" s="28"/>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c r="AQ913" s="25"/>
      <c r="AR913" s="25"/>
      <c r="AS913" s="25"/>
      <c r="AT913" s="25"/>
      <c r="AU913" s="25"/>
      <c r="AV913" s="25"/>
      <c r="AW913" s="25"/>
      <c r="AX913" s="25"/>
      <c r="AY913" s="25"/>
      <c r="AZ913" s="25"/>
      <c r="BA913" s="25"/>
      <c r="BB913" s="25"/>
      <c r="BC913" s="25"/>
      <c r="BD913" s="25"/>
      <c r="BE913" s="25"/>
      <c r="BF913" s="25"/>
      <c r="BG913" s="25"/>
      <c r="BH913" s="25"/>
      <c r="BI913" s="25"/>
      <c r="BJ913" s="25"/>
      <c r="BK913" s="25"/>
      <c r="BL913" s="25"/>
      <c r="BM913" s="25"/>
      <c r="BN913" s="25"/>
      <c r="BO913" s="25"/>
      <c r="BP913" s="25"/>
      <c r="BQ913" s="25"/>
      <c r="BR913" s="25"/>
      <c r="BS913" s="25"/>
      <c r="BT913" s="25"/>
      <c r="BU913" s="25"/>
      <c r="BV913" s="25"/>
      <c r="BW913" s="25"/>
      <c r="BX913" s="25"/>
      <c r="BY913" s="25"/>
      <c r="BZ913" s="25"/>
      <c r="CA913" s="25"/>
      <c r="CB913" s="25"/>
    </row>
    <row r="914" spans="1:80" ht="12.75" hidden="1" customHeight="1">
      <c r="A914" s="10">
        <f ca="1">IFERROR(__xludf.DUMMYFUNCTION("""COMPUTED_VALUE"""),2013)</f>
        <v>2013</v>
      </c>
      <c r="B914" s="50">
        <f ca="1">IFERROR(__xludf.DUMMYFUNCTION("""COMPUTED_VALUE"""),41878)</f>
        <v>41878</v>
      </c>
      <c r="C914" s="41"/>
      <c r="D914" s="42" t="str">
        <f ca="1">IFERROR(__xludf.DUMMYFUNCTION("""COMPUTED_VALUE"""),"Great Northern Diver")</f>
        <v>Great Northern Diver</v>
      </c>
      <c r="E914" s="53">
        <f ca="1">IFERROR(__xludf.DUMMYFUNCTION("""COMPUTED_VALUE"""),1)</f>
        <v>1</v>
      </c>
      <c r="F914" s="15"/>
      <c r="G914" s="44" t="str">
        <f ca="1">IFERROR(__xludf.DUMMYFUNCTION("""COMPUTED_VALUE"""),"Hilbre")</f>
        <v>Hilbre</v>
      </c>
      <c r="H914" s="12">
        <f ca="1">IFERROR(__xludf.DUMMYFUNCTION("""COMPUTED_VALUE"""),41302)</f>
        <v>41302</v>
      </c>
      <c r="I914" s="12"/>
      <c r="J914" s="68" t="str">
        <f ca="1">IFERROR(__xludf.DUMMYFUNCTION("""COMPUTED_VALUE"""),"Hilbre Bird Observatory")</f>
        <v>Hilbre Bird Observatory</v>
      </c>
      <c r="K914" s="15"/>
      <c r="L914" s="17" t="str">
        <f ca="1">IFERROR(__xludf.DUMMYFUNCTION("""COMPUTED_VALUE"""),"closed")</f>
        <v>closed</v>
      </c>
      <c r="M914" s="17" t="str">
        <f ca="1">IFERROR(__xludf.DUMMYFUNCTION("""COMPUTED_VALUE"""),"proxy")</f>
        <v>proxy</v>
      </c>
      <c r="N914" s="15" t="str">
        <f ca="1">IFERROR(__xludf.DUMMYFUNCTION("""COMPUTED_VALUE"""),"accepted")</f>
        <v>accepted</v>
      </c>
      <c r="O914" s="18"/>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c r="BK914" s="15"/>
      <c r="BL914" s="15"/>
      <c r="BM914" s="15"/>
      <c r="BN914" s="15"/>
      <c r="BO914" s="15"/>
      <c r="BP914" s="15"/>
      <c r="BQ914" s="15"/>
      <c r="BR914" s="15"/>
      <c r="BS914" s="15"/>
      <c r="BT914" s="15"/>
      <c r="BU914" s="15"/>
      <c r="BV914" s="15"/>
      <c r="BW914" s="15"/>
      <c r="BX914" s="15"/>
      <c r="BY914" s="15"/>
      <c r="BZ914" s="15"/>
      <c r="CA914" s="15"/>
      <c r="CB914" s="15"/>
    </row>
    <row r="915" spans="1:80" ht="12.75" hidden="1" customHeight="1">
      <c r="A915" s="20">
        <f ca="1">IFERROR(__xludf.DUMMYFUNCTION("""COMPUTED_VALUE"""),2013)</f>
        <v>2013</v>
      </c>
      <c r="B915" s="45">
        <f ca="1">IFERROR(__xludf.DUMMYFUNCTION("""COMPUTED_VALUE"""),41878)</f>
        <v>41878</v>
      </c>
      <c r="C915" s="46"/>
      <c r="D915" s="47" t="str">
        <f ca="1">IFERROR(__xludf.DUMMYFUNCTION("""COMPUTED_VALUE"""),"Great Northern Diver")</f>
        <v>Great Northern Diver</v>
      </c>
      <c r="E915" s="52">
        <f ca="1">IFERROR(__xludf.DUMMYFUNCTION("""COMPUTED_VALUE"""),1)</f>
        <v>1</v>
      </c>
      <c r="F915" s="25"/>
      <c r="G915" s="48" t="str">
        <f ca="1">IFERROR(__xludf.DUMMYFUNCTION("""COMPUTED_VALUE"""),"Hilbre")</f>
        <v>Hilbre</v>
      </c>
      <c r="H915" s="22">
        <f ca="1">IFERROR(__xludf.DUMMYFUNCTION("""COMPUTED_VALUE"""),41312)</f>
        <v>41312</v>
      </c>
      <c r="I915" s="22"/>
      <c r="J915" s="67" t="str">
        <f ca="1">IFERROR(__xludf.DUMMYFUNCTION("""COMPUTED_VALUE"""),"Hilbre Bird Observatory")</f>
        <v>Hilbre Bird Observatory</v>
      </c>
      <c r="K915" s="25"/>
      <c r="L915" s="27" t="str">
        <f ca="1">IFERROR(__xludf.DUMMYFUNCTION("""COMPUTED_VALUE"""),"closed")</f>
        <v>closed</v>
      </c>
      <c r="M915" s="27" t="str">
        <f ca="1">IFERROR(__xludf.DUMMYFUNCTION("""COMPUTED_VALUE"""),"proxy")</f>
        <v>proxy</v>
      </c>
      <c r="N915" s="25" t="str">
        <f ca="1">IFERROR(__xludf.DUMMYFUNCTION("""COMPUTED_VALUE"""),"accepted")</f>
        <v>accepted</v>
      </c>
      <c r="O915" s="28"/>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c r="AQ915" s="25"/>
      <c r="AR915" s="25"/>
      <c r="AS915" s="25"/>
      <c r="AT915" s="25"/>
      <c r="AU915" s="25"/>
      <c r="AV915" s="25"/>
      <c r="AW915" s="25"/>
      <c r="AX915" s="25"/>
      <c r="AY915" s="25"/>
      <c r="AZ915" s="25"/>
      <c r="BA915" s="25"/>
      <c r="BB915" s="25"/>
      <c r="BC915" s="25"/>
      <c r="BD915" s="25"/>
      <c r="BE915" s="25"/>
      <c r="BF915" s="25"/>
      <c r="BG915" s="25"/>
      <c r="BH915" s="25"/>
      <c r="BI915" s="25"/>
      <c r="BJ915" s="25"/>
      <c r="BK915" s="25"/>
      <c r="BL915" s="25"/>
      <c r="BM915" s="25"/>
      <c r="BN915" s="25"/>
      <c r="BO915" s="25"/>
      <c r="BP915" s="25"/>
      <c r="BQ915" s="25"/>
      <c r="BR915" s="25"/>
      <c r="BS915" s="25"/>
      <c r="BT915" s="25"/>
      <c r="BU915" s="25"/>
      <c r="BV915" s="25"/>
      <c r="BW915" s="25"/>
      <c r="BX915" s="25"/>
      <c r="BY915" s="25"/>
      <c r="BZ915" s="25"/>
      <c r="CA915" s="25"/>
      <c r="CB915" s="25"/>
    </row>
    <row r="916" spans="1:80" ht="12.75" hidden="1" customHeight="1">
      <c r="A916" s="10">
        <f ca="1">IFERROR(__xludf.DUMMYFUNCTION("""COMPUTED_VALUE"""),2013)</f>
        <v>2013</v>
      </c>
      <c r="B916" s="50">
        <f ca="1">IFERROR(__xludf.DUMMYFUNCTION("""COMPUTED_VALUE"""),41878)</f>
        <v>41878</v>
      </c>
      <c r="C916" s="41"/>
      <c r="D916" s="42" t="str">
        <f ca="1">IFERROR(__xludf.DUMMYFUNCTION("""COMPUTED_VALUE"""),"Great Northern Diver")</f>
        <v>Great Northern Diver</v>
      </c>
      <c r="E916" s="53">
        <f ca="1">IFERROR(__xludf.DUMMYFUNCTION("""COMPUTED_VALUE"""),1)</f>
        <v>1</v>
      </c>
      <c r="F916" s="15"/>
      <c r="G916" s="44" t="str">
        <f ca="1">IFERROR(__xludf.DUMMYFUNCTION("""COMPUTED_VALUE"""),"Hilbre")</f>
        <v>Hilbre</v>
      </c>
      <c r="H916" s="12">
        <f ca="1">IFERROR(__xludf.DUMMYFUNCTION("""COMPUTED_VALUE"""),41314)</f>
        <v>41314</v>
      </c>
      <c r="I916" s="12"/>
      <c r="J916" s="68" t="str">
        <f ca="1">IFERROR(__xludf.DUMMYFUNCTION("""COMPUTED_VALUE"""),"Hilbre Bird Observatory")</f>
        <v>Hilbre Bird Observatory</v>
      </c>
      <c r="K916" s="15"/>
      <c r="L916" s="17" t="str">
        <f ca="1">IFERROR(__xludf.DUMMYFUNCTION("""COMPUTED_VALUE"""),"closed")</f>
        <v>closed</v>
      </c>
      <c r="M916" s="17" t="str">
        <f ca="1">IFERROR(__xludf.DUMMYFUNCTION("""COMPUTED_VALUE"""),"proxy")</f>
        <v>proxy</v>
      </c>
      <c r="N916" s="15" t="str">
        <f ca="1">IFERROR(__xludf.DUMMYFUNCTION("""COMPUTED_VALUE"""),"accepted")</f>
        <v>accepted</v>
      </c>
      <c r="O916" s="18"/>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c r="BK916" s="15"/>
      <c r="BL916" s="15"/>
      <c r="BM916" s="15"/>
      <c r="BN916" s="15"/>
      <c r="BO916" s="15"/>
      <c r="BP916" s="15"/>
      <c r="BQ916" s="15"/>
      <c r="BR916" s="15"/>
      <c r="BS916" s="15"/>
      <c r="BT916" s="15"/>
      <c r="BU916" s="15"/>
      <c r="BV916" s="15"/>
      <c r="BW916" s="15"/>
      <c r="BX916" s="15"/>
      <c r="BY916" s="15"/>
      <c r="BZ916" s="15"/>
      <c r="CA916" s="15"/>
      <c r="CB916" s="15"/>
    </row>
    <row r="917" spans="1:80" ht="12.75" hidden="1" customHeight="1">
      <c r="A917" s="20">
        <f ca="1">IFERROR(__xludf.DUMMYFUNCTION("""COMPUTED_VALUE"""),2013)</f>
        <v>2013</v>
      </c>
      <c r="B917" s="45">
        <f ca="1">IFERROR(__xludf.DUMMYFUNCTION("""COMPUTED_VALUE"""),41934)</f>
        <v>41934</v>
      </c>
      <c r="C917" s="46">
        <f ca="1">IFERROR(__xludf.DUMMYFUNCTION("""COMPUTED_VALUE"""),41904)</f>
        <v>41904</v>
      </c>
      <c r="D917" s="47" t="str">
        <f ca="1">IFERROR(__xludf.DUMMYFUNCTION("""COMPUTED_VALUE"""),"Great Northern Diver")</f>
        <v>Great Northern Diver</v>
      </c>
      <c r="E917" s="52">
        <f ca="1">IFERROR(__xludf.DUMMYFUNCTION("""COMPUTED_VALUE"""),1)</f>
        <v>1</v>
      </c>
      <c r="F917" s="25"/>
      <c r="G917" s="48" t="str">
        <f ca="1">IFERROR(__xludf.DUMMYFUNCTION("""COMPUTED_VALUE"""),"Hoylake")</f>
        <v>Hoylake</v>
      </c>
      <c r="H917" s="22">
        <f ca="1">IFERROR(__xludf.DUMMYFUNCTION("""COMPUTED_VALUE"""),41382)</f>
        <v>41382</v>
      </c>
      <c r="I917" s="22"/>
      <c r="J917" s="24" t="str">
        <f ca="1">IFERROR(__xludf.DUMMYFUNCTION("""COMPUTED_VALUE"""),"Turner, JE")</f>
        <v>Turner, JE</v>
      </c>
      <c r="K917" s="25" t="str">
        <f ca="1">IFERROR(__xludf.DUMMYFUNCTION("""COMPUTED_VALUE"""),"Turner, JE")</f>
        <v>Turner, JE</v>
      </c>
      <c r="L917" s="27" t="str">
        <f ca="1">IFERROR(__xludf.DUMMYFUNCTION("""COMPUTED_VALUE"""),"closed")</f>
        <v>closed</v>
      </c>
      <c r="M917" s="27" t="str">
        <f ca="1">IFERROR(__xludf.DUMMYFUNCTION("""COMPUTED_VALUE"""),"1st U")</f>
        <v>1st U</v>
      </c>
      <c r="N917" s="25" t="str">
        <f ca="1">IFERROR(__xludf.DUMMYFUNCTION("""COMPUTED_VALUE"""),"accepted")</f>
        <v>accepted</v>
      </c>
      <c r="O917" s="28"/>
      <c r="P917" s="25"/>
      <c r="Q917" s="40"/>
      <c r="R917" s="40"/>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c r="AQ917" s="25"/>
      <c r="AR917" s="25"/>
      <c r="AS917" s="25"/>
      <c r="AT917" s="25"/>
      <c r="AU917" s="25"/>
      <c r="AV917" s="25"/>
      <c r="AW917" s="25"/>
      <c r="AX917" s="25"/>
      <c r="AY917" s="25"/>
      <c r="AZ917" s="25"/>
      <c r="BA917" s="25"/>
      <c r="BB917" s="25"/>
      <c r="BC917" s="25"/>
      <c r="BD917" s="25"/>
      <c r="BE917" s="25"/>
      <c r="BF917" s="25"/>
      <c r="BG917" s="25"/>
      <c r="BH917" s="25"/>
      <c r="BI917" s="25"/>
      <c r="BJ917" s="25"/>
      <c r="BK917" s="25"/>
      <c r="BL917" s="25"/>
      <c r="BM917" s="25"/>
      <c r="BN917" s="25"/>
      <c r="BO917" s="25"/>
      <c r="BP917" s="25"/>
      <c r="BQ917" s="25"/>
      <c r="BR917" s="25"/>
      <c r="BS917" s="25"/>
      <c r="BT917" s="25"/>
      <c r="BU917" s="25"/>
      <c r="BV917" s="25"/>
      <c r="BW917" s="25"/>
      <c r="BX917" s="25"/>
      <c r="BY917" s="25"/>
      <c r="BZ917" s="25"/>
      <c r="CA917" s="25"/>
      <c r="CB917" s="25"/>
    </row>
    <row r="918" spans="1:80" ht="12.75" hidden="1" customHeight="1">
      <c r="A918" s="10">
        <f ca="1">IFERROR(__xludf.DUMMYFUNCTION("""COMPUTED_VALUE"""),2013)</f>
        <v>2013</v>
      </c>
      <c r="B918" s="50">
        <f ca="1">IFERROR(__xludf.DUMMYFUNCTION("""COMPUTED_VALUE"""),41934)</f>
        <v>41934</v>
      </c>
      <c r="C918" s="41">
        <f ca="1">IFERROR(__xludf.DUMMYFUNCTION("""COMPUTED_VALUE"""),41904)</f>
        <v>41904</v>
      </c>
      <c r="D918" s="42" t="str">
        <f ca="1">IFERROR(__xludf.DUMMYFUNCTION("""COMPUTED_VALUE"""),"Great Northern Diver")</f>
        <v>Great Northern Diver</v>
      </c>
      <c r="E918" s="53">
        <f ca="1">IFERROR(__xludf.DUMMYFUNCTION("""COMPUTED_VALUE"""),2)</f>
        <v>2</v>
      </c>
      <c r="F918" s="15"/>
      <c r="G918" s="44" t="str">
        <f ca="1">IFERROR(__xludf.DUMMYFUNCTION("""COMPUTED_VALUE"""),"Hoylake")</f>
        <v>Hoylake</v>
      </c>
      <c r="H918" s="12">
        <f ca="1">IFERROR(__xludf.DUMMYFUNCTION("""COMPUTED_VALUE"""),41581)</f>
        <v>41581</v>
      </c>
      <c r="I918" s="12"/>
      <c r="J918" s="14" t="str">
        <f ca="1">IFERROR(__xludf.DUMMYFUNCTION("""COMPUTED_VALUE"""),"Turner, JE")</f>
        <v>Turner, JE</v>
      </c>
      <c r="K918" s="15" t="str">
        <f ca="1">IFERROR(__xludf.DUMMYFUNCTION("""COMPUTED_VALUE"""),"Turner, JE")</f>
        <v>Turner, JE</v>
      </c>
      <c r="L918" s="17" t="str">
        <f ca="1">IFERROR(__xludf.DUMMYFUNCTION("""COMPUTED_VALUE"""),"closed")</f>
        <v>closed</v>
      </c>
      <c r="M918" s="17" t="str">
        <f ca="1">IFERROR(__xludf.DUMMYFUNCTION("""COMPUTED_VALUE"""),"1st U")</f>
        <v>1st U</v>
      </c>
      <c r="N918" s="15" t="str">
        <f ca="1">IFERROR(__xludf.DUMMYFUNCTION("""COMPUTED_VALUE"""),"accepted")</f>
        <v>accepted</v>
      </c>
      <c r="O918" s="18"/>
      <c r="P918" s="15"/>
      <c r="Q918" s="58"/>
      <c r="R918" s="58"/>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c r="BK918" s="15"/>
      <c r="BL918" s="15"/>
      <c r="BM918" s="15"/>
      <c r="BN918" s="15"/>
      <c r="BO918" s="15"/>
      <c r="BP918" s="15"/>
      <c r="BQ918" s="15"/>
      <c r="BR918" s="15"/>
      <c r="BS918" s="15"/>
      <c r="BT918" s="15"/>
      <c r="BU918" s="15"/>
      <c r="BV918" s="15"/>
      <c r="BW918" s="15"/>
      <c r="BX918" s="15"/>
      <c r="BY918" s="15"/>
      <c r="BZ918" s="15"/>
      <c r="CA918" s="15"/>
      <c r="CB918" s="15"/>
    </row>
    <row r="919" spans="1:80" ht="15" hidden="1" customHeight="1">
      <c r="A919" s="20">
        <f ca="1">IFERROR(__xludf.DUMMYFUNCTION("""COMPUTED_VALUE"""),2013)</f>
        <v>2013</v>
      </c>
      <c r="B919" s="45">
        <f ca="1">IFERROR(__xludf.DUMMYFUNCTION("""COMPUTED_VALUE"""),41902)</f>
        <v>41902</v>
      </c>
      <c r="C919" s="46">
        <f ca="1">IFERROR(__xludf.DUMMYFUNCTION("""COMPUTED_VALUE"""),41816)</f>
        <v>41816</v>
      </c>
      <c r="D919" s="47" t="str">
        <f ca="1">IFERROR(__xludf.DUMMYFUNCTION("""COMPUTED_VALUE"""),"Glossy Ibis")</f>
        <v>Glossy Ibis</v>
      </c>
      <c r="E919" s="52">
        <f ca="1">IFERROR(__xludf.DUMMYFUNCTION("""COMPUTED_VALUE"""),1)</f>
        <v>1</v>
      </c>
      <c r="F919" s="25"/>
      <c r="G919" s="48" t="str">
        <f ca="1">IFERROR(__xludf.DUMMYFUNCTION("""COMPUTED_VALUE"""),"Sandbach")</f>
        <v>Sandbach</v>
      </c>
      <c r="H919" s="22">
        <f ca="1">IFERROR(__xludf.DUMMYFUNCTION("""COMPUTED_VALUE"""),41306)</f>
        <v>41306</v>
      </c>
      <c r="I919" s="22"/>
      <c r="J919" s="24" t="str">
        <f ca="1">IFERROR(__xludf.DUMMYFUNCTION("""COMPUTED_VALUE"""),"Woollen, P")</f>
        <v>Woollen, P</v>
      </c>
      <c r="K919" s="25" t="str">
        <f ca="1">IFERROR(__xludf.DUMMYFUNCTION("""COMPUTED_VALUE"""),"?")</f>
        <v>?</v>
      </c>
      <c r="L919" s="27" t="str">
        <f ca="1">IFERROR(__xludf.DUMMYFUNCTION("""COMPUTED_VALUE"""),"closed")</f>
        <v>closed</v>
      </c>
      <c r="M919" s="27" t="str">
        <f ca="1">IFERROR(__xludf.DUMMYFUNCTION("""COMPUTED_VALUE"""),"1st U")</f>
        <v>1st U</v>
      </c>
      <c r="N919" s="25" t="str">
        <f ca="1">IFERROR(__xludf.DUMMYFUNCTION("""COMPUTED_VALUE"""),"accepted")</f>
        <v>accepted</v>
      </c>
      <c r="O919" s="28"/>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c r="AQ919" s="25"/>
      <c r="AR919" s="25"/>
      <c r="AS919" s="25"/>
      <c r="AT919" s="25"/>
      <c r="AU919" s="25"/>
      <c r="AV919" s="25"/>
      <c r="AW919" s="25"/>
      <c r="AX919" s="25"/>
      <c r="AY919" s="25"/>
      <c r="AZ919" s="25"/>
      <c r="BA919" s="25"/>
      <c r="BB919" s="25"/>
      <c r="BC919" s="25"/>
      <c r="BD919" s="25"/>
      <c r="BE919" s="25"/>
      <c r="BF919" s="25"/>
      <c r="BG919" s="25"/>
      <c r="BH919" s="25"/>
      <c r="BI919" s="25"/>
      <c r="BJ919" s="25"/>
      <c r="BK919" s="25"/>
      <c r="BL919" s="25"/>
      <c r="BM919" s="25"/>
      <c r="BN919" s="25"/>
      <c r="BO919" s="25"/>
      <c r="BP919" s="25"/>
      <c r="BQ919" s="25"/>
      <c r="BR919" s="25"/>
      <c r="BS919" s="25"/>
      <c r="BT919" s="25"/>
      <c r="BU919" s="25"/>
      <c r="BV919" s="25"/>
      <c r="BW919" s="25"/>
      <c r="BX919" s="25"/>
      <c r="BY919" s="25"/>
      <c r="BZ919" s="25"/>
      <c r="CA919" s="25"/>
      <c r="CB919" s="25"/>
    </row>
    <row r="920" spans="1:80" ht="12.75" hidden="1" customHeight="1">
      <c r="A920" s="10">
        <f ca="1">IFERROR(__xludf.DUMMYFUNCTION("""COMPUTED_VALUE"""),2013)</f>
        <v>2013</v>
      </c>
      <c r="B920" s="50">
        <f ca="1">IFERROR(__xludf.DUMMYFUNCTION("""COMPUTED_VALUE"""),41902)</f>
        <v>41902</v>
      </c>
      <c r="C920" s="41"/>
      <c r="D920" s="42" t="str">
        <f ca="1">IFERROR(__xludf.DUMMYFUNCTION("""COMPUTED_VALUE"""),"Glossy Ibis")</f>
        <v>Glossy Ibis</v>
      </c>
      <c r="E920" s="53">
        <f ca="1">IFERROR(__xludf.DUMMYFUNCTION("""COMPUTED_VALUE"""),1)</f>
        <v>1</v>
      </c>
      <c r="F920" s="15"/>
      <c r="G920" s="44" t="str">
        <f ca="1">IFERROR(__xludf.DUMMYFUNCTION("""COMPUTED_VALUE"""),"Sandbach")</f>
        <v>Sandbach</v>
      </c>
      <c r="H920" s="12">
        <f ca="1">IFERROR(__xludf.DUMMYFUNCTION("""COMPUTED_VALUE"""),41307)</f>
        <v>41307</v>
      </c>
      <c r="I920" s="12"/>
      <c r="J920" s="14" t="str">
        <f ca="1">IFERROR(__xludf.DUMMYFUNCTION("""COMPUTED_VALUE"""),"Seargent, C")</f>
        <v>Seargent, C</v>
      </c>
      <c r="K920" s="15" t="str">
        <f ca="1">IFERROR(__xludf.DUMMYFUNCTION("""COMPUTED_VALUE"""),"?")</f>
        <v>?</v>
      </c>
      <c r="L920" s="17" t="str">
        <f ca="1">IFERROR(__xludf.DUMMYFUNCTION("""COMPUTED_VALUE"""),"closed")</f>
        <v>closed</v>
      </c>
      <c r="M920" s="17" t="str">
        <f ca="1">IFERROR(__xludf.DUMMYFUNCTION("""COMPUTED_VALUE"""),"1st U")</f>
        <v>1st U</v>
      </c>
      <c r="N920" s="15" t="str">
        <f ca="1">IFERROR(__xludf.DUMMYFUNCTION("""COMPUTED_VALUE"""),"accepted")</f>
        <v>accepted</v>
      </c>
      <c r="O920" s="18"/>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c r="BK920" s="15"/>
      <c r="BL920" s="15"/>
      <c r="BM920" s="15"/>
      <c r="BN920" s="15"/>
      <c r="BO920" s="15"/>
      <c r="BP920" s="15"/>
      <c r="BQ920" s="15"/>
      <c r="BR920" s="15"/>
      <c r="BS920" s="15"/>
      <c r="BT920" s="15"/>
      <c r="BU920" s="15"/>
      <c r="BV920" s="15"/>
      <c r="BW920" s="15"/>
      <c r="BX920" s="15"/>
      <c r="BY920" s="15"/>
      <c r="BZ920" s="15"/>
      <c r="CA920" s="15"/>
      <c r="CB920" s="15"/>
    </row>
    <row r="921" spans="1:80" ht="12.75" hidden="1" customHeight="1">
      <c r="A921" s="20">
        <f ca="1">IFERROR(__xludf.DUMMYFUNCTION("""COMPUTED_VALUE"""),2013)</f>
        <v>2013</v>
      </c>
      <c r="B921" s="45">
        <f ca="1">IFERROR(__xludf.DUMMYFUNCTION("""COMPUTED_VALUE"""),41891)</f>
        <v>41891</v>
      </c>
      <c r="C921" s="46"/>
      <c r="D921" s="47" t="str">
        <f ca="1">IFERROR(__xludf.DUMMYFUNCTION("""COMPUTED_VALUE"""),"Cattle Egret")</f>
        <v>Cattle Egret</v>
      </c>
      <c r="E921" s="52">
        <f ca="1">IFERROR(__xludf.DUMMYFUNCTION("""COMPUTED_VALUE"""),1)</f>
        <v>1</v>
      </c>
      <c r="F921" s="25"/>
      <c r="G921" s="48" t="str">
        <f ca="1">IFERROR(__xludf.DUMMYFUNCTION("""COMPUTED_VALUE"""),"Frodsham")</f>
        <v>Frodsham</v>
      </c>
      <c r="H921" s="22">
        <f ca="1">IFERROR(__xludf.DUMMYFUNCTION("""COMPUTED_VALUE"""),41509)</f>
        <v>41509</v>
      </c>
      <c r="I921" s="22"/>
      <c r="J921" s="24" t="str">
        <f ca="1">IFERROR(__xludf.DUMMYFUNCTION("""COMPUTED_VALUE"""),"Frodsham Marsh Blog")</f>
        <v>Frodsham Marsh Blog</v>
      </c>
      <c r="K921" s="25" t="str">
        <f ca="1">IFERROR(__xludf.DUMMYFUNCTION("""COMPUTED_VALUE"""),"Liam Langley Scott Reid")</f>
        <v>Liam Langley Scott Reid</v>
      </c>
      <c r="L921" s="27" t="str">
        <f ca="1">IFERROR(__xludf.DUMMYFUNCTION("""COMPUTED_VALUE"""),"closed")</f>
        <v>closed</v>
      </c>
      <c r="M921" s="27" t="str">
        <f ca="1">IFERROR(__xludf.DUMMYFUNCTION("""COMPUTED_VALUE"""),"1st U")</f>
        <v>1st U</v>
      </c>
      <c r="N921" s="25" t="str">
        <f ca="1">IFERROR(__xludf.DUMMYFUNCTION("""COMPUTED_VALUE"""),"accepted")</f>
        <v>accepted</v>
      </c>
      <c r="O921" s="28"/>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c r="AQ921" s="25"/>
      <c r="AR921" s="25"/>
      <c r="AS921" s="25"/>
      <c r="AT921" s="25"/>
      <c r="AU921" s="25"/>
      <c r="AV921" s="25"/>
      <c r="AW921" s="25"/>
      <c r="AX921" s="25"/>
      <c r="AY921" s="25"/>
      <c r="AZ921" s="25"/>
      <c r="BA921" s="25"/>
      <c r="BB921" s="25"/>
      <c r="BC921" s="25"/>
      <c r="BD921" s="25"/>
      <c r="BE921" s="25"/>
      <c r="BF921" s="25"/>
      <c r="BG921" s="25"/>
      <c r="BH921" s="25"/>
      <c r="BI921" s="25"/>
      <c r="BJ921" s="25"/>
      <c r="BK921" s="25"/>
      <c r="BL921" s="25"/>
      <c r="BM921" s="25"/>
      <c r="BN921" s="25"/>
      <c r="BO921" s="25"/>
      <c r="BP921" s="25"/>
      <c r="BQ921" s="25"/>
      <c r="BR921" s="25"/>
      <c r="BS921" s="25"/>
      <c r="BT921" s="25"/>
      <c r="BU921" s="25"/>
      <c r="BV921" s="25"/>
      <c r="BW921" s="25"/>
      <c r="BX921" s="25"/>
      <c r="BY921" s="25"/>
      <c r="BZ921" s="25"/>
      <c r="CA921" s="25"/>
      <c r="CB921" s="25"/>
    </row>
    <row r="922" spans="1:80" ht="12.75" hidden="1" customHeight="1">
      <c r="A922" s="10">
        <f ca="1">IFERROR(__xludf.DUMMYFUNCTION("""COMPUTED_VALUE"""),2013)</f>
        <v>2013</v>
      </c>
      <c r="B922" s="50">
        <f ca="1">IFERROR(__xludf.DUMMYFUNCTION("""COMPUTED_VALUE"""),41334)</f>
        <v>41334</v>
      </c>
      <c r="C922" s="41"/>
      <c r="D922" s="42" t="str">
        <f ca="1">IFERROR(__xludf.DUMMYFUNCTION("""COMPUTED_VALUE"""),"Great White Egret")</f>
        <v>Great White Egret</v>
      </c>
      <c r="E922" s="53">
        <f ca="1">IFERROR(__xludf.DUMMYFUNCTION("""COMPUTED_VALUE"""),1)</f>
        <v>1</v>
      </c>
      <c r="F922" s="15"/>
      <c r="G922" s="44" t="str">
        <f ca="1">IFERROR(__xludf.DUMMYFUNCTION("""COMPUTED_VALUE"""),"Pargate Parade")</f>
        <v>Pargate Parade</v>
      </c>
      <c r="H922" s="12">
        <f ca="1">IFERROR(__xludf.DUMMYFUNCTION("""COMPUTED_VALUE"""),41306)</f>
        <v>41306</v>
      </c>
      <c r="I922" s="12"/>
      <c r="J922" s="14"/>
      <c r="K922" s="15"/>
      <c r="L922" s="17" t="str">
        <f ca="1">IFERROR(__xludf.DUMMYFUNCTION("""COMPUTED_VALUE"""),"closed")</f>
        <v>closed</v>
      </c>
      <c r="M922" s="17" t="str">
        <f ca="1">IFERROR(__xludf.DUMMYFUNCTION("""COMPUTED_VALUE"""),"proxy")</f>
        <v>proxy</v>
      </c>
      <c r="N922" s="15" t="str">
        <f ca="1">IFERROR(__xludf.DUMMYFUNCTION("""COMPUTED_VALUE"""),"accepted")</f>
        <v>accepted</v>
      </c>
      <c r="O922" s="18"/>
      <c r="P922" s="15"/>
      <c r="Q922" s="15"/>
      <c r="R922" s="58"/>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c r="BK922" s="15"/>
      <c r="BL922" s="15"/>
      <c r="BM922" s="15"/>
      <c r="BN922" s="15"/>
      <c r="BO922" s="15"/>
      <c r="BP922" s="15"/>
      <c r="BQ922" s="15"/>
      <c r="BR922" s="15"/>
      <c r="BS922" s="15"/>
      <c r="BT922" s="15"/>
      <c r="BU922" s="15"/>
      <c r="BV922" s="15"/>
      <c r="BW922" s="15"/>
      <c r="BX922" s="15"/>
      <c r="BY922" s="15"/>
      <c r="BZ922" s="15"/>
      <c r="CA922" s="15"/>
      <c r="CB922" s="15"/>
    </row>
    <row r="923" spans="1:80" ht="12.75" hidden="1" customHeight="1">
      <c r="A923" s="20">
        <f ca="1">IFERROR(__xludf.DUMMYFUNCTION("""COMPUTED_VALUE"""),2013)</f>
        <v>2013</v>
      </c>
      <c r="B923" s="45">
        <f ca="1">IFERROR(__xludf.DUMMYFUNCTION("""COMPUTED_VALUE"""),41326)</f>
        <v>41326</v>
      </c>
      <c r="C923" s="46"/>
      <c r="D923" s="47" t="str">
        <f ca="1">IFERROR(__xludf.DUMMYFUNCTION("""COMPUTED_VALUE"""),"Great White Egret")</f>
        <v>Great White Egret</v>
      </c>
      <c r="E923" s="52">
        <f ca="1">IFERROR(__xludf.DUMMYFUNCTION("""COMPUTED_VALUE"""),1)</f>
        <v>1</v>
      </c>
      <c r="F923" s="25"/>
      <c r="G923" s="48" t="str">
        <f ca="1">IFERROR(__xludf.DUMMYFUNCTION("""COMPUTED_VALUE"""),"parkgate")</f>
        <v>parkgate</v>
      </c>
      <c r="H923" s="22">
        <f ca="1">IFERROR(__xludf.DUMMYFUNCTION("""COMPUTED_VALUE"""),41318)</f>
        <v>41318</v>
      </c>
      <c r="I923" s="22">
        <f ca="1">IFERROR(__xludf.DUMMYFUNCTION("""COMPUTED_VALUE"""),41318)</f>
        <v>41318</v>
      </c>
      <c r="J923" s="24"/>
      <c r="K923" s="25"/>
      <c r="L923" s="27" t="str">
        <f ca="1">IFERROR(__xludf.DUMMYFUNCTION("""COMPUTED_VALUE"""),"closed")</f>
        <v>closed</v>
      </c>
      <c r="M923" s="27" t="str">
        <f ca="1">IFERROR(__xludf.DUMMYFUNCTION("""COMPUTED_VALUE"""),"proxy")</f>
        <v>proxy</v>
      </c>
      <c r="N923" s="25" t="str">
        <f ca="1">IFERROR(__xludf.DUMMYFUNCTION("""COMPUTED_VALUE"""),"accepted")</f>
        <v>accepted</v>
      </c>
      <c r="O923" s="28"/>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c r="AQ923" s="25"/>
      <c r="AR923" s="25"/>
      <c r="AS923" s="25"/>
      <c r="AT923" s="25"/>
      <c r="AU923" s="25"/>
      <c r="AV923" s="25"/>
      <c r="AW923" s="25"/>
      <c r="AX923" s="25"/>
      <c r="AY923" s="25"/>
      <c r="AZ923" s="25"/>
      <c r="BA923" s="25"/>
      <c r="BB923" s="25"/>
      <c r="BC923" s="25"/>
      <c r="BD923" s="25"/>
      <c r="BE923" s="25"/>
      <c r="BF923" s="25"/>
      <c r="BG923" s="25"/>
      <c r="BH923" s="25"/>
      <c r="BI923" s="25"/>
      <c r="BJ923" s="25"/>
      <c r="BK923" s="25"/>
      <c r="BL923" s="25"/>
      <c r="BM923" s="25"/>
      <c r="BN923" s="25"/>
      <c r="BO923" s="25"/>
      <c r="BP923" s="25"/>
      <c r="BQ923" s="25"/>
      <c r="BR923" s="25"/>
      <c r="BS923" s="25"/>
      <c r="BT923" s="25"/>
      <c r="BU923" s="25"/>
      <c r="BV923" s="25"/>
      <c r="BW923" s="25"/>
      <c r="BX923" s="25"/>
      <c r="BY923" s="25"/>
      <c r="BZ923" s="25"/>
      <c r="CA923" s="25"/>
      <c r="CB923" s="25"/>
    </row>
    <row r="924" spans="1:80" ht="12.75" hidden="1" customHeight="1">
      <c r="A924" s="10">
        <f ca="1">IFERROR(__xludf.DUMMYFUNCTION("""COMPUTED_VALUE"""),2013)</f>
        <v>2013</v>
      </c>
      <c r="B924" s="50">
        <f ca="1">IFERROR(__xludf.DUMMYFUNCTION("""COMPUTED_VALUE"""),41906)</f>
        <v>41906</v>
      </c>
      <c r="C924" s="41">
        <f ca="1">IFERROR(__xludf.DUMMYFUNCTION("""COMPUTED_VALUE"""),41903)</f>
        <v>41903</v>
      </c>
      <c r="D924" s="42" t="str">
        <f ca="1">IFERROR(__xludf.DUMMYFUNCTION("""COMPUTED_VALUE"""),"Great White egret")</f>
        <v>Great White egret</v>
      </c>
      <c r="E924" s="53">
        <f ca="1">IFERROR(__xludf.DUMMYFUNCTION("""COMPUTED_VALUE"""),1)</f>
        <v>1</v>
      </c>
      <c r="F924" s="15"/>
      <c r="G924" s="44" t="str">
        <f ca="1">IFERROR(__xludf.DUMMYFUNCTION("""COMPUTED_VALUE"""),"Rode Pool")</f>
        <v>Rode Pool</v>
      </c>
      <c r="H924" s="12">
        <f ca="1">IFERROR(__xludf.DUMMYFUNCTION("""COMPUTED_VALUE"""),41572)</f>
        <v>41572</v>
      </c>
      <c r="I924" s="12"/>
      <c r="J924" s="14" t="str">
        <f ca="1">IFERROR(__xludf.DUMMYFUNCTION("""COMPUTED_VALUE"""),"Lythgoe, C")</f>
        <v>Lythgoe, C</v>
      </c>
      <c r="K924" s="15" t="str">
        <f ca="1">IFERROR(__xludf.DUMMYFUNCTION("""COMPUTED_VALUE"""),"Lythgoe, C")</f>
        <v>Lythgoe, C</v>
      </c>
      <c r="L924" s="17" t="str">
        <f ca="1">IFERROR(__xludf.DUMMYFUNCTION("""COMPUTED_VALUE"""),"closed")</f>
        <v>closed</v>
      </c>
      <c r="M924" s="17" t="str">
        <f ca="1">IFERROR(__xludf.DUMMYFUNCTION("""COMPUTED_VALUE"""),"1st U")</f>
        <v>1st U</v>
      </c>
      <c r="N924" s="15" t="str">
        <f ca="1">IFERROR(__xludf.DUMMYFUNCTION("""COMPUTED_VALUE"""),"Accepted")</f>
        <v>Accepted</v>
      </c>
      <c r="O924" s="18"/>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c r="BK924" s="15"/>
      <c r="BL924" s="15"/>
      <c r="BM924" s="15"/>
      <c r="BN924" s="15"/>
      <c r="BO924" s="15"/>
      <c r="BP924" s="15"/>
      <c r="BQ924" s="15"/>
      <c r="BR924" s="15"/>
      <c r="BS924" s="15"/>
      <c r="BT924" s="15"/>
      <c r="BU924" s="15"/>
      <c r="BV924" s="15"/>
      <c r="BW924" s="15"/>
      <c r="BX924" s="15"/>
      <c r="BY924" s="15"/>
      <c r="BZ924" s="15"/>
      <c r="CA924" s="15"/>
      <c r="CB924" s="15"/>
    </row>
    <row r="925" spans="1:80" ht="12.75" hidden="1" customHeight="1">
      <c r="A925" s="20">
        <f ca="1">IFERROR(__xludf.DUMMYFUNCTION("""COMPUTED_VALUE"""),2013)</f>
        <v>2013</v>
      </c>
      <c r="B925" s="45">
        <f ca="1">IFERROR(__xludf.DUMMYFUNCTION("""COMPUTED_VALUE"""),41886)</f>
        <v>41886</v>
      </c>
      <c r="C925" s="46">
        <f ca="1">IFERROR(__xludf.DUMMYFUNCTION("""COMPUTED_VALUE"""),41877)</f>
        <v>41877</v>
      </c>
      <c r="D925" s="47" t="str">
        <f ca="1">IFERROR(__xludf.DUMMYFUNCTION("""COMPUTED_VALUE"""),"Great White egret")</f>
        <v>Great White egret</v>
      </c>
      <c r="E925" s="52">
        <f ca="1">IFERROR(__xludf.DUMMYFUNCTION("""COMPUTED_VALUE"""),1)</f>
        <v>1</v>
      </c>
      <c r="F925" s="25"/>
      <c r="G925" s="48" t="str">
        <f ca="1">IFERROR(__xludf.DUMMYFUNCTION("""COMPUTED_VALUE"""),"Hilbre")</f>
        <v>Hilbre</v>
      </c>
      <c r="H925" s="22">
        <f ca="1">IFERROR(__xludf.DUMMYFUNCTION("""COMPUTED_VALUE"""),41608)</f>
        <v>41608</v>
      </c>
      <c r="I925" s="22"/>
      <c r="J925" s="24" t="str">
        <f ca="1">IFERROR(__xludf.DUMMYFUNCTION("""COMPUTED_VALUE"""),"Lee, P")</f>
        <v>Lee, P</v>
      </c>
      <c r="K925" s="25" t="str">
        <f ca="1">IFERROR(__xludf.DUMMYFUNCTION("""COMPUTED_VALUE"""),"Lee, P")</f>
        <v>Lee, P</v>
      </c>
      <c r="L925" s="27" t="str">
        <f ca="1">IFERROR(__xludf.DUMMYFUNCTION("""COMPUTED_VALUE"""),"closed")</f>
        <v>closed</v>
      </c>
      <c r="M925" s="27" t="str">
        <f ca="1">IFERROR(__xludf.DUMMYFUNCTION("""COMPUTED_VALUE"""),"1st U")</f>
        <v>1st U</v>
      </c>
      <c r="N925" s="25" t="str">
        <f ca="1">IFERROR(__xludf.DUMMYFUNCTION("""COMPUTED_VALUE"""),"accepted")</f>
        <v>accepted</v>
      </c>
      <c r="O925" s="28"/>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c r="AQ925" s="25"/>
      <c r="AR925" s="25"/>
      <c r="AS925" s="25"/>
      <c r="AT925" s="25"/>
      <c r="AU925" s="25"/>
      <c r="AV925" s="25"/>
      <c r="AW925" s="25"/>
      <c r="AX925" s="25"/>
      <c r="AY925" s="25"/>
      <c r="AZ925" s="25"/>
      <c r="BA925" s="25"/>
      <c r="BB925" s="25"/>
      <c r="BC925" s="25"/>
      <c r="BD925" s="25"/>
      <c r="BE925" s="25"/>
      <c r="BF925" s="25"/>
      <c r="BG925" s="25"/>
      <c r="BH925" s="25"/>
      <c r="BI925" s="25"/>
      <c r="BJ925" s="25"/>
      <c r="BK925" s="25"/>
      <c r="BL925" s="25"/>
      <c r="BM925" s="25"/>
      <c r="BN925" s="25"/>
      <c r="BO925" s="25"/>
      <c r="BP925" s="25"/>
      <c r="BQ925" s="25"/>
      <c r="BR925" s="25"/>
      <c r="BS925" s="25"/>
      <c r="BT925" s="25"/>
      <c r="BU925" s="25"/>
      <c r="BV925" s="25"/>
      <c r="BW925" s="25"/>
      <c r="BX925" s="25"/>
      <c r="BY925" s="25"/>
      <c r="BZ925" s="25"/>
      <c r="CA925" s="25"/>
      <c r="CB925" s="25"/>
    </row>
    <row r="926" spans="1:80" ht="12.75" hidden="1" customHeight="1">
      <c r="A926" s="10">
        <f ca="1">IFERROR(__xludf.DUMMYFUNCTION("""COMPUTED_VALUE"""),2013)</f>
        <v>2013</v>
      </c>
      <c r="B926" s="50">
        <f ca="1">IFERROR(__xludf.DUMMYFUNCTION("""COMPUTED_VALUE"""),41891)</f>
        <v>41891</v>
      </c>
      <c r="C926" s="41">
        <f ca="1">IFERROR(__xludf.DUMMYFUNCTION("""COMPUTED_VALUE"""),41877)</f>
        <v>41877</v>
      </c>
      <c r="D926" s="42" t="str">
        <f ca="1">IFERROR(__xludf.DUMMYFUNCTION("""COMPUTED_VALUE"""),"Honey-Buzzard")</f>
        <v>Honey-Buzzard</v>
      </c>
      <c r="E926" s="53">
        <f ca="1">IFERROR(__xludf.DUMMYFUNCTION("""COMPUTED_VALUE"""),1)</f>
        <v>1</v>
      </c>
      <c r="F926" s="15"/>
      <c r="G926" s="44" t="str">
        <f ca="1">IFERROR(__xludf.DUMMYFUNCTION("""COMPUTED_VALUE"""),"Great Warford")</f>
        <v>Great Warford</v>
      </c>
      <c r="H926" s="12">
        <f ca="1">IFERROR(__xludf.DUMMYFUNCTION("""COMPUTED_VALUE"""),41386)</f>
        <v>41386</v>
      </c>
      <c r="I926" s="12"/>
      <c r="J926" s="14" t="str">
        <f ca="1">IFERROR(__xludf.DUMMYFUNCTION("""COMPUTED_VALUE"""),"Miles, M")</f>
        <v>Miles, M</v>
      </c>
      <c r="K926" s="15"/>
      <c r="L926" s="17" t="str">
        <f ca="1">IFERROR(__xludf.DUMMYFUNCTION("""COMPUTED_VALUE"""),"closed")</f>
        <v>closed</v>
      </c>
      <c r="M926" s="17" t="str">
        <f ca="1">IFERROR(__xludf.DUMMYFUNCTION("""COMPUTED_VALUE"""),"1st U")</f>
        <v>1st U</v>
      </c>
      <c r="N926" s="15" t="str">
        <f ca="1">IFERROR(__xludf.DUMMYFUNCTION("""COMPUTED_VALUE"""),"accepted")</f>
        <v>accepted</v>
      </c>
      <c r="O926" s="18"/>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c r="BK926" s="15"/>
      <c r="BL926" s="15"/>
      <c r="BM926" s="15"/>
      <c r="BN926" s="15"/>
      <c r="BO926" s="15"/>
      <c r="BP926" s="15"/>
      <c r="BQ926" s="15"/>
      <c r="BR926" s="15"/>
      <c r="BS926" s="15"/>
      <c r="BT926" s="15"/>
      <c r="BU926" s="15"/>
      <c r="BV926" s="15"/>
      <c r="BW926" s="15"/>
      <c r="BX926" s="15"/>
      <c r="BY926" s="15"/>
      <c r="BZ926" s="15"/>
      <c r="CA926" s="15"/>
      <c r="CB926" s="15"/>
    </row>
    <row r="927" spans="1:80" ht="12.75" hidden="1" customHeight="1">
      <c r="A927" s="20">
        <f ca="1">IFERROR(__xludf.DUMMYFUNCTION("""COMPUTED_VALUE"""),2013)</f>
        <v>2013</v>
      </c>
      <c r="B927" s="45">
        <f ca="1">IFERROR(__xludf.DUMMYFUNCTION("""COMPUTED_VALUE"""),41891)</f>
        <v>41891</v>
      </c>
      <c r="C927" s="46">
        <f ca="1">IFERROR(__xludf.DUMMYFUNCTION("""COMPUTED_VALUE"""),41877)</f>
        <v>41877</v>
      </c>
      <c r="D927" s="47" t="str">
        <f ca="1">IFERROR(__xludf.DUMMYFUNCTION("""COMPUTED_VALUE"""),"Honey-Buzzard")</f>
        <v>Honey-Buzzard</v>
      </c>
      <c r="E927" s="52">
        <f ca="1">IFERROR(__xludf.DUMMYFUNCTION("""COMPUTED_VALUE"""),1)</f>
        <v>1</v>
      </c>
      <c r="F927" s="25"/>
      <c r="G927" s="48" t="str">
        <f ca="1">IFERROR(__xludf.DUMMYFUNCTION("""COMPUTED_VALUE"""),"Great Warford")</f>
        <v>Great Warford</v>
      </c>
      <c r="H927" s="22">
        <f ca="1">IFERROR(__xludf.DUMMYFUNCTION("""COMPUTED_VALUE"""),41386)</f>
        <v>41386</v>
      </c>
      <c r="I927" s="22"/>
      <c r="J927" s="24" t="str">
        <f ca="1">IFERROR(__xludf.DUMMYFUNCTION("""COMPUTED_VALUE"""),"Pulsford, AH")</f>
        <v>Pulsford, AH</v>
      </c>
      <c r="K927" s="25" t="str">
        <f ca="1">IFERROR(__xludf.DUMMYFUNCTION("""COMPUTED_VALUE"""),"MM")</f>
        <v>MM</v>
      </c>
      <c r="L927" s="27" t="str">
        <f ca="1">IFERROR(__xludf.DUMMYFUNCTION("""COMPUTED_VALUE"""),"closed")</f>
        <v>closed</v>
      </c>
      <c r="M927" s="27" t="str">
        <f ca="1">IFERROR(__xludf.DUMMYFUNCTION("""COMPUTED_VALUE"""),"1st U")</f>
        <v>1st U</v>
      </c>
      <c r="N927" s="25" t="str">
        <f ca="1">IFERROR(__xludf.DUMMYFUNCTION("""COMPUTED_VALUE"""),"accepted")</f>
        <v>accepted</v>
      </c>
      <c r="O927" s="28"/>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c r="AQ927" s="25"/>
      <c r="AR927" s="25"/>
      <c r="AS927" s="25"/>
      <c r="AT927" s="25"/>
      <c r="AU927" s="25"/>
      <c r="AV927" s="25"/>
      <c r="AW927" s="25"/>
      <c r="AX927" s="25"/>
      <c r="AY927" s="25"/>
      <c r="AZ927" s="25"/>
      <c r="BA927" s="25"/>
      <c r="BB927" s="25"/>
      <c r="BC927" s="25"/>
      <c r="BD927" s="25"/>
      <c r="BE927" s="25"/>
      <c r="BF927" s="25"/>
      <c r="BG927" s="25"/>
      <c r="BH927" s="25"/>
      <c r="BI927" s="25"/>
      <c r="BJ927" s="25"/>
      <c r="BK927" s="25"/>
      <c r="BL927" s="25"/>
      <c r="BM927" s="25"/>
      <c r="BN927" s="25"/>
      <c r="BO927" s="25"/>
      <c r="BP927" s="25"/>
      <c r="BQ927" s="25"/>
      <c r="BR927" s="25"/>
      <c r="BS927" s="25"/>
      <c r="BT927" s="25"/>
      <c r="BU927" s="25"/>
      <c r="BV927" s="25"/>
      <c r="BW927" s="25"/>
      <c r="BX927" s="25"/>
      <c r="BY927" s="25"/>
      <c r="BZ927" s="25"/>
      <c r="CA927" s="25"/>
      <c r="CB927" s="25"/>
    </row>
    <row r="928" spans="1:80" ht="12.75" hidden="1" customHeight="1">
      <c r="A928" s="10">
        <f ca="1">IFERROR(__xludf.DUMMYFUNCTION("""COMPUTED_VALUE"""),2013)</f>
        <v>2013</v>
      </c>
      <c r="B928" s="50">
        <f ca="1">IFERROR(__xludf.DUMMYFUNCTION("""COMPUTED_VALUE"""),41949)</f>
        <v>41949</v>
      </c>
      <c r="C928" s="41">
        <f ca="1">IFERROR(__xludf.DUMMYFUNCTION("""COMPUTED_VALUE"""),41815)</f>
        <v>41815</v>
      </c>
      <c r="D928" s="42" t="str">
        <f ca="1">IFERROR(__xludf.DUMMYFUNCTION("""COMPUTED_VALUE"""),"Goshawk")</f>
        <v>Goshawk</v>
      </c>
      <c r="E928" s="53">
        <f ca="1">IFERROR(__xludf.DUMMYFUNCTION("""COMPUTED_VALUE"""),2)</f>
        <v>2</v>
      </c>
      <c r="F928" s="15"/>
      <c r="G928" s="44" t="str">
        <f ca="1">IFERROR(__xludf.DUMMYFUNCTION("""COMPUTED_VALUE"""),"Moss Wood, Cholmondley")</f>
        <v>Moss Wood, Cholmondley</v>
      </c>
      <c r="H928" s="12">
        <f ca="1">IFERROR(__xludf.DUMMYFUNCTION("""COMPUTED_VALUE"""),41279)</f>
        <v>41279</v>
      </c>
      <c r="I928" s="12"/>
      <c r="J928" s="14"/>
      <c r="K928" s="15"/>
      <c r="L928" s="17" t="str">
        <f ca="1">IFERROR(__xludf.DUMMYFUNCTION("""COMPUTED_VALUE"""),"closed")</f>
        <v>closed</v>
      </c>
      <c r="M928" s="17" t="str">
        <f ca="1">IFERROR(__xludf.DUMMYFUNCTION("""COMPUTED_VALUE"""),"3rdM")</f>
        <v>3rdM</v>
      </c>
      <c r="N928" s="15" t="str">
        <f ca="1">IFERROR(__xludf.DUMMYFUNCTION("""COMPUTED_VALUE"""),"unproven")</f>
        <v>unproven</v>
      </c>
      <c r="O928" s="18"/>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c r="BK928" s="15"/>
      <c r="BL928" s="15"/>
      <c r="BM928" s="15"/>
      <c r="BN928" s="15"/>
      <c r="BO928" s="15"/>
      <c r="BP928" s="15"/>
      <c r="BQ928" s="15"/>
      <c r="BR928" s="15"/>
      <c r="BS928" s="15"/>
      <c r="BT928" s="15"/>
      <c r="BU928" s="15"/>
      <c r="BV928" s="15"/>
      <c r="BW928" s="15"/>
      <c r="BX928" s="15"/>
      <c r="BY928" s="15"/>
      <c r="BZ928" s="15"/>
      <c r="CA928" s="15"/>
      <c r="CB928" s="15"/>
    </row>
    <row r="929" spans="1:80" ht="12.75" hidden="1" customHeight="1">
      <c r="A929" s="20">
        <f ca="1">IFERROR(__xludf.DUMMYFUNCTION("""COMPUTED_VALUE"""),2013)</f>
        <v>2013</v>
      </c>
      <c r="B929" s="45">
        <f ca="1">IFERROR(__xludf.DUMMYFUNCTION("""COMPUTED_VALUE"""),41877)</f>
        <v>41877</v>
      </c>
      <c r="C929" s="46">
        <f ca="1">IFERROR(__xludf.DUMMYFUNCTION("""COMPUTED_VALUE"""),41877)</f>
        <v>41877</v>
      </c>
      <c r="D929" s="47" t="str">
        <f ca="1">IFERROR(__xludf.DUMMYFUNCTION("""COMPUTED_VALUE"""),"Goshawk")</f>
        <v>Goshawk</v>
      </c>
      <c r="E929" s="52">
        <f ca="1">IFERROR(__xludf.DUMMYFUNCTION("""COMPUTED_VALUE"""),1)</f>
        <v>1</v>
      </c>
      <c r="F929" s="25" t="str">
        <f ca="1">IFERROR(__xludf.DUMMYFUNCTION("""COMPUTED_VALUE"""),"ad m")</f>
        <v>ad m</v>
      </c>
      <c r="G929" s="48" t="str">
        <f ca="1">IFERROR(__xludf.DUMMYFUNCTION("""COMPUTED_VALUE"""),"Peckforton")</f>
        <v>Peckforton</v>
      </c>
      <c r="H929" s="22">
        <f ca="1">IFERROR(__xludf.DUMMYFUNCTION("""COMPUTED_VALUE"""),41345)</f>
        <v>41345</v>
      </c>
      <c r="I929" s="22"/>
      <c r="J929" s="24" t="str">
        <f ca="1">IFERROR(__xludf.DUMMYFUNCTION("""COMPUTED_VALUE"""),"Pulsford, AH")</f>
        <v>Pulsford, AH</v>
      </c>
      <c r="K929" s="25" t="str">
        <f ca="1">IFERROR(__xludf.DUMMYFUNCTION("""COMPUTED_VALUE"""),"same and M.Miles")</f>
        <v>same and M.Miles</v>
      </c>
      <c r="L929" s="27" t="str">
        <f ca="1">IFERROR(__xludf.DUMMYFUNCTION("""COMPUTED_VALUE"""),"closed")</f>
        <v>closed</v>
      </c>
      <c r="M929" s="27" t="str">
        <f ca="1">IFERROR(__xludf.DUMMYFUNCTION("""COMPUTED_VALUE"""),"1st U")</f>
        <v>1st U</v>
      </c>
      <c r="N929" s="25" t="str">
        <f ca="1">IFERROR(__xludf.DUMMYFUNCTION("""COMPUTED_VALUE"""),"accepted")</f>
        <v>accepted</v>
      </c>
      <c r="O929" s="28"/>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c r="AR929" s="25"/>
      <c r="AS929" s="25"/>
      <c r="AT929" s="25"/>
      <c r="AU929" s="25"/>
      <c r="AV929" s="25"/>
      <c r="AW929" s="25"/>
      <c r="AX929" s="25"/>
      <c r="AY929" s="25"/>
      <c r="AZ929" s="25"/>
      <c r="BA929" s="25"/>
      <c r="BB929" s="25"/>
      <c r="BC929" s="25"/>
      <c r="BD929" s="25"/>
      <c r="BE929" s="25"/>
      <c r="BF929" s="25"/>
      <c r="BG929" s="25"/>
      <c r="BH929" s="25"/>
      <c r="BI929" s="25"/>
      <c r="BJ929" s="25"/>
      <c r="BK929" s="25"/>
      <c r="BL929" s="25"/>
      <c r="BM929" s="25"/>
      <c r="BN929" s="25"/>
      <c r="BO929" s="25"/>
      <c r="BP929" s="25"/>
      <c r="BQ929" s="25"/>
      <c r="BR929" s="25"/>
      <c r="BS929" s="25"/>
      <c r="BT929" s="25"/>
      <c r="BU929" s="25"/>
      <c r="BV929" s="25"/>
      <c r="BW929" s="25"/>
      <c r="BX929" s="25"/>
      <c r="BY929" s="25"/>
      <c r="BZ929" s="25"/>
      <c r="CA929" s="25"/>
      <c r="CB929" s="25"/>
    </row>
    <row r="930" spans="1:80" ht="12.75" hidden="1" customHeight="1">
      <c r="A930" s="10">
        <f ca="1">IFERROR(__xludf.DUMMYFUNCTION("""COMPUTED_VALUE"""),2013)</f>
        <v>2013</v>
      </c>
      <c r="B930" s="50">
        <f ca="1">IFERROR(__xludf.DUMMYFUNCTION("""COMPUTED_VALUE"""),41949)</f>
        <v>41949</v>
      </c>
      <c r="C930" s="41">
        <f ca="1">IFERROR(__xludf.DUMMYFUNCTION("""COMPUTED_VALUE"""),41509)</f>
        <v>41509</v>
      </c>
      <c r="D930" s="42" t="str">
        <f ca="1">IFERROR(__xludf.DUMMYFUNCTION("""COMPUTED_VALUE"""),"Goshawk")</f>
        <v>Goshawk</v>
      </c>
      <c r="E930" s="53">
        <f ca="1">IFERROR(__xludf.DUMMYFUNCTION("""COMPUTED_VALUE"""),1)</f>
        <v>1</v>
      </c>
      <c r="F930" s="15" t="str">
        <f ca="1">IFERROR(__xludf.DUMMYFUNCTION("""COMPUTED_VALUE"""),"m")</f>
        <v>m</v>
      </c>
      <c r="G930" s="44" t="str">
        <f ca="1">IFERROR(__xludf.DUMMYFUNCTION("""COMPUTED_VALUE"""),"Trentabank resevoir")</f>
        <v>Trentabank resevoir</v>
      </c>
      <c r="H930" s="12">
        <f ca="1">IFERROR(__xludf.DUMMYFUNCTION("""COMPUTED_VALUE"""),41367)</f>
        <v>41367</v>
      </c>
      <c r="I930" s="12"/>
      <c r="J930" s="14" t="str">
        <f ca="1">IFERROR(__xludf.DUMMYFUNCTION("""COMPUTED_VALUE"""),"Walsh, J")</f>
        <v>Walsh, J</v>
      </c>
      <c r="K930" s="15" t="str">
        <f ca="1">IFERROR(__xludf.DUMMYFUNCTION("""COMPUTED_VALUE"""),"Walsh, J")</f>
        <v>Walsh, J</v>
      </c>
      <c r="L930" s="17" t="str">
        <f ca="1">IFERROR(__xludf.DUMMYFUNCTION("""COMPUTED_VALUE"""),"closed")</f>
        <v>closed</v>
      </c>
      <c r="M930" s="17" t="str">
        <f ca="1">IFERROR(__xludf.DUMMYFUNCTION("""COMPUTED_VALUE"""),"2ndM")</f>
        <v>2ndM</v>
      </c>
      <c r="N930" s="15" t="str">
        <f ca="1">IFERROR(__xludf.DUMMYFUNCTION("""COMPUTED_VALUE"""),"accepted")</f>
        <v>accepted</v>
      </c>
      <c r="O930" s="18"/>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c r="BK930" s="15"/>
      <c r="BL930" s="15"/>
      <c r="BM930" s="15"/>
      <c r="BN930" s="15"/>
      <c r="BO930" s="15"/>
      <c r="BP930" s="15"/>
      <c r="BQ930" s="15"/>
      <c r="BR930" s="15"/>
      <c r="BS930" s="15"/>
      <c r="BT930" s="15"/>
      <c r="BU930" s="15"/>
      <c r="BV930" s="15"/>
      <c r="BW930" s="15"/>
      <c r="BX930" s="15"/>
      <c r="BY930" s="15"/>
      <c r="BZ930" s="15"/>
      <c r="CA930" s="15"/>
      <c r="CB930" s="15"/>
    </row>
    <row r="931" spans="1:80" ht="12.75" hidden="1" customHeight="1">
      <c r="A931" s="20">
        <f ca="1">IFERROR(__xludf.DUMMYFUNCTION("""COMPUTED_VALUE"""),2013)</f>
        <v>2013</v>
      </c>
      <c r="B931" s="45">
        <f ca="1">IFERROR(__xludf.DUMMYFUNCTION("""COMPUTED_VALUE"""),41509)</f>
        <v>41509</v>
      </c>
      <c r="C931" s="46">
        <f ca="1">IFERROR(__xludf.DUMMYFUNCTION("""COMPUTED_VALUE"""),41815)</f>
        <v>41815</v>
      </c>
      <c r="D931" s="47" t="str">
        <f ca="1">IFERROR(__xludf.DUMMYFUNCTION("""COMPUTED_VALUE"""),"Goshawk")</f>
        <v>Goshawk</v>
      </c>
      <c r="E931" s="52">
        <f ca="1">IFERROR(__xludf.DUMMYFUNCTION("""COMPUTED_VALUE"""),1)</f>
        <v>1</v>
      </c>
      <c r="F931" s="25"/>
      <c r="G931" s="48" t="str">
        <f ca="1">IFERROR(__xludf.DUMMYFUNCTION("""COMPUTED_VALUE"""),"Darnhall")</f>
        <v>Darnhall</v>
      </c>
      <c r="H931" s="22">
        <f ca="1">IFERROR(__xludf.DUMMYFUNCTION("""COMPUTED_VALUE"""),41394)</f>
        <v>41394</v>
      </c>
      <c r="I931" s="22"/>
      <c r="J931" s="24"/>
      <c r="K931" s="25"/>
      <c r="L931" s="27" t="str">
        <f ca="1">IFERROR(__xludf.DUMMYFUNCTION("""COMPUTED_VALUE"""),"closed")</f>
        <v>closed</v>
      </c>
      <c r="M931" s="27" t="str">
        <f ca="1">IFERROR(__xludf.DUMMYFUNCTION("""COMPUTED_VALUE"""),"1st U")</f>
        <v>1st U</v>
      </c>
      <c r="N931" s="25" t="str">
        <f ca="1">IFERROR(__xludf.DUMMYFUNCTION("""COMPUTED_VALUE"""),"unproven")</f>
        <v>unproven</v>
      </c>
      <c r="O931" s="28"/>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c r="AQ931" s="25"/>
      <c r="AR931" s="25"/>
      <c r="AS931" s="25"/>
      <c r="AT931" s="25"/>
      <c r="AU931" s="25"/>
      <c r="AV931" s="25"/>
      <c r="AW931" s="25"/>
      <c r="AX931" s="25"/>
      <c r="AY931" s="25"/>
      <c r="AZ931" s="25"/>
      <c r="BA931" s="25"/>
      <c r="BB931" s="25"/>
      <c r="BC931" s="25"/>
      <c r="BD931" s="25"/>
      <c r="BE931" s="25"/>
      <c r="BF931" s="25"/>
      <c r="BG931" s="25"/>
      <c r="BH931" s="25"/>
      <c r="BI931" s="25"/>
      <c r="BJ931" s="25"/>
      <c r="BK931" s="25"/>
      <c r="BL931" s="25"/>
      <c r="BM931" s="25"/>
      <c r="BN931" s="25"/>
      <c r="BO931" s="25"/>
      <c r="BP931" s="25"/>
      <c r="BQ931" s="25"/>
      <c r="BR931" s="25"/>
      <c r="BS931" s="25"/>
      <c r="BT931" s="25"/>
      <c r="BU931" s="25"/>
      <c r="BV931" s="25"/>
      <c r="BW931" s="25"/>
      <c r="BX931" s="25"/>
      <c r="BY931" s="25"/>
      <c r="BZ931" s="25"/>
      <c r="CA931" s="25"/>
      <c r="CB931" s="25"/>
    </row>
    <row r="932" spans="1:80" ht="12.75" hidden="1" customHeight="1">
      <c r="A932" s="10">
        <f ca="1">IFERROR(__xludf.DUMMYFUNCTION("""COMPUTED_VALUE"""),2013)</f>
        <v>2013</v>
      </c>
      <c r="B932" s="50">
        <f ca="1">IFERROR(__xludf.DUMMYFUNCTION("""COMPUTED_VALUE"""),41949)</f>
        <v>41949</v>
      </c>
      <c r="C932" s="41">
        <f ca="1">IFERROR(__xludf.DUMMYFUNCTION("""COMPUTED_VALUE"""),41811)</f>
        <v>41811</v>
      </c>
      <c r="D932" s="42" t="str">
        <f ca="1">IFERROR(__xludf.DUMMYFUNCTION("""COMPUTED_VALUE"""),"Goshawk")</f>
        <v>Goshawk</v>
      </c>
      <c r="E932" s="53">
        <f ca="1">IFERROR(__xludf.DUMMYFUNCTION("""COMPUTED_VALUE"""),1)</f>
        <v>1</v>
      </c>
      <c r="F932" s="15"/>
      <c r="G932" s="44" t="str">
        <f ca="1">IFERROR(__xludf.DUMMYFUNCTION("""COMPUTED_VALUE"""),"Higher Poynton")</f>
        <v>Higher Poynton</v>
      </c>
      <c r="H932" s="12">
        <f ca="1">IFERROR(__xludf.DUMMYFUNCTION("""COMPUTED_VALUE"""),41591)</f>
        <v>41591</v>
      </c>
      <c r="I932" s="12"/>
      <c r="J932" s="14"/>
      <c r="K932" s="15"/>
      <c r="L932" s="17" t="str">
        <f ca="1">IFERROR(__xludf.DUMMYFUNCTION("""COMPUTED_VALUE"""),"closed")</f>
        <v>closed</v>
      </c>
      <c r="M932" s="17" t="str">
        <f ca="1">IFERROR(__xludf.DUMMYFUNCTION("""COMPUTED_VALUE"""),"3rdM")</f>
        <v>3rdM</v>
      </c>
      <c r="N932" s="15" t="str">
        <f ca="1">IFERROR(__xludf.DUMMYFUNCTION("""COMPUTED_VALUE"""),"unproven")</f>
        <v>unproven</v>
      </c>
      <c r="O932" s="18"/>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c r="BK932" s="15"/>
      <c r="BL932" s="15"/>
      <c r="BM932" s="15"/>
      <c r="BN932" s="15"/>
      <c r="BO932" s="15"/>
      <c r="BP932" s="15"/>
      <c r="BQ932" s="15"/>
      <c r="BR932" s="15"/>
      <c r="BS932" s="15"/>
      <c r="BT932" s="15"/>
      <c r="BU932" s="15"/>
      <c r="BV932" s="15"/>
      <c r="BW932" s="15"/>
      <c r="BX932" s="15"/>
      <c r="BY932" s="15"/>
      <c r="BZ932" s="15"/>
      <c r="CA932" s="15"/>
      <c r="CB932" s="15"/>
    </row>
    <row r="933" spans="1:80" ht="12.75" hidden="1" customHeight="1">
      <c r="A933" s="20">
        <f ca="1">IFERROR(__xludf.DUMMYFUNCTION("""COMPUTED_VALUE"""),2013)</f>
        <v>2013</v>
      </c>
      <c r="B933" s="45">
        <f ca="1">IFERROR(__xludf.DUMMYFUNCTION("""COMPUTED_VALUE"""),41949)</f>
        <v>41949</v>
      </c>
      <c r="C933" s="46">
        <f ca="1">IFERROR(__xludf.DUMMYFUNCTION("""COMPUTED_VALUE"""),41800)</f>
        <v>41800</v>
      </c>
      <c r="D933" s="47" t="str">
        <f ca="1">IFERROR(__xludf.DUMMYFUNCTION("""COMPUTED_VALUE"""),"Rough-legged Buzzard")</f>
        <v>Rough-legged Buzzard</v>
      </c>
      <c r="E933" s="52">
        <f ca="1">IFERROR(__xludf.DUMMYFUNCTION("""COMPUTED_VALUE"""),1)</f>
        <v>1</v>
      </c>
      <c r="F933" s="25"/>
      <c r="G933" s="48" t="str">
        <f ca="1">IFERROR(__xludf.DUMMYFUNCTION("""COMPUTED_VALUE"""),"Harp inn, Little neston")</f>
        <v>Harp inn, Little neston</v>
      </c>
      <c r="H933" s="22">
        <f ca="1">IFERROR(__xludf.DUMMYFUNCTION("""COMPUTED_VALUE"""),41357)</f>
        <v>41357</v>
      </c>
      <c r="I933" s="22"/>
      <c r="J933" s="24"/>
      <c r="K933" s="25"/>
      <c r="L933" s="27" t="str">
        <f ca="1">IFERROR(__xludf.DUMMYFUNCTION("""COMPUTED_VALUE"""),"closed")</f>
        <v>closed</v>
      </c>
      <c r="M933" s="27" t="str">
        <f ca="1">IFERROR(__xludf.DUMMYFUNCTION("""COMPUTED_VALUE"""),"3rdM")</f>
        <v>3rdM</v>
      </c>
      <c r="N933" s="25" t="str">
        <f ca="1">IFERROR(__xludf.DUMMYFUNCTION("""COMPUTED_VALUE"""),"unproven")</f>
        <v>unproven</v>
      </c>
      <c r="O933" s="28" t="str">
        <f ca="1">IFERROR(__xludf.DUMMYFUNCTION("""COMPUTED_VALUE"""),"Pale Buzzard not excluded")</f>
        <v>Pale Buzzard not excluded</v>
      </c>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c r="AQ933" s="25"/>
      <c r="AR933" s="25"/>
      <c r="AS933" s="25"/>
      <c r="AT933" s="25"/>
      <c r="AU933" s="25"/>
      <c r="AV933" s="25"/>
      <c r="AW933" s="25"/>
      <c r="AX933" s="25"/>
      <c r="AY933" s="25"/>
      <c r="AZ933" s="25"/>
      <c r="BA933" s="25"/>
      <c r="BB933" s="25"/>
      <c r="BC933" s="25"/>
      <c r="BD933" s="25"/>
      <c r="BE933" s="25"/>
      <c r="BF933" s="25"/>
      <c r="BG933" s="25"/>
      <c r="BH933" s="25"/>
      <c r="BI933" s="25"/>
      <c r="BJ933" s="25"/>
      <c r="BK933" s="25"/>
      <c r="BL933" s="25"/>
      <c r="BM933" s="25"/>
      <c r="BN933" s="25"/>
      <c r="BO933" s="25"/>
      <c r="BP933" s="25"/>
      <c r="BQ933" s="25"/>
      <c r="BR933" s="25"/>
      <c r="BS933" s="25"/>
      <c r="BT933" s="25"/>
      <c r="BU933" s="25"/>
      <c r="BV933" s="25"/>
      <c r="BW933" s="25"/>
      <c r="BX933" s="25"/>
      <c r="BY933" s="25"/>
      <c r="BZ933" s="25"/>
      <c r="CA933" s="25"/>
      <c r="CB933" s="25"/>
    </row>
    <row r="934" spans="1:80" ht="12.75" hidden="1" customHeight="1">
      <c r="A934" s="10">
        <f ca="1">IFERROR(__xludf.DUMMYFUNCTION("""COMPUTED_VALUE"""),2013)</f>
        <v>2013</v>
      </c>
      <c r="B934" s="50">
        <f ca="1">IFERROR(__xludf.DUMMYFUNCTION("""COMPUTED_VALUE"""),41811)</f>
        <v>41811</v>
      </c>
      <c r="C934" s="41">
        <f ca="1">IFERROR(__xludf.DUMMYFUNCTION("""COMPUTED_VALUE"""),41810)</f>
        <v>41810</v>
      </c>
      <c r="D934" s="42" t="str">
        <f ca="1">IFERROR(__xludf.DUMMYFUNCTION("""COMPUTED_VALUE"""),"Hoopoe")</f>
        <v>Hoopoe</v>
      </c>
      <c r="E934" s="53">
        <f ca="1">IFERROR(__xludf.DUMMYFUNCTION("""COMPUTED_VALUE"""),1)</f>
        <v>1</v>
      </c>
      <c r="F934" s="15"/>
      <c r="G934" s="44" t="str">
        <f ca="1">IFERROR(__xludf.DUMMYFUNCTION("""COMPUTED_VALUE"""),"Red Rocks, Hoylake")</f>
        <v>Red Rocks, Hoylake</v>
      </c>
      <c r="H934" s="12">
        <f ca="1">IFERROR(__xludf.DUMMYFUNCTION("""COMPUTED_VALUE"""),41385)</f>
        <v>41385</v>
      </c>
      <c r="I934" s="12"/>
      <c r="J934" s="14" t="str">
        <f ca="1">IFERROR(__xludf.DUMMYFUNCTION("""COMPUTED_VALUE"""),"Plaage, A")</f>
        <v>Plaage, A</v>
      </c>
      <c r="K934" s="15" t="str">
        <f ca="1">IFERROR(__xludf.DUMMYFUNCTION("""COMPUTED_VALUE"""),"Plaage, A")</f>
        <v>Plaage, A</v>
      </c>
      <c r="L934" s="17" t="str">
        <f ca="1">IFERROR(__xludf.DUMMYFUNCTION("""COMPUTED_VALUE"""),"closed")</f>
        <v>closed</v>
      </c>
      <c r="M934" s="17" t="str">
        <f ca="1">IFERROR(__xludf.DUMMYFUNCTION("""COMPUTED_VALUE"""),"1st U")</f>
        <v>1st U</v>
      </c>
      <c r="N934" s="15" t="str">
        <f ca="1">IFERROR(__xludf.DUMMYFUNCTION("""COMPUTED_VALUE"""),"accepted")</f>
        <v>accepted</v>
      </c>
      <c r="O934" s="18"/>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c r="BK934" s="15"/>
      <c r="BL934" s="15"/>
      <c r="BM934" s="15"/>
      <c r="BN934" s="15"/>
      <c r="BO934" s="15"/>
      <c r="BP934" s="15"/>
      <c r="BQ934" s="15"/>
      <c r="BR934" s="15"/>
      <c r="BS934" s="15"/>
      <c r="BT934" s="15"/>
      <c r="BU934" s="15"/>
      <c r="BV934" s="15"/>
      <c r="BW934" s="15"/>
      <c r="BX934" s="15"/>
      <c r="BY934" s="15"/>
      <c r="BZ934" s="15"/>
      <c r="CA934" s="15"/>
      <c r="CB934" s="15"/>
    </row>
    <row r="935" spans="1:80" ht="12.75" hidden="1" customHeight="1">
      <c r="A935" s="20">
        <f ca="1">IFERROR(__xludf.DUMMYFUNCTION("""COMPUTED_VALUE"""),2013)</f>
        <v>2013</v>
      </c>
      <c r="B935" s="45">
        <f ca="1">IFERROR(__xludf.DUMMYFUNCTION("""COMPUTED_VALUE"""),43949)</f>
        <v>43949</v>
      </c>
      <c r="C935" s="46">
        <f ca="1">IFERROR(__xludf.DUMMYFUNCTION("""COMPUTED_VALUE"""),43890)</f>
        <v>43890</v>
      </c>
      <c r="D935" s="47" t="str">
        <f ca="1">IFERROR(__xludf.DUMMYFUNCTION("""COMPUTED_VALUE"""),"Hoopoe")</f>
        <v>Hoopoe</v>
      </c>
      <c r="E935" s="52">
        <f ca="1">IFERROR(__xludf.DUMMYFUNCTION("""COMPUTED_VALUE"""),1)</f>
        <v>1</v>
      </c>
      <c r="F935" s="25"/>
      <c r="G935" s="48" t="str">
        <f ca="1">IFERROR(__xludf.DUMMYFUNCTION("""COMPUTED_VALUE"""),"Sandbach")</f>
        <v>Sandbach</v>
      </c>
      <c r="H935" s="22">
        <f ca="1">IFERROR(__xludf.DUMMYFUNCTION("""COMPUTED_VALUE"""),41400)</f>
        <v>41400</v>
      </c>
      <c r="I935" s="22"/>
      <c r="J935" s="24" t="str">
        <f ca="1">IFERROR(__xludf.DUMMYFUNCTION("""COMPUTED_VALUE"""),"Barber, I")</f>
        <v>Barber, I</v>
      </c>
      <c r="K935" s="25" t="str">
        <f ca="1">IFERROR(__xludf.DUMMYFUNCTION("""COMPUTED_VALUE"""),"same")</f>
        <v>same</v>
      </c>
      <c r="L935" s="27" t="str">
        <f ca="1">IFERROR(__xludf.DUMMYFUNCTION("""COMPUTED_VALUE"""),"closed")</f>
        <v>closed</v>
      </c>
      <c r="M935" s="27" t="str">
        <f ca="1">IFERROR(__xludf.DUMMYFUNCTION("""COMPUTED_VALUE"""),"1st U")</f>
        <v>1st U</v>
      </c>
      <c r="N935" s="25" t="str">
        <f ca="1">IFERROR(__xludf.DUMMYFUNCTION("""COMPUTED_VALUE"""),"accepted")</f>
        <v>accepted</v>
      </c>
      <c r="O935" s="28"/>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c r="AQ935" s="25"/>
      <c r="AR935" s="25"/>
      <c r="AS935" s="25"/>
      <c r="AT935" s="25"/>
      <c r="AU935" s="25"/>
      <c r="AV935" s="25"/>
      <c r="AW935" s="25"/>
      <c r="AX935" s="25"/>
      <c r="AY935" s="25"/>
      <c r="AZ935" s="25"/>
      <c r="BA935" s="25"/>
      <c r="BB935" s="25"/>
      <c r="BC935" s="25"/>
      <c r="BD935" s="25"/>
      <c r="BE935" s="25"/>
      <c r="BF935" s="25"/>
      <c r="BG935" s="25"/>
      <c r="BH935" s="25"/>
      <c r="BI935" s="25"/>
      <c r="BJ935" s="25"/>
      <c r="BK935" s="25"/>
      <c r="BL935" s="25"/>
      <c r="BM935" s="25"/>
      <c r="BN935" s="25"/>
      <c r="BO935" s="25"/>
      <c r="BP935" s="25"/>
      <c r="BQ935" s="25"/>
      <c r="BR935" s="25"/>
      <c r="BS935" s="25"/>
      <c r="BT935" s="25"/>
      <c r="BU935" s="25"/>
      <c r="BV935" s="25"/>
      <c r="BW935" s="25"/>
      <c r="BX935" s="25"/>
      <c r="BY935" s="25"/>
      <c r="BZ935" s="25"/>
      <c r="CA935" s="25"/>
      <c r="CB935" s="25"/>
    </row>
    <row r="936" spans="1:80" ht="12.75" hidden="1" customHeight="1">
      <c r="A936" s="10">
        <f ca="1">IFERROR(__xludf.DUMMYFUNCTION("""COMPUTED_VALUE"""),2013)</f>
        <v>2013</v>
      </c>
      <c r="B936" s="50">
        <f ca="1">IFERROR(__xludf.DUMMYFUNCTION("""COMPUTED_VALUE"""),41949)</f>
        <v>41949</v>
      </c>
      <c r="C936" s="41">
        <f ca="1">IFERROR(__xludf.DUMMYFUNCTION("""COMPUTED_VALUE"""),41879)</f>
        <v>41879</v>
      </c>
      <c r="D936" s="42" t="str">
        <f ca="1">IFERROR(__xludf.DUMMYFUNCTION("""COMPUTED_VALUE"""),"Hooded Crow backcross")</f>
        <v>Hooded Crow backcross</v>
      </c>
      <c r="E936" s="53">
        <f ca="1">IFERROR(__xludf.DUMMYFUNCTION("""COMPUTED_VALUE"""),1)</f>
        <v>1</v>
      </c>
      <c r="F936" s="15"/>
      <c r="G936" s="44" t="str">
        <f ca="1">IFERROR(__xludf.DUMMYFUNCTION("""COMPUTED_VALUE"""),"Frodsham")</f>
        <v>Frodsham</v>
      </c>
      <c r="H936" s="12">
        <f ca="1">IFERROR(__xludf.DUMMYFUNCTION("""COMPUTED_VALUE"""),41370)</f>
        <v>41370</v>
      </c>
      <c r="I936" s="12"/>
      <c r="J936" s="14" t="str">
        <f ca="1">IFERROR(__xludf.DUMMYFUNCTION("""COMPUTED_VALUE"""),"Frodsham marsh Bird Log")</f>
        <v>Frodsham marsh Bird Log</v>
      </c>
      <c r="K936" s="15" t="str">
        <f ca="1">IFERROR(__xludf.DUMMYFUNCTION("""COMPUTED_VALUE"""),"Frodsham marsh Bird Log")</f>
        <v>Frodsham marsh Bird Log</v>
      </c>
      <c r="L936" s="17" t="str">
        <f ca="1">IFERROR(__xludf.DUMMYFUNCTION("""COMPUTED_VALUE"""),"closed")</f>
        <v>closed</v>
      </c>
      <c r="M936" s="17" t="str">
        <f ca="1">IFERROR(__xludf.DUMMYFUNCTION("""COMPUTED_VALUE"""),"1st U")</f>
        <v>1st U</v>
      </c>
      <c r="N936" s="15" t="str">
        <f ca="1">IFERROR(__xludf.DUMMYFUNCTION("""COMPUTED_VALUE"""),"accepted")</f>
        <v>accepted</v>
      </c>
      <c r="O936" s="18" t="str">
        <f ca="1">IFERROR(__xludf.DUMMYFUNCTION("""COMPUTED_VALUE"""),"Accept as Hooded Crow showing some characteristics of hybrid with Carrion.")</f>
        <v>Accept as Hooded Crow showing some characteristics of hybrid with Carrion.</v>
      </c>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c r="BK936" s="15"/>
      <c r="BL936" s="15"/>
      <c r="BM936" s="15"/>
      <c r="BN936" s="15"/>
      <c r="BO936" s="15"/>
      <c r="BP936" s="15"/>
      <c r="BQ936" s="15"/>
      <c r="BR936" s="15"/>
      <c r="BS936" s="15"/>
      <c r="BT936" s="15"/>
      <c r="BU936" s="15"/>
      <c r="BV936" s="15"/>
      <c r="BW936" s="15"/>
      <c r="BX936" s="15"/>
      <c r="BY936" s="15"/>
      <c r="BZ936" s="15"/>
      <c r="CA936" s="15"/>
      <c r="CB936" s="15"/>
    </row>
    <row r="937" spans="1:80" ht="12.75" hidden="1" customHeight="1">
      <c r="A937" s="20">
        <f ca="1">IFERROR(__xludf.DUMMYFUNCTION("""COMPUTED_VALUE"""),2013)</f>
        <v>2013</v>
      </c>
      <c r="B937" s="45">
        <f ca="1">IFERROR(__xludf.DUMMYFUNCTION("""COMPUTED_VALUE"""),41949)</f>
        <v>41949</v>
      </c>
      <c r="C937" s="46">
        <f ca="1">IFERROR(__xludf.DUMMYFUNCTION("""COMPUTED_VALUE"""),41879)</f>
        <v>41879</v>
      </c>
      <c r="D937" s="47" t="str">
        <f ca="1">IFERROR(__xludf.DUMMYFUNCTION("""COMPUTED_VALUE"""),"Hooded Crow")</f>
        <v>Hooded Crow</v>
      </c>
      <c r="E937" s="52">
        <f ca="1">IFERROR(__xludf.DUMMYFUNCTION("""COMPUTED_VALUE"""),1)</f>
        <v>1</v>
      </c>
      <c r="F937" s="25"/>
      <c r="G937" s="48" t="str">
        <f ca="1">IFERROR(__xludf.DUMMYFUNCTION("""COMPUTED_VALUE"""),"Frodsham")</f>
        <v>Frodsham</v>
      </c>
      <c r="H937" s="22">
        <f ca="1">IFERROR(__xludf.DUMMYFUNCTION("""COMPUTED_VALUE"""),41370)</f>
        <v>41370</v>
      </c>
      <c r="I937" s="22"/>
      <c r="J937" s="24"/>
      <c r="K937" s="25"/>
      <c r="L937" s="27" t="str">
        <f ca="1">IFERROR(__xludf.DUMMYFUNCTION("""COMPUTED_VALUE"""),"closed")</f>
        <v>closed</v>
      </c>
      <c r="M937" s="27" t="str">
        <f ca="1">IFERROR(__xludf.DUMMYFUNCTION("""COMPUTED_VALUE"""),"3rdM")</f>
        <v>3rdM</v>
      </c>
      <c r="N937" s="25" t="str">
        <f ca="1">IFERROR(__xludf.DUMMYFUNCTION("""COMPUTED_VALUE"""),"unproven")</f>
        <v>unproven</v>
      </c>
      <c r="O937" s="28" t="str">
        <f ca="1">IFERROR(__xludf.DUMMYFUNCTION("""COMPUTED_VALUE"""),"Accept as Hooded Crow showing some characteristics of hybrid with Carrion.")</f>
        <v>Accept as Hooded Crow showing some characteristics of hybrid with Carrion.</v>
      </c>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c r="AQ937" s="25"/>
      <c r="AR937" s="25"/>
      <c r="AS937" s="25"/>
      <c r="AT937" s="25"/>
      <c r="AU937" s="25"/>
      <c r="AV937" s="25"/>
      <c r="AW937" s="25"/>
      <c r="AX937" s="25"/>
      <c r="AY937" s="25"/>
      <c r="AZ937" s="25"/>
      <c r="BA937" s="25"/>
      <c r="BB937" s="25"/>
      <c r="BC937" s="25"/>
      <c r="BD937" s="25"/>
      <c r="BE937" s="25"/>
      <c r="BF937" s="25"/>
      <c r="BG937" s="25"/>
      <c r="BH937" s="25"/>
      <c r="BI937" s="25"/>
      <c r="BJ937" s="25"/>
      <c r="BK937" s="25"/>
      <c r="BL937" s="25"/>
      <c r="BM937" s="25"/>
      <c r="BN937" s="25"/>
      <c r="BO937" s="25"/>
      <c r="BP937" s="25"/>
      <c r="BQ937" s="25"/>
      <c r="BR937" s="25"/>
      <c r="BS937" s="25"/>
      <c r="BT937" s="25"/>
      <c r="BU937" s="25"/>
      <c r="BV937" s="25"/>
      <c r="BW937" s="25"/>
      <c r="BX937" s="25"/>
      <c r="BY937" s="25"/>
      <c r="BZ937" s="25"/>
      <c r="CA937" s="25"/>
      <c r="CB937" s="25"/>
    </row>
    <row r="938" spans="1:80" ht="12.75" hidden="1" customHeight="1">
      <c r="A938" s="10">
        <f ca="1">IFERROR(__xludf.DUMMYFUNCTION("""COMPUTED_VALUE"""),2013)</f>
        <v>2013</v>
      </c>
      <c r="B938" s="50">
        <f ca="1">IFERROR(__xludf.DUMMYFUNCTION("""COMPUTED_VALUE"""),41878)</f>
        <v>41878</v>
      </c>
      <c r="C938" s="41">
        <f ca="1">IFERROR(__xludf.DUMMYFUNCTION("""COMPUTED_VALUE"""),41880)</f>
        <v>41880</v>
      </c>
      <c r="D938" s="42" t="str">
        <f ca="1">IFERROR(__xludf.DUMMYFUNCTION("""COMPUTED_VALUE"""),"Yellow-browed Warbler")</f>
        <v>Yellow-browed Warbler</v>
      </c>
      <c r="E938" s="53">
        <f ca="1">IFERROR(__xludf.DUMMYFUNCTION("""COMPUTED_VALUE"""),1)</f>
        <v>1</v>
      </c>
      <c r="F938" s="15"/>
      <c r="G938" s="44" t="str">
        <f ca="1">IFERROR(__xludf.DUMMYFUNCTION("""COMPUTED_VALUE"""),"Red Rocks, Hoylake")</f>
        <v>Red Rocks, Hoylake</v>
      </c>
      <c r="H938" s="12">
        <f ca="1">IFERROR(__xludf.DUMMYFUNCTION("""COMPUTED_VALUE"""),41546)</f>
        <v>41546</v>
      </c>
      <c r="I938" s="12"/>
      <c r="J938" s="14" t="str">
        <f ca="1">IFERROR(__xludf.DUMMYFUNCTION("""COMPUTED_VALUE"""),"Turner, JE")</f>
        <v>Turner, JE</v>
      </c>
      <c r="K938" s="15" t="str">
        <f ca="1">IFERROR(__xludf.DUMMYFUNCTION("""COMPUTED_VALUE"""),"Turner, JE")</f>
        <v>Turner, JE</v>
      </c>
      <c r="L938" s="17" t="str">
        <f ca="1">IFERROR(__xludf.DUMMYFUNCTION("""COMPUTED_VALUE"""),"closed")</f>
        <v>closed</v>
      </c>
      <c r="M938" s="17" t="str">
        <f ca="1">IFERROR(__xludf.DUMMYFUNCTION("""COMPUTED_VALUE"""),"1st U")</f>
        <v>1st U</v>
      </c>
      <c r="N938" s="15" t="str">
        <f ca="1">IFERROR(__xludf.DUMMYFUNCTION("""COMPUTED_VALUE"""),"accepted")</f>
        <v>accepted</v>
      </c>
      <c r="O938" s="18"/>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c r="BK938" s="15"/>
      <c r="BL938" s="15"/>
      <c r="BM938" s="15"/>
      <c r="BN938" s="15"/>
      <c r="BO938" s="15"/>
      <c r="BP938" s="15"/>
      <c r="BQ938" s="15"/>
      <c r="BR938" s="15"/>
      <c r="BS938" s="15"/>
      <c r="BT938" s="15"/>
      <c r="BU938" s="15"/>
      <c r="BV938" s="15"/>
      <c r="BW938" s="15"/>
      <c r="BX938" s="15"/>
      <c r="BY938" s="15"/>
      <c r="BZ938" s="15"/>
      <c r="CA938" s="15"/>
      <c r="CB938" s="15"/>
    </row>
    <row r="939" spans="1:80" ht="12.75" hidden="1" customHeight="1">
      <c r="A939" s="20">
        <f ca="1">IFERROR(__xludf.DUMMYFUNCTION("""COMPUTED_VALUE"""),2013)</f>
        <v>2013</v>
      </c>
      <c r="B939" s="45">
        <f ca="1">IFERROR(__xludf.DUMMYFUNCTION("""COMPUTED_VALUE"""),41878)</f>
        <v>41878</v>
      </c>
      <c r="C939" s="46">
        <f ca="1">IFERROR(__xludf.DUMMYFUNCTION("""COMPUTED_VALUE"""),41883)</f>
        <v>41883</v>
      </c>
      <c r="D939" s="47" t="str">
        <f ca="1">IFERROR(__xludf.DUMMYFUNCTION("""COMPUTED_VALUE"""),"Yellow-browed Warbler")</f>
        <v>Yellow-browed Warbler</v>
      </c>
      <c r="E939" s="52">
        <f ca="1">IFERROR(__xludf.DUMMYFUNCTION("""COMPUTED_VALUE"""),1)</f>
        <v>1</v>
      </c>
      <c r="F939" s="25"/>
      <c r="G939" s="48" t="str">
        <f ca="1">IFERROR(__xludf.DUMMYFUNCTION("""COMPUTED_VALUE"""),"Leasowe")</f>
        <v>Leasowe</v>
      </c>
      <c r="H939" s="22">
        <f ca="1">IFERROR(__xludf.DUMMYFUNCTION("""COMPUTED_VALUE"""),41548)</f>
        <v>41548</v>
      </c>
      <c r="I939" s="22">
        <f ca="1">IFERROR(__xludf.DUMMYFUNCTION("""COMPUTED_VALUE"""),41551)</f>
        <v>41551</v>
      </c>
      <c r="J939" s="24" t="str">
        <f ca="1">IFERROR(__xludf.DUMMYFUNCTION("""COMPUTED_VALUE"""),"Conlin, A")</f>
        <v>Conlin, A</v>
      </c>
      <c r="K939" s="25" t="str">
        <f ca="1">IFERROR(__xludf.DUMMYFUNCTION("""COMPUTED_VALUE"""),"Conlin, A")</f>
        <v>Conlin, A</v>
      </c>
      <c r="L939" s="27" t="str">
        <f ca="1">IFERROR(__xludf.DUMMYFUNCTION("""COMPUTED_VALUE"""),"closed")</f>
        <v>closed</v>
      </c>
      <c r="M939" s="27" t="str">
        <f ca="1">IFERROR(__xludf.DUMMYFUNCTION("""COMPUTED_VALUE"""),"1st U")</f>
        <v>1st U</v>
      </c>
      <c r="N939" s="25" t="str">
        <f ca="1">IFERROR(__xludf.DUMMYFUNCTION("""COMPUTED_VALUE"""),"accepted")</f>
        <v>accepted</v>
      </c>
      <c r="O939" s="28"/>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c r="AQ939" s="25"/>
      <c r="AR939" s="25"/>
      <c r="AS939" s="25"/>
      <c r="AT939" s="25"/>
      <c r="AU939" s="25"/>
      <c r="AV939" s="25"/>
      <c r="AW939" s="25"/>
      <c r="AX939" s="25"/>
      <c r="AY939" s="25"/>
      <c r="AZ939" s="25"/>
      <c r="BA939" s="25"/>
      <c r="BB939" s="25"/>
      <c r="BC939" s="25"/>
      <c r="BD939" s="25"/>
      <c r="BE939" s="25"/>
      <c r="BF939" s="25"/>
      <c r="BG939" s="25"/>
      <c r="BH939" s="25"/>
      <c r="BI939" s="25"/>
      <c r="BJ939" s="25"/>
      <c r="BK939" s="25"/>
      <c r="BL939" s="25"/>
      <c r="BM939" s="25"/>
      <c r="BN939" s="25"/>
      <c r="BO939" s="25"/>
      <c r="BP939" s="25"/>
      <c r="BQ939" s="25"/>
      <c r="BR939" s="25"/>
      <c r="BS939" s="25"/>
      <c r="BT939" s="25"/>
      <c r="BU939" s="25"/>
      <c r="BV939" s="25"/>
      <c r="BW939" s="25"/>
      <c r="BX939" s="25"/>
      <c r="BY939" s="25"/>
      <c r="BZ939" s="25"/>
      <c r="CA939" s="25"/>
      <c r="CB939" s="25"/>
    </row>
    <row r="940" spans="1:80" ht="12.75" hidden="1" customHeight="1">
      <c r="A940" s="10">
        <f ca="1">IFERROR(__xludf.DUMMYFUNCTION("""COMPUTED_VALUE"""),2013)</f>
        <v>2013</v>
      </c>
      <c r="B940" s="50">
        <f ca="1">IFERROR(__xludf.DUMMYFUNCTION("""COMPUTED_VALUE"""),41877)</f>
        <v>41877</v>
      </c>
      <c r="C940" s="41">
        <f ca="1">IFERROR(__xludf.DUMMYFUNCTION("""COMPUTED_VALUE"""),41880)</f>
        <v>41880</v>
      </c>
      <c r="D940" s="42" t="str">
        <f ca="1">IFERROR(__xludf.DUMMYFUNCTION("""COMPUTED_VALUE"""),"Yellow-browed Warbler")</f>
        <v>Yellow-browed Warbler</v>
      </c>
      <c r="E940" s="53" t="str">
        <f ca="1">IFERROR(__xludf.DUMMYFUNCTION("""COMPUTED_VALUE"""),"1-2")</f>
        <v>1-2</v>
      </c>
      <c r="F940" s="15"/>
      <c r="G940" s="44" t="str">
        <f ca="1">IFERROR(__xludf.DUMMYFUNCTION("""COMPUTED_VALUE"""),"Crewe")</f>
        <v>Crewe</v>
      </c>
      <c r="H940" s="12">
        <f ca="1">IFERROR(__xludf.DUMMYFUNCTION("""COMPUTED_VALUE"""),41551)</f>
        <v>41551</v>
      </c>
      <c r="I940" s="12">
        <f ca="1">IFERROR(__xludf.DUMMYFUNCTION("""COMPUTED_VALUE"""),41557)</f>
        <v>41557</v>
      </c>
      <c r="J940" s="14" t="str">
        <f ca="1">IFERROR(__xludf.DUMMYFUNCTION("""COMPUTED_VALUE"""),"Stubbs, Mark")</f>
        <v>Stubbs, Mark</v>
      </c>
      <c r="K940" s="15" t="str">
        <f ca="1">IFERROR(__xludf.DUMMYFUNCTION("""COMPUTED_VALUE"""),"Noel Stubbs")</f>
        <v>Noel Stubbs</v>
      </c>
      <c r="L940" s="17" t="str">
        <f ca="1">IFERROR(__xludf.DUMMYFUNCTION("""COMPUTED_VALUE"""),"closed")</f>
        <v>closed</v>
      </c>
      <c r="M940" s="17" t="str">
        <f ca="1">IFERROR(__xludf.DUMMYFUNCTION("""COMPUTED_VALUE"""),"1st U")</f>
        <v>1st U</v>
      </c>
      <c r="N940" s="15" t="str">
        <f ca="1">IFERROR(__xludf.DUMMYFUNCTION("""COMPUTED_VALUE"""),"accepted")</f>
        <v>accepted</v>
      </c>
      <c r="O940" s="18"/>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c r="BK940" s="15"/>
      <c r="BL940" s="15"/>
      <c r="BM940" s="15"/>
      <c r="BN940" s="15"/>
      <c r="BO940" s="15"/>
      <c r="BP940" s="15"/>
      <c r="BQ940" s="15"/>
      <c r="BR940" s="15"/>
      <c r="BS940" s="15"/>
      <c r="BT940" s="15"/>
      <c r="BU940" s="15"/>
      <c r="BV940" s="15"/>
      <c r="BW940" s="15"/>
      <c r="BX940" s="15"/>
      <c r="BY940" s="15"/>
      <c r="BZ940" s="15"/>
      <c r="CA940" s="15"/>
      <c r="CB940" s="15"/>
    </row>
    <row r="941" spans="1:80" ht="12.75" hidden="1" customHeight="1">
      <c r="A941" s="20">
        <f ca="1">IFERROR(__xludf.DUMMYFUNCTION("""COMPUTED_VALUE"""),2013)</f>
        <v>2013</v>
      </c>
      <c r="B941" s="45">
        <f ca="1">IFERROR(__xludf.DUMMYFUNCTION("""COMPUTED_VALUE"""),41948)</f>
        <v>41948</v>
      </c>
      <c r="C941" s="46">
        <f ca="1">IFERROR(__xludf.DUMMYFUNCTION("""COMPUTED_VALUE"""),41880)</f>
        <v>41880</v>
      </c>
      <c r="D941" s="47" t="str">
        <f ca="1">IFERROR(__xludf.DUMMYFUNCTION("""COMPUTED_VALUE"""),"Eastern Chiffchaff [tristis/abientinus race]")</f>
        <v>Eastern Chiffchaff [tristis/abientinus race]</v>
      </c>
      <c r="E941" s="52">
        <f ca="1">IFERROR(__xludf.DUMMYFUNCTION("""COMPUTED_VALUE"""),1)</f>
        <v>1</v>
      </c>
      <c r="F941" s="40"/>
      <c r="G941" s="48" t="str">
        <f ca="1">IFERROR(__xludf.DUMMYFUNCTION("""COMPUTED_VALUE"""),"Red Rocks, Hoylake")</f>
        <v>Red Rocks, Hoylake</v>
      </c>
      <c r="H941" s="22">
        <f ca="1">IFERROR(__xludf.DUMMYFUNCTION("""COMPUTED_VALUE"""),41543)</f>
        <v>41543</v>
      </c>
      <c r="I941" s="22"/>
      <c r="J941" s="24" t="str">
        <f ca="1">IFERROR(__xludf.DUMMYFUNCTION("""COMPUTED_VALUE"""),"Turner, JE")</f>
        <v>Turner, JE</v>
      </c>
      <c r="K941" s="25" t="str">
        <f ca="1">IFERROR(__xludf.DUMMYFUNCTION("""COMPUTED_VALUE"""),"Turner, JE")</f>
        <v>Turner, JE</v>
      </c>
      <c r="L941" s="27" t="str">
        <f ca="1">IFERROR(__xludf.DUMMYFUNCTION("""COMPUTED_VALUE"""),"closed")</f>
        <v>closed</v>
      </c>
      <c r="M941" s="27" t="str">
        <f ca="1">IFERROR(__xludf.DUMMYFUNCTION("""COMPUTED_VALUE"""),"1st U")</f>
        <v>1st U</v>
      </c>
      <c r="N941" s="25" t="str">
        <f ca="1">IFERROR(__xludf.DUMMYFUNCTION("""COMPUTED_VALUE"""),"accepted")</f>
        <v>accepted</v>
      </c>
      <c r="O941" s="28"/>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c r="AQ941" s="25"/>
      <c r="AR941" s="25"/>
      <c r="AS941" s="25"/>
      <c r="AT941" s="25"/>
      <c r="AU941" s="25"/>
      <c r="AV941" s="25"/>
      <c r="AW941" s="25"/>
      <c r="AX941" s="25"/>
      <c r="AY941" s="25"/>
      <c r="AZ941" s="25"/>
      <c r="BA941" s="25"/>
      <c r="BB941" s="25"/>
      <c r="BC941" s="25"/>
      <c r="BD941" s="25"/>
      <c r="BE941" s="25"/>
      <c r="BF941" s="25"/>
      <c r="BG941" s="25"/>
      <c r="BH941" s="25"/>
      <c r="BI941" s="25"/>
      <c r="BJ941" s="25"/>
      <c r="BK941" s="25"/>
      <c r="BL941" s="25"/>
      <c r="BM941" s="25"/>
      <c r="BN941" s="25"/>
      <c r="BO941" s="25"/>
      <c r="BP941" s="25"/>
      <c r="BQ941" s="25"/>
      <c r="BR941" s="25"/>
      <c r="BS941" s="25"/>
      <c r="BT941" s="25"/>
      <c r="BU941" s="25"/>
      <c r="BV941" s="25"/>
      <c r="BW941" s="25"/>
      <c r="BX941" s="25"/>
      <c r="BY941" s="25"/>
      <c r="BZ941" s="25"/>
      <c r="CA941" s="25"/>
      <c r="CB941" s="25"/>
    </row>
    <row r="942" spans="1:80" ht="12.75" hidden="1" customHeight="1">
      <c r="A942" s="10">
        <f ca="1">IFERROR(__xludf.DUMMYFUNCTION("""COMPUTED_VALUE"""),2013)</f>
        <v>2013</v>
      </c>
      <c r="B942" s="50">
        <f ca="1">IFERROR(__xludf.DUMMYFUNCTION("""COMPUTED_VALUE"""),41949)</f>
        <v>41949</v>
      </c>
      <c r="C942" s="41">
        <f ca="1">IFERROR(__xludf.DUMMYFUNCTION("""COMPUTED_VALUE"""),41877)</f>
        <v>41877</v>
      </c>
      <c r="D942" s="42" t="str">
        <f ca="1">IFERROR(__xludf.DUMMYFUNCTION("""COMPUTED_VALUE"""),"Eastern Chiffchaff [tristis/abientinus race]")</f>
        <v>Eastern Chiffchaff [tristis/abientinus race]</v>
      </c>
      <c r="E942" s="53">
        <f ca="1">IFERROR(__xludf.DUMMYFUNCTION("""COMPUTED_VALUE"""),1)</f>
        <v>1</v>
      </c>
      <c r="F942" s="58"/>
      <c r="G942" s="44" t="str">
        <f ca="1">IFERROR(__xludf.DUMMYFUNCTION("""COMPUTED_VALUE"""),"Moore Nature Reserve")</f>
        <v>Moore Nature Reserve</v>
      </c>
      <c r="H942" s="12">
        <f ca="1">IFERROR(__xludf.DUMMYFUNCTION("""COMPUTED_VALUE"""),41634)</f>
        <v>41634</v>
      </c>
      <c r="I942" s="12">
        <f ca="1">IFERROR(__xludf.DUMMYFUNCTION("""COMPUTED_VALUE"""),41636)</f>
        <v>41636</v>
      </c>
      <c r="J942" s="14" t="str">
        <f ca="1">IFERROR(__xludf.DUMMYFUNCTION("""COMPUTED_VALUE"""),"Hazlehurst, P")</f>
        <v>Hazlehurst, P</v>
      </c>
      <c r="K942" s="15" t="str">
        <f ca="1">IFERROR(__xludf.DUMMYFUNCTION("""COMPUTED_VALUE"""),"Hazlehurst, P")</f>
        <v>Hazlehurst, P</v>
      </c>
      <c r="L942" s="17" t="str">
        <f ca="1">IFERROR(__xludf.DUMMYFUNCTION("""COMPUTED_VALUE"""),"closed")</f>
        <v>closed</v>
      </c>
      <c r="M942" s="17" t="str">
        <f ca="1">IFERROR(__xludf.DUMMYFUNCTION("""COMPUTED_VALUE"""),"1st U")</f>
        <v>1st U</v>
      </c>
      <c r="N942" s="15" t="str">
        <f ca="1">IFERROR(__xludf.DUMMYFUNCTION("""COMPUTED_VALUE"""),"accepted")</f>
        <v>accepted</v>
      </c>
      <c r="O942" s="18" t="str">
        <f ca="1">IFERROR(__xludf.DUMMYFUNCTION("""COMPUTED_VALUE"""),"ACCEPT as Eastern Chiff not Tristis")</f>
        <v>ACCEPT as Eastern Chiff not Tristis</v>
      </c>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c r="BK942" s="15"/>
      <c r="BL942" s="15"/>
      <c r="BM942" s="15"/>
      <c r="BN942" s="15"/>
      <c r="BO942" s="15"/>
      <c r="BP942" s="15"/>
      <c r="BQ942" s="15"/>
      <c r="BR942" s="15"/>
      <c r="BS942" s="15"/>
      <c r="BT942" s="15"/>
      <c r="BU942" s="15"/>
      <c r="BV942" s="15"/>
      <c r="BW942" s="15"/>
      <c r="BX942" s="15"/>
      <c r="BY942" s="15"/>
      <c r="BZ942" s="15"/>
      <c r="CA942" s="15"/>
      <c r="CB942" s="15"/>
    </row>
    <row r="943" spans="1:80" ht="12.75" hidden="1" customHeight="1">
      <c r="A943" s="20">
        <f ca="1">IFERROR(__xludf.DUMMYFUNCTION("""COMPUTED_VALUE"""),2013)</f>
        <v>2013</v>
      </c>
      <c r="B943" s="45">
        <f ca="1">IFERROR(__xludf.DUMMYFUNCTION("""COMPUTED_VALUE"""),41886)</f>
        <v>41886</v>
      </c>
      <c r="C943" s="46">
        <f ca="1">IFERROR(__xludf.DUMMYFUNCTION("""COMPUTED_VALUE"""),41877)</f>
        <v>41877</v>
      </c>
      <c r="D943" s="47" t="str">
        <f ca="1">IFERROR(__xludf.DUMMYFUNCTION("""COMPUTED_VALUE"""),"Siberian Chiffchaff [tristis race]")</f>
        <v>Siberian Chiffchaff [tristis race]</v>
      </c>
      <c r="E943" s="52">
        <f ca="1">IFERROR(__xludf.DUMMYFUNCTION("""COMPUTED_VALUE"""),1)</f>
        <v>1</v>
      </c>
      <c r="F943" s="40"/>
      <c r="G943" s="48" t="str">
        <f ca="1">IFERROR(__xludf.DUMMYFUNCTION("""COMPUTED_VALUE"""),"Denhall Lane")</f>
        <v>Denhall Lane</v>
      </c>
      <c r="H943" s="22">
        <f ca="1">IFERROR(__xludf.DUMMYFUNCTION("""COMPUTED_VALUE"""),41621)</f>
        <v>41621</v>
      </c>
      <c r="I943" s="22">
        <f ca="1">IFERROR(__xludf.DUMMYFUNCTION("""COMPUTED_VALUE"""),41639)</f>
        <v>41639</v>
      </c>
      <c r="J943" s="24" t="str">
        <f ca="1">IFERROR(__xludf.DUMMYFUNCTION("""COMPUTED_VALUE"""),"Williams, E")</f>
        <v>Williams, E</v>
      </c>
      <c r="K943" s="25" t="str">
        <f ca="1">IFERROR(__xludf.DUMMYFUNCTION("""COMPUTED_VALUE"""),"same &amp; KD")</f>
        <v>same &amp; KD</v>
      </c>
      <c r="L943" s="27" t="str">
        <f ca="1">IFERROR(__xludf.DUMMYFUNCTION("""COMPUTED_VALUE"""),"closed")</f>
        <v>closed</v>
      </c>
      <c r="M943" s="27" t="str">
        <f ca="1">IFERROR(__xludf.DUMMYFUNCTION("""COMPUTED_VALUE"""),"1st U")</f>
        <v>1st U</v>
      </c>
      <c r="N943" s="25" t="str">
        <f ca="1">IFERROR(__xludf.DUMMYFUNCTION("""COMPUTED_VALUE"""),"accepted")</f>
        <v>accepted</v>
      </c>
      <c r="O943" s="28"/>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c r="AQ943" s="25"/>
      <c r="AR943" s="25"/>
      <c r="AS943" s="25"/>
      <c r="AT943" s="25"/>
      <c r="AU943" s="25"/>
      <c r="AV943" s="25"/>
      <c r="AW943" s="25"/>
      <c r="AX943" s="25"/>
      <c r="AY943" s="25"/>
      <c r="AZ943" s="25"/>
      <c r="BA943" s="25"/>
      <c r="BB943" s="25"/>
      <c r="BC943" s="25"/>
      <c r="BD943" s="25"/>
      <c r="BE943" s="25"/>
      <c r="BF943" s="25"/>
      <c r="BG943" s="25"/>
      <c r="BH943" s="25"/>
      <c r="BI943" s="25"/>
      <c r="BJ943" s="25"/>
      <c r="BK943" s="25"/>
      <c r="BL943" s="25"/>
      <c r="BM943" s="25"/>
      <c r="BN943" s="25"/>
      <c r="BO943" s="25"/>
      <c r="BP943" s="25"/>
      <c r="BQ943" s="25"/>
      <c r="BR943" s="25"/>
      <c r="BS943" s="25"/>
      <c r="BT943" s="25"/>
      <c r="BU943" s="25"/>
      <c r="BV943" s="25"/>
      <c r="BW943" s="25"/>
      <c r="BX943" s="25"/>
      <c r="BY943" s="25"/>
      <c r="BZ943" s="25"/>
      <c r="CA943" s="25"/>
      <c r="CB943" s="25"/>
    </row>
    <row r="944" spans="1:80" ht="12.75" hidden="1" customHeight="1">
      <c r="A944" s="10">
        <f ca="1">IFERROR(__xludf.DUMMYFUNCTION("""COMPUTED_VALUE"""),2013)</f>
        <v>2013</v>
      </c>
      <c r="B944" s="50">
        <f ca="1">IFERROR(__xludf.DUMMYFUNCTION("""COMPUTED_VALUE"""),41949)</f>
        <v>41949</v>
      </c>
      <c r="C944" s="41">
        <f ca="1">IFERROR(__xludf.DUMMYFUNCTION("""COMPUTED_VALUE"""),41884)</f>
        <v>41884</v>
      </c>
      <c r="D944" s="42" t="str">
        <f ca="1">IFERROR(__xludf.DUMMYFUNCTION("""COMPUTED_VALUE"""),"Red-breasted Flycatcher")</f>
        <v>Red-breasted Flycatcher</v>
      </c>
      <c r="E944" s="53">
        <f ca="1">IFERROR(__xludf.DUMMYFUNCTION("""COMPUTED_VALUE"""),1)</f>
        <v>1</v>
      </c>
      <c r="F944" s="15" t="str">
        <f ca="1">IFERROR(__xludf.DUMMYFUNCTION("""COMPUTED_VALUE"""),"m")</f>
        <v>m</v>
      </c>
      <c r="G944" s="44" t="str">
        <f ca="1">IFERROR(__xludf.DUMMYFUNCTION("""COMPUTED_VALUE"""),"Woolston Eyes")</f>
        <v>Woolston Eyes</v>
      </c>
      <c r="H944" s="12">
        <f ca="1">IFERROR(__xludf.DUMMYFUNCTION("""COMPUTED_VALUE"""),41580)</f>
        <v>41580</v>
      </c>
      <c r="I944" s="12"/>
      <c r="J944" s="14" t="str">
        <f ca="1">IFERROR(__xludf.DUMMYFUNCTION("""COMPUTED_VALUE"""),"Haddock, S")</f>
        <v>Haddock, S</v>
      </c>
      <c r="K944" s="15" t="str">
        <f ca="1">IFERROR(__xludf.DUMMYFUNCTION("""COMPUTED_VALUE"""),"Haddock, S")</f>
        <v>Haddock, S</v>
      </c>
      <c r="L944" s="17" t="str">
        <f ca="1">IFERROR(__xludf.DUMMYFUNCTION("""COMPUTED_VALUE"""),"closed")</f>
        <v>closed</v>
      </c>
      <c r="M944" s="17" t="str">
        <f ca="1">IFERROR(__xludf.DUMMYFUNCTION("""COMPUTED_VALUE"""),"1st U")</f>
        <v>1st U</v>
      </c>
      <c r="N944" s="15" t="str">
        <f ca="1">IFERROR(__xludf.DUMMYFUNCTION("""COMPUTED_VALUE"""),"accepted")</f>
        <v>accepted</v>
      </c>
      <c r="O944" s="18"/>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c r="BK944" s="15"/>
      <c r="BL944" s="15"/>
      <c r="BM944" s="15"/>
      <c r="BN944" s="15"/>
      <c r="BO944" s="15"/>
      <c r="BP944" s="15"/>
      <c r="BQ944" s="15"/>
      <c r="BR944" s="15"/>
      <c r="BS944" s="15"/>
      <c r="BT944" s="15"/>
      <c r="BU944" s="15"/>
      <c r="BV944" s="15"/>
      <c r="BW944" s="15"/>
      <c r="BX944" s="15"/>
      <c r="BY944" s="15"/>
      <c r="BZ944" s="15"/>
      <c r="CA944" s="15"/>
      <c r="CB944" s="15"/>
    </row>
    <row r="945" spans="1:80" ht="12.75" hidden="1" customHeight="1">
      <c r="A945" s="20">
        <f ca="1">IFERROR(__xludf.DUMMYFUNCTION("""COMPUTED_VALUE"""),2013)</f>
        <v>2013</v>
      </c>
      <c r="B945" s="45">
        <f ca="1">IFERROR(__xludf.DUMMYFUNCTION("""COMPUTED_VALUE"""),41509)</f>
        <v>41509</v>
      </c>
      <c r="C945" s="46">
        <f ca="1">IFERROR(__xludf.DUMMYFUNCTION("""COMPUTED_VALUE"""),41737)</f>
        <v>41737</v>
      </c>
      <c r="D945" s="47" t="str">
        <f ca="1">IFERROR(__xludf.DUMMYFUNCTION("""COMPUTED_VALUE"""),"Black Redstart")</f>
        <v>Black Redstart</v>
      </c>
      <c r="E945" s="52">
        <f ca="1">IFERROR(__xludf.DUMMYFUNCTION("""COMPUTED_VALUE"""),1)</f>
        <v>1</v>
      </c>
      <c r="F945" s="25" t="str">
        <f ca="1">IFERROR(__xludf.DUMMYFUNCTION("""COMPUTED_VALUE"""),"fem")</f>
        <v>fem</v>
      </c>
      <c r="G945" s="48" t="str">
        <f ca="1">IFERROR(__xludf.DUMMYFUNCTION("""COMPUTED_VALUE"""),"Neston marsh")</f>
        <v>Neston marsh</v>
      </c>
      <c r="H945" s="22">
        <f ca="1">IFERROR(__xludf.DUMMYFUNCTION("""COMPUTED_VALUE"""),41361)</f>
        <v>41361</v>
      </c>
      <c r="I945" s="23"/>
      <c r="J945" s="24" t="str">
        <f ca="1">IFERROR(__xludf.DUMMYFUNCTION("""COMPUTED_VALUE"""),"Buckley, M")</f>
        <v>Buckley, M</v>
      </c>
      <c r="K945" s="25" t="str">
        <f ca="1">IFERROR(__xludf.DUMMYFUNCTION("""COMPUTED_VALUE"""),"Austin Morely")</f>
        <v>Austin Morely</v>
      </c>
      <c r="L945" s="27" t="str">
        <f ca="1">IFERROR(__xludf.DUMMYFUNCTION("""COMPUTED_VALUE"""),"closed")</f>
        <v>closed</v>
      </c>
      <c r="M945" s="27" t="str">
        <f ca="1">IFERROR(__xludf.DUMMYFUNCTION("""COMPUTED_VALUE"""),"1st U")</f>
        <v>1st U</v>
      </c>
      <c r="N945" s="25" t="str">
        <f ca="1">IFERROR(__xludf.DUMMYFUNCTION("""COMPUTED_VALUE"""),"accepted")</f>
        <v>accepted</v>
      </c>
      <c r="O945" s="28"/>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c r="AQ945" s="25"/>
      <c r="AR945" s="25"/>
      <c r="AS945" s="25"/>
      <c r="AT945" s="25"/>
      <c r="AU945" s="25"/>
      <c r="AV945" s="25"/>
      <c r="AW945" s="25"/>
      <c r="AX945" s="25"/>
      <c r="AY945" s="25"/>
      <c r="AZ945" s="25"/>
      <c r="BA945" s="25"/>
      <c r="BB945" s="25"/>
      <c r="BC945" s="25"/>
      <c r="BD945" s="25"/>
      <c r="BE945" s="25"/>
      <c r="BF945" s="25"/>
      <c r="BG945" s="25"/>
      <c r="BH945" s="25"/>
      <c r="BI945" s="25"/>
      <c r="BJ945" s="25"/>
      <c r="BK945" s="25"/>
      <c r="BL945" s="25"/>
      <c r="BM945" s="25"/>
      <c r="BN945" s="25"/>
      <c r="BO945" s="25"/>
      <c r="BP945" s="25"/>
      <c r="BQ945" s="25"/>
      <c r="BR945" s="25"/>
      <c r="BS945" s="25"/>
      <c r="BT945" s="25"/>
      <c r="BU945" s="25"/>
      <c r="BV945" s="25"/>
      <c r="BW945" s="25"/>
      <c r="BX945" s="25"/>
      <c r="BY945" s="25"/>
      <c r="BZ945" s="25"/>
      <c r="CA945" s="25"/>
      <c r="CB945" s="25"/>
    </row>
    <row r="946" spans="1:80" ht="15.75" hidden="1" customHeight="1">
      <c r="A946" s="10">
        <f ca="1">IFERROR(__xludf.DUMMYFUNCTION("""COMPUTED_VALUE"""),2013)</f>
        <v>2013</v>
      </c>
      <c r="B946" s="50">
        <f ca="1">IFERROR(__xludf.DUMMYFUNCTION("""COMPUTED_VALUE"""),41509)</f>
        <v>41509</v>
      </c>
      <c r="C946" s="41">
        <f ca="1">IFERROR(__xludf.DUMMYFUNCTION("""COMPUTED_VALUE"""),41737)</f>
        <v>41737</v>
      </c>
      <c r="D946" s="42" t="str">
        <f ca="1">IFERROR(__xludf.DUMMYFUNCTION("""COMPUTED_VALUE"""),"Black Redstart")</f>
        <v>Black Redstart</v>
      </c>
      <c r="E946" s="53">
        <f ca="1">IFERROR(__xludf.DUMMYFUNCTION("""COMPUTED_VALUE"""),1)</f>
        <v>1</v>
      </c>
      <c r="F946" s="15" t="str">
        <f ca="1">IFERROR(__xludf.DUMMYFUNCTION("""COMPUTED_VALUE"""),"fem")</f>
        <v>fem</v>
      </c>
      <c r="G946" s="44" t="str">
        <f ca="1">IFERROR(__xludf.DUMMYFUNCTION("""COMPUTED_VALUE"""),"Neston marsh")</f>
        <v>Neston marsh</v>
      </c>
      <c r="H946" s="12">
        <f ca="1">IFERROR(__xludf.DUMMYFUNCTION("""COMPUTED_VALUE"""),41361)</f>
        <v>41361</v>
      </c>
      <c r="I946" s="12"/>
      <c r="J946" s="14" t="str">
        <f ca="1">IFERROR(__xludf.DUMMYFUNCTION("""COMPUTED_VALUE"""),"Hickey, S")</f>
        <v>Hickey, S</v>
      </c>
      <c r="K946" s="15" t="str">
        <f ca="1">IFERROR(__xludf.DUMMYFUNCTION("""COMPUTED_VALUE"""),"Austin Morely")</f>
        <v>Austin Morely</v>
      </c>
      <c r="L946" s="17" t="str">
        <f ca="1">IFERROR(__xludf.DUMMYFUNCTION("""COMPUTED_VALUE"""),"closed")</f>
        <v>closed</v>
      </c>
      <c r="M946" s="17" t="str">
        <f ca="1">IFERROR(__xludf.DUMMYFUNCTION("""COMPUTED_VALUE"""),"1st U")</f>
        <v>1st U</v>
      </c>
      <c r="N946" s="58" t="str">
        <f ca="1">IFERROR(__xludf.DUMMYFUNCTION("""COMPUTED_VALUE"""),"accepted")</f>
        <v>accepted</v>
      </c>
      <c r="O946" s="18"/>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c r="BK946" s="15"/>
      <c r="BL946" s="15"/>
      <c r="BM946" s="15"/>
      <c r="BN946" s="15"/>
      <c r="BO946" s="15"/>
      <c r="BP946" s="15"/>
      <c r="BQ946" s="15"/>
      <c r="BR946" s="15"/>
      <c r="BS946" s="15"/>
      <c r="BT946" s="15"/>
      <c r="BU946" s="15"/>
      <c r="BV946" s="15"/>
      <c r="BW946" s="15"/>
      <c r="BX946" s="15"/>
      <c r="BY946" s="15"/>
      <c r="BZ946" s="15"/>
      <c r="CA946" s="15"/>
      <c r="CB946" s="15"/>
    </row>
    <row r="947" spans="1:80" ht="12.75" hidden="1" customHeight="1">
      <c r="A947" s="20">
        <f ca="1">IFERROR(__xludf.DUMMYFUNCTION("""COMPUTED_VALUE"""),2013)</f>
        <v>2013</v>
      </c>
      <c r="B947" s="45">
        <f ca="1">IFERROR(__xludf.DUMMYFUNCTION("""COMPUTED_VALUE"""),41916)</f>
        <v>41916</v>
      </c>
      <c r="C947" s="46">
        <f ca="1">IFERROR(__xludf.DUMMYFUNCTION("""COMPUTED_VALUE"""),41904)</f>
        <v>41904</v>
      </c>
      <c r="D947" s="47" t="str">
        <f ca="1">IFERROR(__xludf.DUMMYFUNCTION("""COMPUTED_VALUE"""),"Yellow Wagtail [Blue-headed]")</f>
        <v>Yellow Wagtail [Blue-headed]</v>
      </c>
      <c r="E947" s="52">
        <f ca="1">IFERROR(__xludf.DUMMYFUNCTION("""COMPUTED_VALUE"""),1)</f>
        <v>1</v>
      </c>
      <c r="F947" s="25" t="str">
        <f ca="1">IFERROR(__xludf.DUMMYFUNCTION("""COMPUTED_VALUE"""),"Male")</f>
        <v>Male</v>
      </c>
      <c r="G947" s="48" t="str">
        <f ca="1">IFERROR(__xludf.DUMMYFUNCTION("""COMPUTED_VALUE"""),"Budworth Mere, Marbury Country Park")</f>
        <v>Budworth Mere, Marbury Country Park</v>
      </c>
      <c r="H947" s="22">
        <f ca="1">IFERROR(__xludf.DUMMYFUNCTION("""COMPUTED_VALUE"""),41389)</f>
        <v>41389</v>
      </c>
      <c r="I947" s="22"/>
      <c r="J947" s="24" t="str">
        <f ca="1">IFERROR(__xludf.DUMMYFUNCTION("""COMPUTED_VALUE"""),"G Baker")</f>
        <v>G Baker</v>
      </c>
      <c r="K947" s="25" t="str">
        <f ca="1">IFERROR(__xludf.DUMMYFUNCTION("""COMPUTED_VALUE"""),"Fern, F")</f>
        <v>Fern, F</v>
      </c>
      <c r="L947" s="27" t="str">
        <f ca="1">IFERROR(__xludf.DUMMYFUNCTION("""COMPUTED_VALUE"""),"closed")</f>
        <v>closed</v>
      </c>
      <c r="M947" s="27" t="str">
        <f ca="1">IFERROR(__xludf.DUMMYFUNCTION("""COMPUTED_VALUE"""),"1st U")</f>
        <v>1st U</v>
      </c>
      <c r="N947" s="25" t="str">
        <f ca="1">IFERROR(__xludf.DUMMYFUNCTION("""COMPUTED_VALUE"""),"accepted")</f>
        <v>accepted</v>
      </c>
      <c r="O947" s="28"/>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c r="AQ947" s="25"/>
      <c r="AR947" s="25"/>
      <c r="AS947" s="25"/>
      <c r="AT947" s="25"/>
      <c r="AU947" s="25"/>
      <c r="AV947" s="25"/>
      <c r="AW947" s="25"/>
      <c r="AX947" s="25"/>
      <c r="AY947" s="25"/>
      <c r="AZ947" s="25"/>
      <c r="BA947" s="25"/>
      <c r="BB947" s="25"/>
      <c r="BC947" s="25"/>
      <c r="BD947" s="25"/>
      <c r="BE947" s="25"/>
      <c r="BF947" s="25"/>
      <c r="BG947" s="25"/>
      <c r="BH947" s="25"/>
      <c r="BI947" s="25"/>
      <c r="BJ947" s="25"/>
      <c r="BK947" s="25"/>
      <c r="BL947" s="25"/>
      <c r="BM947" s="25"/>
      <c r="BN947" s="25"/>
      <c r="BO947" s="25"/>
      <c r="BP947" s="25"/>
      <c r="BQ947" s="25"/>
      <c r="BR947" s="25"/>
      <c r="BS947" s="25"/>
      <c r="BT947" s="25"/>
      <c r="BU947" s="25"/>
      <c r="BV947" s="25"/>
      <c r="BW947" s="25"/>
      <c r="BX947" s="25"/>
      <c r="BY947" s="25"/>
      <c r="BZ947" s="25"/>
      <c r="CA947" s="25"/>
      <c r="CB947" s="25"/>
    </row>
    <row r="948" spans="1:80" ht="12.75" hidden="1" customHeight="1">
      <c r="A948" s="10">
        <f ca="1">IFERROR(__xludf.DUMMYFUNCTION("""COMPUTED_VALUE"""),2013)</f>
        <v>2013</v>
      </c>
      <c r="B948" s="50">
        <f ca="1">IFERROR(__xludf.DUMMYFUNCTION("""COMPUTED_VALUE"""),41916)</f>
        <v>41916</v>
      </c>
      <c r="C948" s="41">
        <f ca="1">IFERROR(__xludf.DUMMYFUNCTION("""COMPUTED_VALUE"""),41904)</f>
        <v>41904</v>
      </c>
      <c r="D948" s="42" t="str">
        <f ca="1">IFERROR(__xludf.DUMMYFUNCTION("""COMPUTED_VALUE"""),"Yellow Wagtail [Blue-headed]")</f>
        <v>Yellow Wagtail [Blue-headed]</v>
      </c>
      <c r="E948" s="53">
        <f ca="1">IFERROR(__xludf.DUMMYFUNCTION("""COMPUTED_VALUE"""),1)</f>
        <v>1</v>
      </c>
      <c r="F948" s="15"/>
      <c r="G948" s="44" t="str">
        <f ca="1">IFERROR(__xludf.DUMMYFUNCTION("""COMPUTED_VALUE"""),"Winwick")</f>
        <v>Winwick</v>
      </c>
      <c r="H948" s="12">
        <f ca="1">IFERROR(__xludf.DUMMYFUNCTION("""COMPUTED_VALUE"""),41425)</f>
        <v>41425</v>
      </c>
      <c r="I948" s="12"/>
      <c r="J948" s="14" t="str">
        <f ca="1">IFERROR(__xludf.DUMMYFUNCTION("""COMPUTED_VALUE"""),"Tymon, J")</f>
        <v>Tymon, J</v>
      </c>
      <c r="K948" s="15" t="str">
        <f ca="1">IFERROR(__xludf.DUMMYFUNCTION("""COMPUTED_VALUE"""),"Tymon, J")</f>
        <v>Tymon, J</v>
      </c>
      <c r="L948" s="17" t="str">
        <f ca="1">IFERROR(__xludf.DUMMYFUNCTION("""COMPUTED_VALUE"""),"closed")</f>
        <v>closed</v>
      </c>
      <c r="M948" s="17" t="str">
        <f ca="1">IFERROR(__xludf.DUMMYFUNCTION("""COMPUTED_VALUE"""),"1st U")</f>
        <v>1st U</v>
      </c>
      <c r="N948" s="15" t="str">
        <f ca="1">IFERROR(__xludf.DUMMYFUNCTION("""COMPUTED_VALUE"""),"accepted")</f>
        <v>accepted</v>
      </c>
      <c r="O948" s="18"/>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c r="BK948" s="15"/>
      <c r="BL948" s="15"/>
      <c r="BM948" s="15"/>
      <c r="BN948" s="15"/>
      <c r="BO948" s="15"/>
      <c r="BP948" s="15"/>
      <c r="BQ948" s="15"/>
      <c r="BR948" s="15"/>
      <c r="BS948" s="15"/>
      <c r="BT948" s="15"/>
      <c r="BU948" s="15"/>
      <c r="BV948" s="15"/>
      <c r="BW948" s="15"/>
      <c r="BX948" s="15"/>
      <c r="BY948" s="15"/>
      <c r="BZ948" s="15"/>
      <c r="CA948" s="15"/>
      <c r="CB948" s="15"/>
    </row>
    <row r="949" spans="1:80" ht="12.75" hidden="1" customHeight="1">
      <c r="A949" s="20">
        <f ca="1">IFERROR(__xludf.DUMMYFUNCTION("""COMPUTED_VALUE"""),2013)</f>
        <v>2013</v>
      </c>
      <c r="B949" s="45">
        <f ca="1">IFERROR(__xludf.DUMMYFUNCTION("""COMPUTED_VALUE"""),41949)</f>
        <v>41949</v>
      </c>
      <c r="C949" s="46">
        <f ca="1">IFERROR(__xludf.DUMMYFUNCTION("""COMPUTED_VALUE"""),41881)</f>
        <v>41881</v>
      </c>
      <c r="D949" s="47" t="str">
        <f ca="1">IFERROR(__xludf.DUMMYFUNCTION("""COMPUTED_VALUE"""),"Richard's Pipit")</f>
        <v>Richard's Pipit</v>
      </c>
      <c r="E949" s="52">
        <f ca="1">IFERROR(__xludf.DUMMYFUNCTION("""COMPUTED_VALUE"""),2)</f>
        <v>2</v>
      </c>
      <c r="F949" s="25"/>
      <c r="G949" s="48" t="str">
        <f ca="1">IFERROR(__xludf.DUMMYFUNCTION("""COMPUTED_VALUE"""),"Woolston Eyes")</f>
        <v>Woolston Eyes</v>
      </c>
      <c r="H949" s="22">
        <f ca="1">IFERROR(__xludf.DUMMYFUNCTION("""COMPUTED_VALUE"""),41562)</f>
        <v>41562</v>
      </c>
      <c r="I949" s="22"/>
      <c r="J949" s="24" t="str">
        <f ca="1">IFERROR(__xludf.DUMMYFUNCTION("""COMPUTED_VALUE"""),"Riley, D")</f>
        <v>Riley, D</v>
      </c>
      <c r="K949" s="25" t="str">
        <f ca="1">IFERROR(__xludf.DUMMYFUNCTION("""COMPUTED_VALUE"""),"Riley, D")</f>
        <v>Riley, D</v>
      </c>
      <c r="L949" s="27" t="str">
        <f ca="1">IFERROR(__xludf.DUMMYFUNCTION("""COMPUTED_VALUE"""),"closed")</f>
        <v>closed</v>
      </c>
      <c r="M949" s="27" t="str">
        <f ca="1">IFERROR(__xludf.DUMMYFUNCTION("""COMPUTED_VALUE"""),"1st U")</f>
        <v>1st U</v>
      </c>
      <c r="N949" s="25" t="str">
        <f ca="1">IFERROR(__xludf.DUMMYFUNCTION("""COMPUTED_VALUE"""),"accepted")</f>
        <v>accepted</v>
      </c>
      <c r="O949" s="28"/>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c r="AQ949" s="25"/>
      <c r="AR949" s="25"/>
      <c r="AS949" s="25"/>
      <c r="AT949" s="25"/>
      <c r="AU949" s="25"/>
      <c r="AV949" s="25"/>
      <c r="AW949" s="25"/>
      <c r="AX949" s="25"/>
      <c r="AY949" s="25"/>
      <c r="AZ949" s="25"/>
      <c r="BA949" s="25"/>
      <c r="BB949" s="25"/>
      <c r="BC949" s="25"/>
      <c r="BD949" s="25"/>
      <c r="BE949" s="25"/>
      <c r="BF949" s="25"/>
      <c r="BG949" s="25"/>
      <c r="BH949" s="25"/>
      <c r="BI949" s="25"/>
      <c r="BJ949" s="25"/>
      <c r="BK949" s="25"/>
      <c r="BL949" s="25"/>
      <c r="BM949" s="25"/>
      <c r="BN949" s="25"/>
      <c r="BO949" s="25"/>
      <c r="BP949" s="25"/>
      <c r="BQ949" s="25"/>
      <c r="BR949" s="25"/>
      <c r="BS949" s="25"/>
      <c r="BT949" s="25"/>
      <c r="BU949" s="25"/>
      <c r="BV949" s="25"/>
      <c r="BW949" s="25"/>
      <c r="BX949" s="25"/>
      <c r="BY949" s="25"/>
      <c r="BZ949" s="25"/>
      <c r="CA949" s="25"/>
      <c r="CB949" s="25"/>
    </row>
    <row r="950" spans="1:80" ht="12.75" hidden="1" customHeight="1">
      <c r="A950" s="10">
        <f ca="1">IFERROR(__xludf.DUMMYFUNCTION("""COMPUTED_VALUE"""),2013)</f>
        <v>2013</v>
      </c>
      <c r="B950" s="50">
        <f ca="1">IFERROR(__xludf.DUMMYFUNCTION("""COMPUTED_VALUE"""),44568)</f>
        <v>44568</v>
      </c>
      <c r="C950" s="41"/>
      <c r="D950" s="42" t="str">
        <f ca="1">IFERROR(__xludf.DUMMYFUNCTION("""COMPUTED_VALUE"""),"Buff-bellied Pipit")</f>
        <v>Buff-bellied Pipit</v>
      </c>
      <c r="E950" s="53"/>
      <c r="F950" s="15"/>
      <c r="G950" s="44" t="str">
        <f ca="1">IFERROR(__xludf.DUMMYFUNCTION("""COMPUTED_VALUE"""),"Denhall Lane, Burton")</f>
        <v>Denhall Lane, Burton</v>
      </c>
      <c r="H950" s="12">
        <f ca="1">IFERROR(__xludf.DUMMYFUNCTION("""COMPUTED_VALUE"""),41629)</f>
        <v>41629</v>
      </c>
      <c r="I950" s="12">
        <f ca="1">IFERROR(__xludf.DUMMYFUNCTION("""COMPUTED_VALUE"""),41684)</f>
        <v>41684</v>
      </c>
      <c r="J950" s="14"/>
      <c r="K950" s="15"/>
      <c r="L950" s="17" t="str">
        <f ca="1">IFERROR(__xludf.DUMMYFUNCTION("""COMPUTED_VALUE"""),"closed")</f>
        <v>closed</v>
      </c>
      <c r="M950" s="17"/>
      <c r="N950" s="15" t="str">
        <f ca="1">IFERROR(__xludf.DUMMYFUNCTION("""COMPUTED_VALUE"""),"BBRC-OK")</f>
        <v>BBRC-OK</v>
      </c>
      <c r="O950" s="18"/>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c r="BK950" s="15"/>
      <c r="BL950" s="15"/>
      <c r="BM950" s="15"/>
      <c r="BN950" s="15"/>
      <c r="BO950" s="15"/>
      <c r="BP950" s="15"/>
      <c r="BQ950" s="15"/>
      <c r="BR950" s="15"/>
      <c r="BS950" s="15"/>
      <c r="BT950" s="15"/>
      <c r="BU950" s="15"/>
      <c r="BV950" s="15"/>
      <c r="BW950" s="15"/>
      <c r="BX950" s="15"/>
      <c r="BY950" s="15"/>
      <c r="BZ950" s="15"/>
      <c r="CA950" s="15"/>
      <c r="CB950" s="15"/>
    </row>
    <row r="951" spans="1:80" ht="12.75" hidden="1" customHeight="1">
      <c r="A951" s="20">
        <f ca="1">IFERROR(__xludf.DUMMYFUNCTION("""COMPUTED_VALUE"""),2013)</f>
        <v>2013</v>
      </c>
      <c r="B951" s="45">
        <f ca="1">IFERROR(__xludf.DUMMYFUNCTION("""COMPUTED_VALUE"""),41891)</f>
        <v>41891</v>
      </c>
      <c r="C951" s="46"/>
      <c r="D951" s="47" t="str">
        <f ca="1">IFERROR(__xludf.DUMMYFUNCTION("""COMPUTED_VALUE"""),"Rock Pipit [Scandinavian]")</f>
        <v>Rock Pipit [Scandinavian]</v>
      </c>
      <c r="E951" s="52">
        <f ca="1">IFERROR(__xludf.DUMMYFUNCTION("""COMPUTED_VALUE"""),1)</f>
        <v>1</v>
      </c>
      <c r="F951" s="25"/>
      <c r="G951" s="48" t="str">
        <f ca="1">IFERROR(__xludf.DUMMYFUNCTION("""COMPUTED_VALUE"""),"Neumann's Flash")</f>
        <v>Neumann's Flash</v>
      </c>
      <c r="H951" s="22">
        <f ca="1">IFERROR(__xludf.DUMMYFUNCTION("""COMPUTED_VALUE"""),41357)</f>
        <v>41357</v>
      </c>
      <c r="I951" s="22"/>
      <c r="J951" s="24" t="str">
        <f ca="1">IFERROR(__xludf.DUMMYFUNCTION("""COMPUTED_VALUE"""),"Gregory, J")</f>
        <v>Gregory, J</v>
      </c>
      <c r="K951" s="25" t="str">
        <f ca="1">IFERROR(__xludf.DUMMYFUNCTION("""COMPUTED_VALUE"""),"Antrobus, P")</f>
        <v>Antrobus, P</v>
      </c>
      <c r="L951" s="27" t="str">
        <f ca="1">IFERROR(__xludf.DUMMYFUNCTION("""COMPUTED_VALUE"""),"closed")</f>
        <v>closed</v>
      </c>
      <c r="M951" s="27" t="str">
        <f ca="1">IFERROR(__xludf.DUMMYFUNCTION("""COMPUTED_VALUE"""),"1st U")</f>
        <v>1st U</v>
      </c>
      <c r="N951" s="25" t="str">
        <f ca="1">IFERROR(__xludf.DUMMYFUNCTION("""COMPUTED_VALUE"""),"accepted")</f>
        <v>accepted</v>
      </c>
      <c r="O951" s="28"/>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c r="AQ951" s="25"/>
      <c r="AR951" s="25"/>
      <c r="AS951" s="25"/>
      <c r="AT951" s="25"/>
      <c r="AU951" s="25"/>
      <c r="AV951" s="25"/>
      <c r="AW951" s="25"/>
      <c r="AX951" s="25"/>
      <c r="AY951" s="25"/>
      <c r="AZ951" s="25"/>
      <c r="BA951" s="25"/>
      <c r="BB951" s="25"/>
      <c r="BC951" s="25"/>
      <c r="BD951" s="25"/>
      <c r="BE951" s="25"/>
      <c r="BF951" s="25"/>
      <c r="BG951" s="25"/>
      <c r="BH951" s="25"/>
      <c r="BI951" s="25"/>
      <c r="BJ951" s="25"/>
      <c r="BK951" s="25"/>
      <c r="BL951" s="25"/>
      <c r="BM951" s="25"/>
      <c r="BN951" s="25"/>
      <c r="BO951" s="25"/>
      <c r="BP951" s="25"/>
      <c r="BQ951" s="25"/>
      <c r="BR951" s="25"/>
      <c r="BS951" s="25"/>
      <c r="BT951" s="25"/>
      <c r="BU951" s="25"/>
      <c r="BV951" s="25"/>
      <c r="BW951" s="25"/>
      <c r="BX951" s="25"/>
      <c r="BY951" s="25"/>
      <c r="BZ951" s="25"/>
      <c r="CA951" s="25"/>
      <c r="CB951" s="25"/>
    </row>
    <row r="952" spans="1:80" ht="12.75" hidden="1" customHeight="1">
      <c r="A952" s="10">
        <f ca="1">IFERROR(__xludf.DUMMYFUNCTION("""COMPUTED_VALUE"""),2013)</f>
        <v>2013</v>
      </c>
      <c r="B952" s="50">
        <f ca="1">IFERROR(__xludf.DUMMYFUNCTION("""COMPUTED_VALUE"""),41891)</f>
        <v>41891</v>
      </c>
      <c r="C952" s="41">
        <f ca="1">IFERROR(__xludf.DUMMYFUNCTION("""COMPUTED_VALUE"""),41973)</f>
        <v>41973</v>
      </c>
      <c r="D952" s="42" t="str">
        <f ca="1">IFERROR(__xludf.DUMMYFUNCTION("""COMPUTED_VALUE"""),"Rock Pipit [Scandinavian]")</f>
        <v>Rock Pipit [Scandinavian]</v>
      </c>
      <c r="E952" s="53">
        <f ca="1">IFERROR(__xludf.DUMMYFUNCTION("""COMPUTED_VALUE"""),1)</f>
        <v>1</v>
      </c>
      <c r="F952" s="15"/>
      <c r="G952" s="44" t="str">
        <f ca="1">IFERROR(__xludf.DUMMYFUNCTION("""COMPUTED_VALUE"""),"Budworth Mere, Marbury Country Park")</f>
        <v>Budworth Mere, Marbury Country Park</v>
      </c>
      <c r="H952" s="12">
        <f ca="1">IFERROR(__xludf.DUMMYFUNCTION("""COMPUTED_VALUE"""),41358)</f>
        <v>41358</v>
      </c>
      <c r="I952" s="12"/>
      <c r="J952" s="14" t="str">
        <f ca="1">IFERROR(__xludf.DUMMYFUNCTION("""COMPUTED_VALUE"""),"G Baker")</f>
        <v>G Baker</v>
      </c>
      <c r="K952" s="15" t="str">
        <f ca="1">IFERROR(__xludf.DUMMYFUNCTION("""COMPUTED_VALUE"""),"Antrobus, P")</f>
        <v>Antrobus, P</v>
      </c>
      <c r="L952" s="17" t="str">
        <f ca="1">IFERROR(__xludf.DUMMYFUNCTION("""COMPUTED_VALUE"""),"closed")</f>
        <v>closed</v>
      </c>
      <c r="M952" s="17" t="str">
        <f ca="1">IFERROR(__xludf.DUMMYFUNCTION("""COMPUTED_VALUE"""),"1st U")</f>
        <v>1st U</v>
      </c>
      <c r="N952" s="15" t="str">
        <f ca="1">IFERROR(__xludf.DUMMYFUNCTION("""COMPUTED_VALUE"""),"accepted")</f>
        <v>accepted</v>
      </c>
      <c r="O952" s="18"/>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c r="BK952" s="15"/>
      <c r="BL952" s="15"/>
      <c r="BM952" s="15"/>
      <c r="BN952" s="15"/>
      <c r="BO952" s="15"/>
      <c r="BP952" s="15"/>
      <c r="BQ952" s="15"/>
      <c r="BR952" s="15"/>
      <c r="BS952" s="15"/>
      <c r="BT952" s="15"/>
      <c r="BU952" s="15"/>
      <c r="BV952" s="15"/>
      <c r="BW952" s="15"/>
      <c r="BX952" s="15"/>
      <c r="BY952" s="15"/>
      <c r="BZ952" s="15"/>
      <c r="CA952" s="15"/>
      <c r="CB952" s="15"/>
    </row>
    <row r="953" spans="1:80" ht="12.75" hidden="1" customHeight="1">
      <c r="A953" s="20">
        <f ca="1">IFERROR(__xludf.DUMMYFUNCTION("""COMPUTED_VALUE"""),2013)</f>
        <v>2013</v>
      </c>
      <c r="B953" s="45">
        <f ca="1">IFERROR(__xludf.DUMMYFUNCTION("""COMPUTED_VALUE"""),41891)</f>
        <v>41891</v>
      </c>
      <c r="C953" s="46">
        <f ca="1">IFERROR(__xludf.DUMMYFUNCTION("""COMPUTED_VALUE"""),41973)</f>
        <v>41973</v>
      </c>
      <c r="D953" s="47" t="str">
        <f ca="1">IFERROR(__xludf.DUMMYFUNCTION("""COMPUTED_VALUE"""),"Rock Pipit [Scandinavian]")</f>
        <v>Rock Pipit [Scandinavian]</v>
      </c>
      <c r="E953" s="52">
        <f ca="1">IFERROR(__xludf.DUMMYFUNCTION("""COMPUTED_VALUE"""),1)</f>
        <v>1</v>
      </c>
      <c r="F953" s="25"/>
      <c r="G953" s="48" t="str">
        <f ca="1">IFERROR(__xludf.DUMMYFUNCTION("""COMPUTED_VALUE"""),"Red Rocks, Hoylake")</f>
        <v>Red Rocks, Hoylake</v>
      </c>
      <c r="H953" s="22">
        <f ca="1">IFERROR(__xludf.DUMMYFUNCTION("""COMPUTED_VALUE"""),41358)</f>
        <v>41358</v>
      </c>
      <c r="I953" s="22">
        <f ca="1">IFERROR(__xludf.DUMMYFUNCTION("""COMPUTED_VALUE"""),41364)</f>
        <v>41364</v>
      </c>
      <c r="J953" s="24" t="str">
        <f ca="1">IFERROR(__xludf.DUMMYFUNCTION("""COMPUTED_VALUE"""),"Turner, JE")</f>
        <v>Turner, JE</v>
      </c>
      <c r="K953" s="25" t="str">
        <f ca="1">IFERROR(__xludf.DUMMYFUNCTION("""COMPUTED_VALUE"""),"Turner, JE")</f>
        <v>Turner, JE</v>
      </c>
      <c r="L953" s="27" t="str">
        <f ca="1">IFERROR(__xludf.DUMMYFUNCTION("""COMPUTED_VALUE"""),"closed")</f>
        <v>closed</v>
      </c>
      <c r="M953" s="27" t="str">
        <f ca="1">IFERROR(__xludf.DUMMYFUNCTION("""COMPUTED_VALUE"""),"1st U")</f>
        <v>1st U</v>
      </c>
      <c r="N953" s="25" t="str">
        <f ca="1">IFERROR(__xludf.DUMMYFUNCTION("""COMPUTED_VALUE"""),"accepted")</f>
        <v>accepted</v>
      </c>
      <c r="O953" s="28"/>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c r="AQ953" s="25"/>
      <c r="AR953" s="25"/>
      <c r="AS953" s="25"/>
      <c r="AT953" s="25"/>
      <c r="AU953" s="25"/>
      <c r="AV953" s="25"/>
      <c r="AW953" s="25"/>
      <c r="AX953" s="25"/>
      <c r="AY953" s="25"/>
      <c r="AZ953" s="25"/>
      <c r="BA953" s="25"/>
      <c r="BB953" s="25"/>
      <c r="BC953" s="25"/>
      <c r="BD953" s="25"/>
      <c r="BE953" s="25"/>
      <c r="BF953" s="25"/>
      <c r="BG953" s="25"/>
      <c r="BH953" s="25"/>
      <c r="BI953" s="25"/>
      <c r="BJ953" s="25"/>
      <c r="BK953" s="25"/>
      <c r="BL953" s="25"/>
      <c r="BM953" s="25"/>
      <c r="BN953" s="25"/>
      <c r="BO953" s="25"/>
      <c r="BP953" s="25"/>
      <c r="BQ953" s="25"/>
      <c r="BR953" s="25"/>
      <c r="BS953" s="25"/>
      <c r="BT953" s="25"/>
      <c r="BU953" s="25"/>
      <c r="BV953" s="25"/>
      <c r="BW953" s="25"/>
      <c r="BX953" s="25"/>
      <c r="BY953" s="25"/>
      <c r="BZ953" s="25"/>
      <c r="CA953" s="25"/>
      <c r="CB953" s="25"/>
    </row>
    <row r="954" spans="1:80" ht="12.75" hidden="1" customHeight="1">
      <c r="A954" s="10">
        <f ca="1">IFERROR(__xludf.DUMMYFUNCTION("""COMPUTED_VALUE"""),2013)</f>
        <v>2013</v>
      </c>
      <c r="B954" s="50">
        <f ca="1">IFERROR(__xludf.DUMMYFUNCTION("""COMPUTED_VALUE"""),41877)</f>
        <v>41877</v>
      </c>
      <c r="C954" s="41">
        <f ca="1">IFERROR(__xludf.DUMMYFUNCTION("""COMPUTED_VALUE"""),41877)</f>
        <v>41877</v>
      </c>
      <c r="D954" s="42" t="str">
        <f ca="1">IFERROR(__xludf.DUMMYFUNCTION("""COMPUTED_VALUE"""),"Rock Pipit [Scandinavian]")</f>
        <v>Rock Pipit [Scandinavian]</v>
      </c>
      <c r="E954" s="53">
        <f ca="1">IFERROR(__xludf.DUMMYFUNCTION("""COMPUTED_VALUE"""),1)</f>
        <v>1</v>
      </c>
      <c r="F954" s="15"/>
      <c r="G954" s="44" t="str">
        <f ca="1">IFERROR(__xludf.DUMMYFUNCTION("""COMPUTED_VALUE"""),"Chelford, Lapwing Lane Pool")</f>
        <v>Chelford, Lapwing Lane Pool</v>
      </c>
      <c r="H954" s="12">
        <f ca="1">IFERROR(__xludf.DUMMYFUNCTION("""COMPUTED_VALUE"""),41373)</f>
        <v>41373</v>
      </c>
      <c r="I954" s="12">
        <f ca="1">IFERROR(__xludf.DUMMYFUNCTION("""COMPUTED_VALUE"""),41375)</f>
        <v>41375</v>
      </c>
      <c r="J954" s="14" t="str">
        <f ca="1">IFERROR(__xludf.DUMMYFUNCTION("""COMPUTED_VALUE"""),"Spottiswood, J")</f>
        <v>Spottiswood, J</v>
      </c>
      <c r="K954" s="15" t="str">
        <f ca="1">IFERROR(__xludf.DUMMYFUNCTION("""COMPUTED_VALUE"""),"Barber ")</f>
        <v xml:space="preserve">Barber </v>
      </c>
      <c r="L954" s="17" t="str">
        <f ca="1">IFERROR(__xludf.DUMMYFUNCTION("""COMPUTED_VALUE"""),"closed")</f>
        <v>closed</v>
      </c>
      <c r="M954" s="17" t="str">
        <f ca="1">IFERROR(__xludf.DUMMYFUNCTION("""COMPUTED_VALUE"""),"1st U")</f>
        <v>1st U</v>
      </c>
      <c r="N954" s="15" t="str">
        <f ca="1">IFERROR(__xludf.DUMMYFUNCTION("""COMPUTED_VALUE"""),"accepted")</f>
        <v>accepted</v>
      </c>
      <c r="O954" s="18"/>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c r="BK954" s="15"/>
      <c r="BL954" s="15"/>
      <c r="BM954" s="15"/>
      <c r="BN954" s="15"/>
      <c r="BO954" s="15"/>
      <c r="BP954" s="15"/>
      <c r="BQ954" s="15"/>
      <c r="BR954" s="15"/>
      <c r="BS954" s="15"/>
      <c r="BT954" s="15"/>
      <c r="BU954" s="15"/>
      <c r="BV954" s="15"/>
      <c r="BW954" s="15"/>
      <c r="BX954" s="15"/>
      <c r="BY954" s="15"/>
      <c r="BZ954" s="15"/>
      <c r="CA954" s="15"/>
      <c r="CB954" s="15"/>
    </row>
    <row r="955" spans="1:80" ht="12.75" hidden="1" customHeight="1">
      <c r="A955" s="20">
        <f ca="1">IFERROR(__xludf.DUMMYFUNCTION("""COMPUTED_VALUE"""),2013)</f>
        <v>2013</v>
      </c>
      <c r="B955" s="45">
        <f ca="1">IFERROR(__xludf.DUMMYFUNCTION("""COMPUTED_VALUE"""),41877)</f>
        <v>41877</v>
      </c>
      <c r="C955" s="46">
        <f ca="1">IFERROR(__xludf.DUMMYFUNCTION("""COMPUTED_VALUE"""),41877)</f>
        <v>41877</v>
      </c>
      <c r="D955" s="47" t="str">
        <f ca="1">IFERROR(__xludf.DUMMYFUNCTION("""COMPUTED_VALUE"""),"Rock Pipit [Scandinavian]")</f>
        <v>Rock Pipit [Scandinavian]</v>
      </c>
      <c r="E955" s="52">
        <f ca="1">IFERROR(__xludf.DUMMYFUNCTION("""COMPUTED_VALUE"""),1)</f>
        <v>1</v>
      </c>
      <c r="F955" s="25"/>
      <c r="G955" s="48" t="str">
        <f ca="1">IFERROR(__xludf.DUMMYFUNCTION("""COMPUTED_VALUE"""),"Chelford, Lapwing Lane Pool")</f>
        <v>Chelford, Lapwing Lane Pool</v>
      </c>
      <c r="H955" s="22">
        <f ca="1">IFERROR(__xludf.DUMMYFUNCTION("""COMPUTED_VALUE"""),41373)</f>
        <v>41373</v>
      </c>
      <c r="I955" s="22">
        <f ca="1">IFERROR(__xludf.DUMMYFUNCTION("""COMPUTED_VALUE"""),41375)</f>
        <v>41375</v>
      </c>
      <c r="J955" s="24" t="str">
        <f ca="1">IFERROR(__xludf.DUMMYFUNCTION("""COMPUTED_VALUE"""),"Barber S&amp;G")</f>
        <v>Barber S&amp;G</v>
      </c>
      <c r="K955" s="25" t="str">
        <f ca="1">IFERROR(__xludf.DUMMYFUNCTION("""COMPUTED_VALUE"""),"JS")</f>
        <v>JS</v>
      </c>
      <c r="L955" s="27" t="str">
        <f ca="1">IFERROR(__xludf.DUMMYFUNCTION("""COMPUTED_VALUE"""),"closed")</f>
        <v>closed</v>
      </c>
      <c r="M955" s="27" t="str">
        <f ca="1">IFERROR(__xludf.DUMMYFUNCTION("""COMPUTED_VALUE"""),"1st U")</f>
        <v>1st U</v>
      </c>
      <c r="N955" s="25" t="str">
        <f ca="1">IFERROR(__xludf.DUMMYFUNCTION("""COMPUTED_VALUE"""),"accepted")</f>
        <v>accepted</v>
      </c>
      <c r="O955" s="28"/>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c r="AQ955" s="25"/>
      <c r="AR955" s="25"/>
      <c r="AS955" s="25"/>
      <c r="AT955" s="25"/>
      <c r="AU955" s="25"/>
      <c r="AV955" s="25"/>
      <c r="AW955" s="25"/>
      <c r="AX955" s="25"/>
      <c r="AY955" s="25"/>
      <c r="AZ955" s="25"/>
      <c r="BA955" s="25"/>
      <c r="BB955" s="25"/>
      <c r="BC955" s="25"/>
      <c r="BD955" s="25"/>
      <c r="BE955" s="25"/>
      <c r="BF955" s="25"/>
      <c r="BG955" s="25"/>
      <c r="BH955" s="25"/>
      <c r="BI955" s="25"/>
      <c r="BJ955" s="25"/>
      <c r="BK955" s="25"/>
      <c r="BL955" s="25"/>
      <c r="BM955" s="25"/>
      <c r="BN955" s="25"/>
      <c r="BO955" s="25"/>
      <c r="BP955" s="25"/>
      <c r="BQ955" s="25"/>
      <c r="BR955" s="25"/>
      <c r="BS955" s="25"/>
      <c r="BT955" s="25"/>
      <c r="BU955" s="25"/>
      <c r="BV955" s="25"/>
      <c r="BW955" s="25"/>
      <c r="BX955" s="25"/>
      <c r="BY955" s="25"/>
      <c r="BZ955" s="25"/>
      <c r="CA955" s="25"/>
      <c r="CB955" s="25"/>
    </row>
    <row r="956" spans="1:80" ht="12.75" hidden="1" customHeight="1">
      <c r="A956" s="10">
        <f ca="1">IFERROR(__xludf.DUMMYFUNCTION("""COMPUTED_VALUE"""),2013)</f>
        <v>2013</v>
      </c>
      <c r="B956" s="50">
        <f ca="1">IFERROR(__xludf.DUMMYFUNCTION("""COMPUTED_VALUE"""),41948)</f>
        <v>41948</v>
      </c>
      <c r="C956" s="41">
        <f ca="1">IFERROR(__xludf.DUMMYFUNCTION("""COMPUTED_VALUE"""),41877)</f>
        <v>41877</v>
      </c>
      <c r="D956" s="42" t="str">
        <f ca="1">IFERROR(__xludf.DUMMYFUNCTION("""COMPUTED_VALUE"""),"Rock Pipit [Scandinavian]")</f>
        <v>Rock Pipit [Scandinavian]</v>
      </c>
      <c r="E956" s="53">
        <f ca="1">IFERROR(__xludf.DUMMYFUNCTION("""COMPUTED_VALUE"""),2)</f>
        <v>2</v>
      </c>
      <c r="F956" s="15"/>
      <c r="G956" s="44" t="str">
        <f ca="1">IFERROR(__xludf.DUMMYFUNCTION("""COMPUTED_VALUE"""),"Red Rocks, Hoylake")</f>
        <v>Red Rocks, Hoylake</v>
      </c>
      <c r="H956" s="12">
        <f ca="1">IFERROR(__xludf.DUMMYFUNCTION("""COMPUTED_VALUE"""),41591)</f>
        <v>41591</v>
      </c>
      <c r="I956" s="12">
        <f ca="1">IFERROR(__xludf.DUMMYFUNCTION("""COMPUTED_VALUE"""),41596)</f>
        <v>41596</v>
      </c>
      <c r="J956" s="14" t="str">
        <f ca="1">IFERROR(__xludf.DUMMYFUNCTION("""COMPUTED_VALUE"""),"Turner, JE")</f>
        <v>Turner, JE</v>
      </c>
      <c r="K956" s="15" t="str">
        <f ca="1">IFERROR(__xludf.DUMMYFUNCTION("""COMPUTED_VALUE"""),"Turner, JE")</f>
        <v>Turner, JE</v>
      </c>
      <c r="L956" s="17" t="str">
        <f ca="1">IFERROR(__xludf.DUMMYFUNCTION("""COMPUTED_VALUE"""),"closed")</f>
        <v>closed</v>
      </c>
      <c r="M956" s="17" t="str">
        <f ca="1">IFERROR(__xludf.DUMMYFUNCTION("""COMPUTED_VALUE"""),"1st U")</f>
        <v>1st U</v>
      </c>
      <c r="N956" s="15" t="str">
        <f ca="1">IFERROR(__xludf.DUMMYFUNCTION("""COMPUTED_VALUE"""),"accepted")</f>
        <v>accepted</v>
      </c>
      <c r="O956" s="18"/>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c r="BK956" s="15"/>
      <c r="BL956" s="15"/>
      <c r="BM956" s="15"/>
      <c r="BN956" s="15"/>
      <c r="BO956" s="15"/>
      <c r="BP956" s="15"/>
      <c r="BQ956" s="15"/>
      <c r="BR956" s="15"/>
      <c r="BS956" s="15"/>
      <c r="BT956" s="15"/>
      <c r="BU956" s="15"/>
      <c r="BV956" s="15"/>
      <c r="BW956" s="15"/>
      <c r="BX956" s="15"/>
      <c r="BY956" s="15"/>
      <c r="BZ956" s="15"/>
      <c r="CA956" s="15"/>
      <c r="CB956" s="15"/>
    </row>
    <row r="957" spans="1:80" ht="12.75" hidden="1" customHeight="1">
      <c r="A957" s="20">
        <f ca="1">IFERROR(__xludf.DUMMYFUNCTION("""COMPUTED_VALUE"""),2013)</f>
        <v>2013</v>
      </c>
      <c r="B957" s="45">
        <f ca="1">IFERROR(__xludf.DUMMYFUNCTION("""COMPUTED_VALUE"""),41517)</f>
        <v>41517</v>
      </c>
      <c r="C957" s="46">
        <f ca="1">IFERROR(__xludf.DUMMYFUNCTION("""COMPUTED_VALUE"""),41812)</f>
        <v>41812</v>
      </c>
      <c r="D957" s="47" t="str">
        <f ca="1">IFERROR(__xludf.DUMMYFUNCTION("""COMPUTED_VALUE"""),"Hawfinch")</f>
        <v>Hawfinch</v>
      </c>
      <c r="E957" s="52">
        <f ca="1">IFERROR(__xludf.DUMMYFUNCTION("""COMPUTED_VALUE"""),2)</f>
        <v>2</v>
      </c>
      <c r="F957" s="25"/>
      <c r="G957" s="48" t="str">
        <f ca="1">IFERROR(__xludf.DUMMYFUNCTION("""COMPUTED_VALUE"""),"Lindow Common")</f>
        <v>Lindow Common</v>
      </c>
      <c r="H957" s="22">
        <f ca="1">IFERROR(__xludf.DUMMYFUNCTION("""COMPUTED_VALUE"""),41289)</f>
        <v>41289</v>
      </c>
      <c r="I957" s="22"/>
      <c r="J957" s="24" t="str">
        <f ca="1">IFERROR(__xludf.DUMMYFUNCTION("""COMPUTED_VALUE"""),"Cook, H")</f>
        <v>Cook, H</v>
      </c>
      <c r="K957" s="25"/>
      <c r="L957" s="27" t="str">
        <f ca="1">IFERROR(__xludf.DUMMYFUNCTION("""COMPUTED_VALUE"""),"closed")</f>
        <v>closed</v>
      </c>
      <c r="M957" s="27" t="str">
        <f ca="1">IFERROR(__xludf.DUMMYFUNCTION("""COMPUTED_VALUE"""),"1st U")</f>
        <v>1st U</v>
      </c>
      <c r="N957" s="25" t="str">
        <f ca="1">IFERROR(__xludf.DUMMYFUNCTION("""COMPUTED_VALUE"""),"accepted")</f>
        <v>accepted</v>
      </c>
      <c r="O957" s="28"/>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c r="AQ957" s="25"/>
      <c r="AR957" s="25"/>
      <c r="AS957" s="25"/>
      <c r="AT957" s="25"/>
      <c r="AU957" s="25"/>
      <c r="AV957" s="25"/>
      <c r="AW957" s="25"/>
      <c r="AX957" s="25"/>
      <c r="AY957" s="25"/>
      <c r="AZ957" s="25"/>
      <c r="BA957" s="25"/>
      <c r="BB957" s="25"/>
      <c r="BC957" s="25"/>
      <c r="BD957" s="25"/>
      <c r="BE957" s="25"/>
      <c r="BF957" s="25"/>
      <c r="BG957" s="25"/>
      <c r="BH957" s="25"/>
      <c r="BI957" s="25"/>
      <c r="BJ957" s="25"/>
      <c r="BK957" s="25"/>
      <c r="BL957" s="25"/>
      <c r="BM957" s="25"/>
      <c r="BN957" s="25"/>
      <c r="BO957" s="25"/>
      <c r="BP957" s="25"/>
      <c r="BQ957" s="25"/>
      <c r="BR957" s="25"/>
      <c r="BS957" s="25"/>
      <c r="BT957" s="25"/>
      <c r="BU957" s="25"/>
      <c r="BV957" s="25"/>
      <c r="BW957" s="25"/>
      <c r="BX957" s="25"/>
      <c r="BY957" s="25"/>
      <c r="BZ957" s="25"/>
      <c r="CA957" s="25"/>
      <c r="CB957" s="25"/>
    </row>
    <row r="958" spans="1:80" ht="12.75" hidden="1" customHeight="1">
      <c r="A958" s="10">
        <f ca="1">IFERROR(__xludf.DUMMYFUNCTION("""COMPUTED_VALUE"""),2013)</f>
        <v>2013</v>
      </c>
      <c r="B958" s="50">
        <f ca="1">IFERROR(__xludf.DUMMYFUNCTION("""COMPUTED_VALUE"""),41891)</f>
        <v>41891</v>
      </c>
      <c r="C958" s="41">
        <f ca="1">IFERROR(__xludf.DUMMYFUNCTION("""COMPUTED_VALUE"""),41877)</f>
        <v>41877</v>
      </c>
      <c r="D958" s="42" t="str">
        <f ca="1">IFERROR(__xludf.DUMMYFUNCTION("""COMPUTED_VALUE"""),"Hawfinch")</f>
        <v>Hawfinch</v>
      </c>
      <c r="E958" s="53">
        <f ca="1">IFERROR(__xludf.DUMMYFUNCTION("""COMPUTED_VALUE"""),3)</f>
        <v>3</v>
      </c>
      <c r="F958" s="15"/>
      <c r="G958" s="44" t="str">
        <f ca="1">IFERROR(__xludf.DUMMYFUNCTION("""COMPUTED_VALUE"""),"Kingsley")</f>
        <v>Kingsley</v>
      </c>
      <c r="H958" s="12">
        <f ca="1">IFERROR(__xludf.DUMMYFUNCTION("""COMPUTED_VALUE"""),41343)</f>
        <v>41343</v>
      </c>
      <c r="I958" s="12">
        <f ca="1">IFERROR(__xludf.DUMMYFUNCTION("""COMPUTED_VALUE"""),41344)</f>
        <v>41344</v>
      </c>
      <c r="J958" s="14" t="str">
        <f ca="1">IFERROR(__xludf.DUMMYFUNCTION("""COMPUTED_VALUE"""),"Cogger, D")</f>
        <v>Cogger, D</v>
      </c>
      <c r="K958" s="15" t="str">
        <f ca="1">IFERROR(__xludf.DUMMYFUNCTION("""COMPUTED_VALUE"""),"neighbour")</f>
        <v>neighbour</v>
      </c>
      <c r="L958" s="17" t="str">
        <f ca="1">IFERROR(__xludf.DUMMYFUNCTION("""COMPUTED_VALUE"""),"closed")</f>
        <v>closed</v>
      </c>
      <c r="M958" s="17" t="str">
        <f ca="1">IFERROR(__xludf.DUMMYFUNCTION("""COMPUTED_VALUE"""),"1st U")</f>
        <v>1st U</v>
      </c>
      <c r="N958" s="15" t="str">
        <f ca="1">IFERROR(__xludf.DUMMYFUNCTION("""COMPUTED_VALUE"""),"accepted")</f>
        <v>accepted</v>
      </c>
      <c r="O958" s="18"/>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c r="BK958" s="15"/>
      <c r="BL958" s="15"/>
      <c r="BM958" s="15"/>
      <c r="BN958" s="15"/>
      <c r="BO958" s="15"/>
      <c r="BP958" s="15"/>
      <c r="BQ958" s="15"/>
      <c r="BR958" s="15"/>
      <c r="BS958" s="15"/>
      <c r="BT958" s="15"/>
      <c r="BU958" s="15"/>
      <c r="BV958" s="15"/>
      <c r="BW958" s="15"/>
      <c r="BX958" s="15"/>
      <c r="BY958" s="15"/>
      <c r="BZ958" s="15"/>
      <c r="CA958" s="15"/>
      <c r="CB958" s="15"/>
    </row>
    <row r="959" spans="1:80" ht="12.75" hidden="1" customHeight="1">
      <c r="A959" s="20">
        <f ca="1">IFERROR(__xludf.DUMMYFUNCTION("""COMPUTED_VALUE"""),2013)</f>
        <v>2013</v>
      </c>
      <c r="B959" s="45">
        <f ca="1">IFERROR(__xludf.DUMMYFUNCTION("""COMPUTED_VALUE"""),41878)</f>
        <v>41878</v>
      </c>
      <c r="C959" s="46">
        <f ca="1">IFERROR(__xludf.DUMMYFUNCTION("""COMPUTED_VALUE"""),41884)</f>
        <v>41884</v>
      </c>
      <c r="D959" s="47" t="str">
        <f ca="1">IFERROR(__xludf.DUMMYFUNCTION("""COMPUTED_VALUE"""),"Hawfinch")</f>
        <v>Hawfinch</v>
      </c>
      <c r="E959" s="52">
        <f ca="1">IFERROR(__xludf.DUMMYFUNCTION("""COMPUTED_VALUE"""),1)</f>
        <v>1</v>
      </c>
      <c r="F959" s="25"/>
      <c r="G959" s="48" t="str">
        <f ca="1">IFERROR(__xludf.DUMMYFUNCTION("""COMPUTED_VALUE"""),"Hale")</f>
        <v>Hale</v>
      </c>
      <c r="H959" s="22">
        <f ca="1">IFERROR(__xludf.DUMMYFUNCTION("""COMPUTED_VALUE"""),41563)</f>
        <v>41563</v>
      </c>
      <c r="I959" s="22"/>
      <c r="J959" s="24" t="str">
        <f ca="1">IFERROR(__xludf.DUMMYFUNCTION("""COMPUTED_VALUE"""),"Cockbain RP &amp; CA")</f>
        <v>Cockbain RP &amp; CA</v>
      </c>
      <c r="K959" s="25"/>
      <c r="L959" s="27" t="str">
        <f ca="1">IFERROR(__xludf.DUMMYFUNCTION("""COMPUTED_VALUE"""),"closed")</f>
        <v>closed</v>
      </c>
      <c r="M959" s="27" t="str">
        <f ca="1">IFERROR(__xludf.DUMMYFUNCTION("""COMPUTED_VALUE"""),"1st U")</f>
        <v>1st U</v>
      </c>
      <c r="N959" s="25" t="str">
        <f ca="1">IFERROR(__xludf.DUMMYFUNCTION("""COMPUTED_VALUE"""),"accepted")</f>
        <v>accepted</v>
      </c>
      <c r="O959" s="28"/>
      <c r="P959" s="25"/>
      <c r="Q959" s="40"/>
      <c r="R959" s="40"/>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c r="AQ959" s="25"/>
      <c r="AR959" s="25"/>
      <c r="AS959" s="25"/>
      <c r="AT959" s="25"/>
      <c r="AU959" s="25"/>
      <c r="AV959" s="25"/>
      <c r="AW959" s="25"/>
      <c r="AX959" s="25"/>
      <c r="AY959" s="25"/>
      <c r="AZ959" s="25"/>
      <c r="BA959" s="25"/>
      <c r="BB959" s="25"/>
      <c r="BC959" s="25"/>
      <c r="BD959" s="25"/>
      <c r="BE959" s="25"/>
      <c r="BF959" s="25"/>
      <c r="BG959" s="25"/>
      <c r="BH959" s="25"/>
      <c r="BI959" s="25"/>
      <c r="BJ959" s="25"/>
      <c r="BK959" s="25"/>
      <c r="BL959" s="25"/>
      <c r="BM959" s="25"/>
      <c r="BN959" s="25"/>
      <c r="BO959" s="25"/>
      <c r="BP959" s="25"/>
      <c r="BQ959" s="25"/>
      <c r="BR959" s="25"/>
      <c r="BS959" s="25"/>
      <c r="BT959" s="25"/>
      <c r="BU959" s="25"/>
      <c r="BV959" s="25"/>
      <c r="BW959" s="25"/>
      <c r="BX959" s="25"/>
      <c r="BY959" s="25"/>
      <c r="BZ959" s="25"/>
      <c r="CA959" s="25"/>
      <c r="CB959" s="25"/>
    </row>
    <row r="960" spans="1:80" ht="12.75" hidden="1" customHeight="1">
      <c r="A960" s="10">
        <f ca="1">IFERROR(__xludf.DUMMYFUNCTION("""COMPUTED_VALUE"""),2013)</f>
        <v>2013</v>
      </c>
      <c r="B960" s="50">
        <f ca="1">IFERROR(__xludf.DUMMYFUNCTION("""COMPUTED_VALUE"""),41878)</f>
        <v>41878</v>
      </c>
      <c r="C960" s="41">
        <f ca="1">IFERROR(__xludf.DUMMYFUNCTION("""COMPUTED_VALUE"""),41884)</f>
        <v>41884</v>
      </c>
      <c r="D960" s="42" t="str">
        <f ca="1">IFERROR(__xludf.DUMMYFUNCTION("""COMPUTED_VALUE"""),"Hawfinch")</f>
        <v>Hawfinch</v>
      </c>
      <c r="E960" s="53">
        <f ca="1">IFERROR(__xludf.DUMMYFUNCTION("""COMPUTED_VALUE"""),2)</f>
        <v>2</v>
      </c>
      <c r="F960" s="15"/>
      <c r="G960" s="44" t="str">
        <f ca="1">IFERROR(__xludf.DUMMYFUNCTION("""COMPUTED_VALUE"""),"Hale")</f>
        <v>Hale</v>
      </c>
      <c r="H960" s="12">
        <f ca="1">IFERROR(__xludf.DUMMYFUNCTION("""COMPUTED_VALUE"""),41577)</f>
        <v>41577</v>
      </c>
      <c r="I960" s="12"/>
      <c r="J960" s="14" t="str">
        <f ca="1">IFERROR(__xludf.DUMMYFUNCTION("""COMPUTED_VALUE"""),"Cockbain RP &amp; CA")</f>
        <v>Cockbain RP &amp; CA</v>
      </c>
      <c r="K960" s="15"/>
      <c r="L960" s="17" t="str">
        <f ca="1">IFERROR(__xludf.DUMMYFUNCTION("""COMPUTED_VALUE"""),"closed")</f>
        <v>closed</v>
      </c>
      <c r="M960" s="17" t="str">
        <f ca="1">IFERROR(__xludf.DUMMYFUNCTION("""COMPUTED_VALUE"""),"1st U")</f>
        <v>1st U</v>
      </c>
      <c r="N960" s="15" t="str">
        <f ca="1">IFERROR(__xludf.DUMMYFUNCTION("""COMPUTED_VALUE"""),"accepted")</f>
        <v>accepted</v>
      </c>
      <c r="O960" s="18"/>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c r="BK960" s="15"/>
      <c r="BL960" s="15"/>
      <c r="BM960" s="15"/>
      <c r="BN960" s="15"/>
      <c r="BO960" s="15"/>
      <c r="BP960" s="15"/>
      <c r="BQ960" s="15"/>
      <c r="BR960" s="15"/>
      <c r="BS960" s="15"/>
      <c r="BT960" s="15"/>
      <c r="BU960" s="15"/>
      <c r="BV960" s="15"/>
      <c r="BW960" s="15"/>
      <c r="BX960" s="15"/>
      <c r="BY960" s="15"/>
      <c r="BZ960" s="15"/>
      <c r="CA960" s="15"/>
      <c r="CB960" s="15"/>
    </row>
    <row r="961" spans="1:80" ht="12.75" hidden="1" customHeight="1">
      <c r="A961" s="20">
        <f ca="1">IFERROR(__xludf.DUMMYFUNCTION("""COMPUTED_VALUE"""),2013)</f>
        <v>2013</v>
      </c>
      <c r="B961" s="45">
        <f ca="1">IFERROR(__xludf.DUMMYFUNCTION("""COMPUTED_VALUE"""),41949)</f>
        <v>41949</v>
      </c>
      <c r="C961" s="46">
        <f ca="1">IFERROR(__xludf.DUMMYFUNCTION("""COMPUTED_VALUE"""),41884)</f>
        <v>41884</v>
      </c>
      <c r="D961" s="47" t="str">
        <f ca="1">IFERROR(__xludf.DUMMYFUNCTION("""COMPUTED_VALUE"""),"Hawfinch")</f>
        <v>Hawfinch</v>
      </c>
      <c r="E961" s="52">
        <f ca="1">IFERROR(__xludf.DUMMYFUNCTION("""COMPUTED_VALUE"""),1)</f>
        <v>1</v>
      </c>
      <c r="F961" s="25"/>
      <c r="G961" s="48" t="str">
        <f ca="1">IFERROR(__xludf.DUMMYFUNCTION("""COMPUTED_VALUE"""),"Hale")</f>
        <v>Hale</v>
      </c>
      <c r="H961" s="22">
        <f ca="1">IFERROR(__xludf.DUMMYFUNCTION("""COMPUTED_VALUE"""),41579)</f>
        <v>41579</v>
      </c>
      <c r="I961" s="22"/>
      <c r="J961" s="24"/>
      <c r="K961" s="25"/>
      <c r="L961" s="27" t="str">
        <f ca="1">IFERROR(__xludf.DUMMYFUNCTION("""COMPUTED_VALUE"""),"closed")</f>
        <v>closed</v>
      </c>
      <c r="M961" s="27" t="str">
        <f ca="1">IFERROR(__xludf.DUMMYFUNCTION("""COMPUTED_VALUE"""),"2ndU")</f>
        <v>2ndU</v>
      </c>
      <c r="N961" s="25" t="str">
        <f ca="1">IFERROR(__xludf.DUMMYFUNCTION("""COMPUTED_VALUE"""),"unproven")</f>
        <v>unproven</v>
      </c>
      <c r="O961" s="28"/>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c r="AQ961" s="25"/>
      <c r="AR961" s="25"/>
      <c r="AS961" s="25"/>
      <c r="AT961" s="25"/>
      <c r="AU961" s="25"/>
      <c r="AV961" s="25"/>
      <c r="AW961" s="25"/>
      <c r="AX961" s="25"/>
      <c r="AY961" s="25"/>
      <c r="AZ961" s="25"/>
      <c r="BA961" s="25"/>
      <c r="BB961" s="25"/>
      <c r="BC961" s="25"/>
      <c r="BD961" s="25"/>
      <c r="BE961" s="25"/>
      <c r="BF961" s="25"/>
      <c r="BG961" s="25"/>
      <c r="BH961" s="25"/>
      <c r="BI961" s="25"/>
      <c r="BJ961" s="25"/>
      <c r="BK961" s="25"/>
      <c r="BL961" s="25"/>
      <c r="BM961" s="25"/>
      <c r="BN961" s="25"/>
      <c r="BO961" s="25"/>
      <c r="BP961" s="25"/>
      <c r="BQ961" s="25"/>
      <c r="BR961" s="25"/>
      <c r="BS961" s="25"/>
      <c r="BT961" s="25"/>
      <c r="BU961" s="25"/>
      <c r="BV961" s="25"/>
      <c r="BW961" s="25"/>
      <c r="BX961" s="25"/>
      <c r="BY961" s="25"/>
      <c r="BZ961" s="25"/>
      <c r="CA961" s="25"/>
      <c r="CB961" s="25"/>
    </row>
    <row r="962" spans="1:80" ht="12.75" hidden="1" customHeight="1">
      <c r="A962" s="10">
        <f ca="1">IFERROR(__xludf.DUMMYFUNCTION("""COMPUTED_VALUE"""),2013)</f>
        <v>2013</v>
      </c>
      <c r="B962" s="50">
        <f ca="1">IFERROR(__xludf.DUMMYFUNCTION("""COMPUTED_VALUE"""),41949)</f>
        <v>41949</v>
      </c>
      <c r="C962" s="41">
        <f ca="1">IFERROR(__xludf.DUMMYFUNCTION("""COMPUTED_VALUE"""),41879)</f>
        <v>41879</v>
      </c>
      <c r="D962" s="42" t="str">
        <f ca="1">IFERROR(__xludf.DUMMYFUNCTION("""COMPUTED_VALUE"""),"Arctic Redpoll")</f>
        <v>Arctic Redpoll</v>
      </c>
      <c r="E962" s="53">
        <f ca="1">IFERROR(__xludf.DUMMYFUNCTION("""COMPUTED_VALUE"""),1)</f>
        <v>1</v>
      </c>
      <c r="F962" s="15" t="str">
        <f ca="1">IFERROR(__xludf.DUMMYFUNCTION("""COMPUTED_VALUE"""),"1st W")</f>
        <v>1st W</v>
      </c>
      <c r="G962" s="44" t="str">
        <f ca="1">IFERROR(__xludf.DUMMYFUNCTION("""COMPUTED_VALUE"""),"Congleton")</f>
        <v>Congleton</v>
      </c>
      <c r="H962" s="12">
        <f ca="1">IFERROR(__xludf.DUMMYFUNCTION("""COMPUTED_VALUE"""),41296)</f>
        <v>41296</v>
      </c>
      <c r="I962" s="12"/>
      <c r="J962" s="14"/>
      <c r="K962" s="15"/>
      <c r="L962" s="17" t="str">
        <f ca="1">IFERROR(__xludf.DUMMYFUNCTION("""COMPUTED_VALUE"""),"closed")</f>
        <v>closed</v>
      </c>
      <c r="M962" s="17" t="str">
        <f ca="1">IFERROR(__xludf.DUMMYFUNCTION("""COMPUTED_VALUE"""),"3rdU")</f>
        <v>3rdU</v>
      </c>
      <c r="N962" s="15" t="str">
        <f ca="1">IFERROR(__xludf.DUMMYFUNCTION("""COMPUTED_VALUE"""),"unproven")</f>
        <v>unproven</v>
      </c>
      <c r="O962" s="18"/>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c r="BK962" s="15"/>
      <c r="BL962" s="15"/>
      <c r="BM962" s="15"/>
      <c r="BN962" s="15"/>
      <c r="BO962" s="15"/>
      <c r="BP962" s="15"/>
      <c r="BQ962" s="15"/>
      <c r="BR962" s="15"/>
      <c r="BS962" s="15"/>
      <c r="BT962" s="15"/>
      <c r="BU962" s="15"/>
      <c r="BV962" s="15"/>
      <c r="BW962" s="15"/>
      <c r="BX962" s="15"/>
      <c r="BY962" s="15"/>
      <c r="BZ962" s="15"/>
      <c r="CA962" s="15"/>
      <c r="CB962" s="15"/>
    </row>
    <row r="963" spans="1:80" ht="12.75" hidden="1" customHeight="1">
      <c r="A963" s="20">
        <f ca="1">IFERROR(__xludf.DUMMYFUNCTION("""COMPUTED_VALUE"""),2013)</f>
        <v>2013</v>
      </c>
      <c r="B963" s="45">
        <f ca="1">IFERROR(__xludf.DUMMYFUNCTION("""COMPUTED_VALUE"""),41949)</f>
        <v>41949</v>
      </c>
      <c r="C963" s="46">
        <f ca="1">IFERROR(__xludf.DUMMYFUNCTION("""COMPUTED_VALUE"""),41878)</f>
        <v>41878</v>
      </c>
      <c r="D963" s="47" t="str">
        <f ca="1">IFERROR(__xludf.DUMMYFUNCTION("""COMPUTED_VALUE"""),"Arctic Redpoll")</f>
        <v>Arctic Redpoll</v>
      </c>
      <c r="E963" s="52">
        <f ca="1">IFERROR(__xludf.DUMMYFUNCTION("""COMPUTED_VALUE"""),1)</f>
        <v>1</v>
      </c>
      <c r="F963" s="25"/>
      <c r="G963" s="48" t="str">
        <f ca="1">IFERROR(__xludf.DUMMYFUNCTION("""COMPUTED_VALUE"""),"Oxmoor LNR, Runcorn")</f>
        <v>Oxmoor LNR, Runcorn</v>
      </c>
      <c r="H963" s="22">
        <f ca="1">IFERROR(__xludf.DUMMYFUNCTION("""COMPUTED_VALUE"""),41595)</f>
        <v>41595</v>
      </c>
      <c r="I963" s="22"/>
      <c r="J963" s="24"/>
      <c r="K963" s="25"/>
      <c r="L963" s="27" t="str">
        <f ca="1">IFERROR(__xludf.DUMMYFUNCTION("""COMPUTED_VALUE"""),"closed")</f>
        <v>closed</v>
      </c>
      <c r="M963" s="27"/>
      <c r="N963" s="25" t="str">
        <f ca="1">IFERROR(__xludf.DUMMYFUNCTION("""COMPUTED_VALUE"""),"held")</f>
        <v>held</v>
      </c>
      <c r="O963" s="28" t="str">
        <f ca="1">IFERROR(__xludf.DUMMYFUNCTION("""COMPUTED_VALUE"""),"Publish under Arctic Redpoll with note stating that a striking pale Redpoll was trapped at Oxmoor.  However Redpoll taxonomy is complex and fluid.  This bird would have  would have been excluded on BBRC criteria.  The committee sought expert opinion who f"&amp;"elt that the bird was within range for exilipes however the  committee remain unconviced and seeking further input or clairty on taxonomy esp regarding pale Icelandic birds")</f>
        <v>Publish under Arctic Redpoll with note stating that a striking pale Redpoll was trapped at Oxmoor.  However Redpoll taxonomy is complex and fluid.  This bird would have  would have been excluded on BBRC criteria.  The committee sought expert opinion who felt that the bird was within range for exilipes however the  committee remain unconviced and seeking further input or clairty on taxonomy esp regarding pale Icelandic birds</v>
      </c>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c r="AQ963" s="25"/>
      <c r="AR963" s="25"/>
      <c r="AS963" s="25"/>
      <c r="AT963" s="25"/>
      <c r="AU963" s="25"/>
      <c r="AV963" s="25"/>
      <c r="AW963" s="25"/>
      <c r="AX963" s="25"/>
      <c r="AY963" s="25"/>
      <c r="AZ963" s="25"/>
      <c r="BA963" s="25"/>
      <c r="BB963" s="25"/>
      <c r="BC963" s="25"/>
      <c r="BD963" s="25"/>
      <c r="BE963" s="25"/>
      <c r="BF963" s="25"/>
      <c r="BG963" s="25"/>
      <c r="BH963" s="25"/>
      <c r="BI963" s="25"/>
      <c r="BJ963" s="25"/>
      <c r="BK963" s="25"/>
      <c r="BL963" s="25"/>
      <c r="BM963" s="25"/>
      <c r="BN963" s="25"/>
      <c r="BO963" s="25"/>
      <c r="BP963" s="25"/>
      <c r="BQ963" s="25"/>
      <c r="BR963" s="25"/>
      <c r="BS963" s="25"/>
      <c r="BT963" s="25"/>
      <c r="BU963" s="25"/>
      <c r="BV963" s="25"/>
      <c r="BW963" s="25"/>
      <c r="BX963" s="25"/>
      <c r="BY963" s="25"/>
      <c r="BZ963" s="25"/>
      <c r="CA963" s="25"/>
      <c r="CB963" s="25"/>
    </row>
    <row r="964" spans="1:80" ht="12.75" hidden="1" customHeight="1">
      <c r="A964" s="10">
        <f ca="1">IFERROR(__xludf.DUMMYFUNCTION("""COMPUTED_VALUE"""),2013)</f>
        <v>2013</v>
      </c>
      <c r="B964" s="50">
        <f ca="1">IFERROR(__xludf.DUMMYFUNCTION("""COMPUTED_VALUE"""),41948)</f>
        <v>41948</v>
      </c>
      <c r="C964" s="41">
        <f ca="1">IFERROR(__xludf.DUMMYFUNCTION("""COMPUTED_VALUE"""),41878)</f>
        <v>41878</v>
      </c>
      <c r="D964" s="42" t="str">
        <f ca="1">IFERROR(__xludf.DUMMYFUNCTION("""COMPUTED_VALUE"""),"Lapland Bunting")</f>
        <v>Lapland Bunting</v>
      </c>
      <c r="E964" s="53">
        <f ca="1">IFERROR(__xludf.DUMMYFUNCTION("""COMPUTED_VALUE"""),1)</f>
        <v>1</v>
      </c>
      <c r="F964" s="15"/>
      <c r="G964" s="44" t="str">
        <f ca="1">IFERROR(__xludf.DUMMYFUNCTION("""COMPUTED_VALUE"""),"Red Rocks, Hoylake")</f>
        <v>Red Rocks, Hoylake</v>
      </c>
      <c r="H964" s="12">
        <f ca="1">IFERROR(__xludf.DUMMYFUNCTION("""COMPUTED_VALUE"""),41350)</f>
        <v>41350</v>
      </c>
      <c r="I964" s="12"/>
      <c r="J964" s="14" t="str">
        <f ca="1">IFERROR(__xludf.DUMMYFUNCTION("""COMPUTED_VALUE"""),"Turner, JE")</f>
        <v>Turner, JE</v>
      </c>
      <c r="K964" s="15" t="str">
        <f ca="1">IFERROR(__xludf.DUMMYFUNCTION("""COMPUTED_VALUE"""),"Turner, JE")</f>
        <v>Turner, JE</v>
      </c>
      <c r="L964" s="17" t="str">
        <f ca="1">IFERROR(__xludf.DUMMYFUNCTION("""COMPUTED_VALUE"""),"closed")</f>
        <v>closed</v>
      </c>
      <c r="M964" s="17" t="str">
        <f ca="1">IFERROR(__xludf.DUMMYFUNCTION("""COMPUTED_VALUE"""),"1st U")</f>
        <v>1st U</v>
      </c>
      <c r="N964" s="15" t="str">
        <f ca="1">IFERROR(__xludf.DUMMYFUNCTION("""COMPUTED_VALUE"""),"accepted")</f>
        <v>accepted</v>
      </c>
      <c r="O964" s="18"/>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c r="BK964" s="15"/>
      <c r="BL964" s="15"/>
      <c r="BM964" s="15"/>
      <c r="BN964" s="15"/>
      <c r="BO964" s="15"/>
      <c r="BP964" s="15"/>
      <c r="BQ964" s="15"/>
      <c r="BR964" s="15"/>
      <c r="BS964" s="15"/>
      <c r="BT964" s="15"/>
      <c r="BU964" s="15"/>
      <c r="BV964" s="15"/>
      <c r="BW964" s="15"/>
      <c r="BX964" s="15"/>
      <c r="BY964" s="15"/>
      <c r="BZ964" s="15"/>
      <c r="CA964" s="15"/>
      <c r="CB964" s="15"/>
    </row>
    <row r="965" spans="1:80" ht="12.75" hidden="1" customHeight="1">
      <c r="A965" s="20">
        <f ca="1">IFERROR(__xludf.DUMMYFUNCTION("""COMPUTED_VALUE"""),2013)</f>
        <v>2013</v>
      </c>
      <c r="B965" s="45">
        <f ca="1">IFERROR(__xludf.DUMMYFUNCTION("""COMPUTED_VALUE"""),41891)</f>
        <v>41891</v>
      </c>
      <c r="C965" s="46">
        <f ca="1">IFERROR(__xludf.DUMMYFUNCTION("""COMPUTED_VALUE"""),41884)</f>
        <v>41884</v>
      </c>
      <c r="D965" s="47" t="str">
        <f ca="1">IFERROR(__xludf.DUMMYFUNCTION("""COMPUTED_VALUE"""),"Lapland Bunting")</f>
        <v>Lapland Bunting</v>
      </c>
      <c r="E965" s="52">
        <f ca="1">IFERROR(__xludf.DUMMYFUNCTION("""COMPUTED_VALUE"""),2)</f>
        <v>2</v>
      </c>
      <c r="F965" s="25"/>
      <c r="G965" s="48" t="str">
        <f ca="1">IFERROR(__xludf.DUMMYFUNCTION("""COMPUTED_VALUE"""),"Hale")</f>
        <v>Hale</v>
      </c>
      <c r="H965" s="22">
        <f ca="1">IFERROR(__xludf.DUMMYFUNCTION("""COMPUTED_VALUE"""),41577)</f>
        <v>41577</v>
      </c>
      <c r="I965" s="22"/>
      <c r="J965" s="24" t="str">
        <f ca="1">IFERROR(__xludf.DUMMYFUNCTION("""COMPUTED_VALUE"""),"Cockbain RP &amp; CA")</f>
        <v>Cockbain RP &amp; CA</v>
      </c>
      <c r="K965" s="25"/>
      <c r="L965" s="27" t="str">
        <f ca="1">IFERROR(__xludf.DUMMYFUNCTION("""COMPUTED_VALUE"""),"closed")</f>
        <v>closed</v>
      </c>
      <c r="M965" s="27" t="str">
        <f ca="1">IFERROR(__xludf.DUMMYFUNCTION("""COMPUTED_VALUE"""),"1st U")</f>
        <v>1st U</v>
      </c>
      <c r="N965" s="25" t="str">
        <f ca="1">IFERROR(__xludf.DUMMYFUNCTION("""COMPUTED_VALUE"""),"accepted")</f>
        <v>accepted</v>
      </c>
      <c r="O965" s="28"/>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c r="AQ965" s="25"/>
      <c r="AR965" s="25"/>
      <c r="AS965" s="25"/>
      <c r="AT965" s="25"/>
      <c r="AU965" s="25"/>
      <c r="AV965" s="25"/>
      <c r="AW965" s="25"/>
      <c r="AX965" s="25"/>
      <c r="AY965" s="25"/>
      <c r="AZ965" s="25"/>
      <c r="BA965" s="25"/>
      <c r="BB965" s="25"/>
      <c r="BC965" s="25"/>
      <c r="BD965" s="25"/>
      <c r="BE965" s="25"/>
      <c r="BF965" s="25"/>
      <c r="BG965" s="25"/>
      <c r="BH965" s="25"/>
      <c r="BI965" s="25"/>
      <c r="BJ965" s="25"/>
      <c r="BK965" s="25"/>
      <c r="BL965" s="25"/>
      <c r="BM965" s="25"/>
      <c r="BN965" s="25"/>
      <c r="BO965" s="25"/>
      <c r="BP965" s="25"/>
      <c r="BQ965" s="25"/>
      <c r="BR965" s="25"/>
      <c r="BS965" s="25"/>
      <c r="BT965" s="25"/>
      <c r="BU965" s="25"/>
      <c r="BV965" s="25"/>
      <c r="BW965" s="25"/>
      <c r="BX965" s="25"/>
      <c r="BY965" s="25"/>
      <c r="BZ965" s="25"/>
      <c r="CA965" s="25"/>
      <c r="CB965" s="25"/>
    </row>
    <row r="966" spans="1:80" ht="12.75" hidden="1" customHeight="1">
      <c r="A966" s="10">
        <f ca="1">IFERROR(__xludf.DUMMYFUNCTION("""COMPUTED_VALUE"""),2014)</f>
        <v>2014</v>
      </c>
      <c r="B966" s="50">
        <f ca="1">IFERROR(__xludf.DUMMYFUNCTION("""COMPUTED_VALUE"""),42219)</f>
        <v>42219</v>
      </c>
      <c r="C966" s="41">
        <f ca="1">IFERROR(__xludf.DUMMYFUNCTION("""COMPUTED_VALUE"""),42318)</f>
        <v>42318</v>
      </c>
      <c r="D966" s="42" t="str">
        <f ca="1">IFERROR(__xludf.DUMMYFUNCTION("""COMPUTED_VALUE"""),"Velvet Scoter")</f>
        <v>Velvet Scoter</v>
      </c>
      <c r="E966" s="53">
        <f ca="1">IFERROR(__xludf.DUMMYFUNCTION("""COMPUTED_VALUE"""),2)</f>
        <v>2</v>
      </c>
      <c r="F966" s="15" t="str">
        <f ca="1">IFERROR(__xludf.DUMMYFUNCTION("""COMPUTED_VALUE"""),"mf")</f>
        <v>mf</v>
      </c>
      <c r="G966" s="44" t="str">
        <f ca="1">IFERROR(__xludf.DUMMYFUNCTION("""COMPUTED_VALUE"""),"Hoylake")</f>
        <v>Hoylake</v>
      </c>
      <c r="H966" s="12">
        <f ca="1">IFERROR(__xludf.DUMMYFUNCTION("""COMPUTED_VALUE"""),41726)</f>
        <v>41726</v>
      </c>
      <c r="I966" s="12">
        <f ca="1">IFERROR(__xludf.DUMMYFUNCTION("""COMPUTED_VALUE"""),41726)</f>
        <v>41726</v>
      </c>
      <c r="J966" s="14" t="str">
        <f ca="1">IFERROR(__xludf.DUMMYFUNCTION("""COMPUTED_VALUE"""),"Turner, JE")</f>
        <v>Turner, JE</v>
      </c>
      <c r="K966" s="15" t="str">
        <f ca="1">IFERROR(__xludf.DUMMYFUNCTION("""COMPUTED_VALUE"""),"Turner, JE")</f>
        <v>Turner, JE</v>
      </c>
      <c r="L966" s="17" t="str">
        <f ca="1">IFERROR(__xludf.DUMMYFUNCTION("""COMPUTED_VALUE"""),"closed")</f>
        <v>closed</v>
      </c>
      <c r="M966" s="17" t="str">
        <f ca="1">IFERROR(__xludf.DUMMYFUNCTION("""COMPUTED_VALUE"""),"1st U")</f>
        <v>1st U</v>
      </c>
      <c r="N966" s="15" t="str">
        <f ca="1">IFERROR(__xludf.DUMMYFUNCTION("""COMPUTED_VALUE"""),"accepted")</f>
        <v>accepted</v>
      </c>
      <c r="O966" s="18"/>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c r="BK966" s="15"/>
      <c r="BL966" s="15"/>
      <c r="BM966" s="15"/>
      <c r="BN966" s="15"/>
      <c r="BO966" s="15"/>
      <c r="BP966" s="15"/>
      <c r="BQ966" s="15"/>
      <c r="BR966" s="15"/>
      <c r="BS966" s="15"/>
      <c r="BT966" s="15"/>
      <c r="BU966" s="15"/>
      <c r="BV966" s="15"/>
      <c r="BW966" s="15"/>
      <c r="BX966" s="15"/>
      <c r="BY966" s="15"/>
      <c r="BZ966" s="15"/>
      <c r="CA966" s="15"/>
      <c r="CB966" s="15"/>
    </row>
    <row r="967" spans="1:80" ht="12.75" hidden="1" customHeight="1">
      <c r="A967" s="20">
        <f ca="1">IFERROR(__xludf.DUMMYFUNCTION("""COMPUTED_VALUE"""),2014)</f>
        <v>2014</v>
      </c>
      <c r="B967" s="45">
        <f ca="1">IFERROR(__xludf.DUMMYFUNCTION("""COMPUTED_VALUE"""),42219)</f>
        <v>42219</v>
      </c>
      <c r="C967" s="46">
        <f ca="1">IFERROR(__xludf.DUMMYFUNCTION("""COMPUTED_VALUE"""),42320)</f>
        <v>42320</v>
      </c>
      <c r="D967" s="47" t="str">
        <f ca="1">IFERROR(__xludf.DUMMYFUNCTION("""COMPUTED_VALUE"""),"Velvet Scoter")</f>
        <v>Velvet Scoter</v>
      </c>
      <c r="E967" s="52">
        <f ca="1">IFERROR(__xludf.DUMMYFUNCTION("""COMPUTED_VALUE"""),5)</f>
        <v>5</v>
      </c>
      <c r="F967" s="25"/>
      <c r="G967" s="48" t="str">
        <f ca="1">IFERROR(__xludf.DUMMYFUNCTION("""COMPUTED_VALUE"""),"Hilbre")</f>
        <v>Hilbre</v>
      </c>
      <c r="H967" s="22">
        <f ca="1">IFERROR(__xludf.DUMMYFUNCTION("""COMPUTED_VALUE"""),41776)</f>
        <v>41776</v>
      </c>
      <c r="I967" s="22">
        <f ca="1">IFERROR(__xludf.DUMMYFUNCTION("""COMPUTED_VALUE"""),41776)</f>
        <v>41776</v>
      </c>
      <c r="J967" s="24" t="str">
        <f ca="1">IFERROR(__xludf.DUMMYFUNCTION("""COMPUTED_VALUE"""),"Hilbre Bird Observatory")</f>
        <v>Hilbre Bird Observatory</v>
      </c>
      <c r="K967" s="25"/>
      <c r="L967" s="27" t="str">
        <f ca="1">IFERROR(__xludf.DUMMYFUNCTION("""COMPUTED_VALUE"""),"closed")</f>
        <v>closed</v>
      </c>
      <c r="M967" s="27" t="str">
        <f ca="1">IFERROR(__xludf.DUMMYFUNCTION("""COMPUTED_VALUE"""),"1st U")</f>
        <v>1st U</v>
      </c>
      <c r="N967" s="25" t="str">
        <f ca="1">IFERROR(__xludf.DUMMYFUNCTION("""COMPUTED_VALUE"""),"accepted")</f>
        <v>accepted</v>
      </c>
      <c r="O967" s="28"/>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c r="AQ967" s="25"/>
      <c r="AR967" s="25"/>
      <c r="AS967" s="25"/>
      <c r="AT967" s="25"/>
      <c r="AU967" s="25"/>
      <c r="AV967" s="25"/>
      <c r="AW967" s="25"/>
      <c r="AX967" s="25"/>
      <c r="AY967" s="25"/>
      <c r="AZ967" s="25"/>
      <c r="BA967" s="25"/>
      <c r="BB967" s="25"/>
      <c r="BC967" s="25"/>
      <c r="BD967" s="25"/>
      <c r="BE967" s="25"/>
      <c r="BF967" s="25"/>
      <c r="BG967" s="25"/>
      <c r="BH967" s="25"/>
      <c r="BI967" s="25"/>
      <c r="BJ967" s="25"/>
      <c r="BK967" s="25"/>
      <c r="BL967" s="25"/>
      <c r="BM967" s="25"/>
      <c r="BN967" s="25"/>
      <c r="BO967" s="25"/>
      <c r="BP967" s="25"/>
      <c r="BQ967" s="25"/>
      <c r="BR967" s="25"/>
      <c r="BS967" s="25"/>
      <c r="BT967" s="25"/>
      <c r="BU967" s="25"/>
      <c r="BV967" s="25"/>
      <c r="BW967" s="25"/>
      <c r="BX967" s="25"/>
      <c r="BY967" s="25"/>
      <c r="BZ967" s="25"/>
      <c r="CA967" s="25"/>
      <c r="CB967" s="25"/>
    </row>
    <row r="968" spans="1:80" ht="12.75" hidden="1" customHeight="1">
      <c r="A968" s="10">
        <f ca="1">IFERROR(__xludf.DUMMYFUNCTION("""COMPUTED_VALUE"""),2014)</f>
        <v>2014</v>
      </c>
      <c r="B968" s="50">
        <f ca="1">IFERROR(__xludf.DUMMYFUNCTION("""COMPUTED_VALUE"""),42219)</f>
        <v>42219</v>
      </c>
      <c r="C968" s="41">
        <f ca="1">IFERROR(__xludf.DUMMYFUNCTION("""COMPUTED_VALUE"""),42318)</f>
        <v>42318</v>
      </c>
      <c r="D968" s="42" t="str">
        <f ca="1">IFERROR(__xludf.DUMMYFUNCTION("""COMPUTED_VALUE"""),"Velvet Scoter")</f>
        <v>Velvet Scoter</v>
      </c>
      <c r="E968" s="53">
        <f ca="1">IFERROR(__xludf.DUMMYFUNCTION("""COMPUTED_VALUE"""),1)</f>
        <v>1</v>
      </c>
      <c r="F968" s="15"/>
      <c r="G968" s="44" t="str">
        <f ca="1">IFERROR(__xludf.DUMMYFUNCTION("""COMPUTED_VALUE"""),"Hoylake")</f>
        <v>Hoylake</v>
      </c>
      <c r="H968" s="12">
        <f ca="1">IFERROR(__xludf.DUMMYFUNCTION("""COMPUTED_VALUE"""),41916)</f>
        <v>41916</v>
      </c>
      <c r="I968" s="12">
        <f ca="1">IFERROR(__xludf.DUMMYFUNCTION("""COMPUTED_VALUE"""),41916)</f>
        <v>41916</v>
      </c>
      <c r="J968" s="14" t="str">
        <f ca="1">IFERROR(__xludf.DUMMYFUNCTION("""COMPUTED_VALUE"""),"Turner, JE")</f>
        <v>Turner, JE</v>
      </c>
      <c r="K968" s="15" t="str">
        <f ca="1">IFERROR(__xludf.DUMMYFUNCTION("""COMPUTED_VALUE"""),"Turner, JE")</f>
        <v>Turner, JE</v>
      </c>
      <c r="L968" s="17" t="str">
        <f ca="1">IFERROR(__xludf.DUMMYFUNCTION("""COMPUTED_VALUE"""),"closed")</f>
        <v>closed</v>
      </c>
      <c r="M968" s="17" t="str">
        <f ca="1">IFERROR(__xludf.DUMMYFUNCTION("""COMPUTED_VALUE"""),"1st U")</f>
        <v>1st U</v>
      </c>
      <c r="N968" s="15" t="str">
        <f ca="1">IFERROR(__xludf.DUMMYFUNCTION("""COMPUTED_VALUE"""),"accepted")</f>
        <v>accepted</v>
      </c>
      <c r="O968" s="18"/>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c r="BK968" s="15"/>
      <c r="BL968" s="15"/>
      <c r="BM968" s="15"/>
      <c r="BN968" s="15"/>
      <c r="BO968" s="15"/>
      <c r="BP968" s="15"/>
      <c r="BQ968" s="15"/>
      <c r="BR968" s="15"/>
      <c r="BS968" s="15"/>
      <c r="BT968" s="15"/>
      <c r="BU968" s="15"/>
      <c r="BV968" s="15"/>
      <c r="BW968" s="15"/>
      <c r="BX968" s="15"/>
      <c r="BY968" s="15"/>
      <c r="BZ968" s="15"/>
      <c r="CA968" s="15"/>
      <c r="CB968" s="15"/>
    </row>
    <row r="969" spans="1:80" ht="12.75" hidden="1" customHeight="1">
      <c r="A969" s="20">
        <f ca="1">IFERROR(__xludf.DUMMYFUNCTION("""COMPUTED_VALUE"""),2014)</f>
        <v>2014</v>
      </c>
      <c r="B969" s="45">
        <f ca="1">IFERROR(__xludf.DUMMYFUNCTION("""COMPUTED_VALUE"""),42219)</f>
        <v>42219</v>
      </c>
      <c r="C969" s="46">
        <f ca="1">IFERROR(__xludf.DUMMYFUNCTION("""COMPUTED_VALUE"""),42269)</f>
        <v>42269</v>
      </c>
      <c r="D969" s="47" t="str">
        <f ca="1">IFERROR(__xludf.DUMMYFUNCTION("""COMPUTED_VALUE"""),"Green-winged Teal")</f>
        <v>Green-winged Teal</v>
      </c>
      <c r="E969" s="52">
        <f ca="1">IFERROR(__xludf.DUMMYFUNCTION("""COMPUTED_VALUE"""),1)</f>
        <v>1</v>
      </c>
      <c r="F969" s="25"/>
      <c r="G969" s="48" t="str">
        <f ca="1">IFERROR(__xludf.DUMMYFUNCTION("""COMPUTED_VALUE"""),"Neumann's Flash")</f>
        <v>Neumann's Flash</v>
      </c>
      <c r="H969" s="22">
        <f ca="1">IFERROR(__xludf.DUMMYFUNCTION("""COMPUTED_VALUE"""),41647)</f>
        <v>41647</v>
      </c>
      <c r="I969" s="22">
        <f ca="1">IFERROR(__xludf.DUMMYFUNCTION("""COMPUTED_VALUE"""),41647)</f>
        <v>41647</v>
      </c>
      <c r="J969" s="24" t="str">
        <f ca="1">IFERROR(__xludf.DUMMYFUNCTION("""COMPUTED_VALUE"""),"MR Miles")</f>
        <v>MR Miles</v>
      </c>
      <c r="K969" s="25"/>
      <c r="L969" s="27" t="str">
        <f ca="1">IFERROR(__xludf.DUMMYFUNCTION("""COMPUTED_VALUE"""),"closed")</f>
        <v>closed</v>
      </c>
      <c r="M969" s="27" t="str">
        <f ca="1">IFERROR(__xludf.DUMMYFUNCTION("""COMPUTED_VALUE"""),"1st U")</f>
        <v>1st U</v>
      </c>
      <c r="N969" s="25" t="str">
        <f ca="1">IFERROR(__xludf.DUMMYFUNCTION("""COMPUTED_VALUE"""),"accepted")</f>
        <v>accepted</v>
      </c>
      <c r="O969" s="28" t="str">
        <f ca="1">IFERROR(__xludf.DUMMYFUNCTION("""COMPUTED_VALUE"""),"Male")</f>
        <v>Male</v>
      </c>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c r="AQ969" s="25"/>
      <c r="AR969" s="25"/>
      <c r="AS969" s="25"/>
      <c r="AT969" s="25"/>
      <c r="AU969" s="25"/>
      <c r="AV969" s="25"/>
      <c r="AW969" s="25"/>
      <c r="AX969" s="25"/>
      <c r="AY969" s="25"/>
      <c r="AZ969" s="25"/>
      <c r="BA969" s="25"/>
      <c r="BB969" s="25"/>
      <c r="BC969" s="25"/>
      <c r="BD969" s="25"/>
      <c r="BE969" s="25"/>
      <c r="BF969" s="25"/>
      <c r="BG969" s="25"/>
      <c r="BH969" s="25"/>
      <c r="BI969" s="25"/>
      <c r="BJ969" s="25"/>
      <c r="BK969" s="25"/>
      <c r="BL969" s="25"/>
      <c r="BM969" s="25"/>
      <c r="BN969" s="25"/>
      <c r="BO969" s="25"/>
      <c r="BP969" s="25"/>
      <c r="BQ969" s="25"/>
      <c r="BR969" s="25"/>
      <c r="BS969" s="25"/>
      <c r="BT969" s="25"/>
      <c r="BU969" s="25"/>
      <c r="BV969" s="25"/>
      <c r="BW969" s="25"/>
      <c r="BX969" s="25"/>
      <c r="BY969" s="25"/>
      <c r="BZ969" s="25"/>
      <c r="CA969" s="25"/>
      <c r="CB969" s="25"/>
    </row>
    <row r="970" spans="1:80" ht="12.75" hidden="1" customHeight="1">
      <c r="A970" s="10">
        <f ca="1">IFERROR(__xludf.DUMMYFUNCTION("""COMPUTED_VALUE"""),2014)</f>
        <v>2014</v>
      </c>
      <c r="B970" s="50">
        <f ca="1">IFERROR(__xludf.DUMMYFUNCTION("""COMPUTED_VALUE"""),41877)</f>
        <v>41877</v>
      </c>
      <c r="C970" s="41">
        <f ca="1">IFERROR(__xludf.DUMMYFUNCTION("""COMPUTED_VALUE"""),42269)</f>
        <v>42269</v>
      </c>
      <c r="D970" s="42" t="str">
        <f ca="1">IFERROR(__xludf.DUMMYFUNCTION("""COMPUTED_VALUE"""),"Green-winged Teal")</f>
        <v>Green-winged Teal</v>
      </c>
      <c r="E970" s="53">
        <f ca="1">IFERROR(__xludf.DUMMYFUNCTION("""COMPUTED_VALUE"""),1)</f>
        <v>1</v>
      </c>
      <c r="F970" s="15" t="str">
        <f ca="1">IFERROR(__xludf.DUMMYFUNCTION("""COMPUTED_VALUE"""),"m")</f>
        <v>m</v>
      </c>
      <c r="G970" s="44" t="str">
        <f ca="1">IFERROR(__xludf.DUMMYFUNCTION("""COMPUTED_VALUE"""),"Neumann's Flash")</f>
        <v>Neumann's Flash</v>
      </c>
      <c r="H970" s="12">
        <f ca="1">IFERROR(__xludf.DUMMYFUNCTION("""COMPUTED_VALUE"""),41650)</f>
        <v>41650</v>
      </c>
      <c r="I970" s="12"/>
      <c r="J970" s="14" t="str">
        <f ca="1">IFERROR(__xludf.DUMMYFUNCTION("""COMPUTED_VALUE"""),"Langley, L")</f>
        <v>Langley, L</v>
      </c>
      <c r="K970" s="15" t="str">
        <f ca="1">IFERROR(__xludf.DUMMYFUNCTION("""COMPUTED_VALUE"""),"?")</f>
        <v>?</v>
      </c>
      <c r="L970" s="17" t="str">
        <f ca="1">IFERROR(__xludf.DUMMYFUNCTION("""COMPUTED_VALUE"""),"closed")</f>
        <v>closed</v>
      </c>
      <c r="M970" s="17" t="str">
        <f ca="1">IFERROR(__xludf.DUMMYFUNCTION("""COMPUTED_VALUE"""),"1st U")</f>
        <v>1st U</v>
      </c>
      <c r="N970" s="15" t="str">
        <f ca="1">IFERROR(__xludf.DUMMYFUNCTION("""COMPUTED_VALUE"""),"accepted")</f>
        <v>accepted</v>
      </c>
      <c r="O970" s="18"/>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c r="BK970" s="15"/>
      <c r="BL970" s="15"/>
      <c r="BM970" s="15"/>
      <c r="BN970" s="15"/>
      <c r="BO970" s="15"/>
      <c r="BP970" s="15"/>
      <c r="BQ970" s="15"/>
      <c r="BR970" s="15"/>
      <c r="BS970" s="15"/>
      <c r="BT970" s="15"/>
      <c r="BU970" s="15"/>
      <c r="BV970" s="15"/>
      <c r="BW970" s="15"/>
      <c r="BX970" s="15"/>
      <c r="BY970" s="15"/>
      <c r="BZ970" s="15"/>
      <c r="CA970" s="15"/>
      <c r="CB970" s="15"/>
    </row>
    <row r="971" spans="1:80" ht="12.75" hidden="1" customHeight="1">
      <c r="A971" s="20">
        <f ca="1">IFERROR(__xludf.DUMMYFUNCTION("""COMPUTED_VALUE"""),2014)</f>
        <v>2014</v>
      </c>
      <c r="B971" s="45">
        <f ca="1">IFERROR(__xludf.DUMMYFUNCTION("""COMPUTED_VALUE"""),43374)</f>
        <v>43374</v>
      </c>
      <c r="C971" s="46">
        <f ca="1">IFERROR(__xludf.DUMMYFUNCTION("""COMPUTED_VALUE"""),43180)</f>
        <v>43180</v>
      </c>
      <c r="D971" s="47" t="str">
        <f ca="1">IFERROR(__xludf.DUMMYFUNCTION("""COMPUTED_VALUE"""),"Green-winged Teal")</f>
        <v>Green-winged Teal</v>
      </c>
      <c r="E971" s="52">
        <f ca="1">IFERROR(__xludf.DUMMYFUNCTION("""COMPUTED_VALUE"""),1)</f>
        <v>1</v>
      </c>
      <c r="F971" s="25" t="str">
        <f ca="1">IFERROR(__xludf.DUMMYFUNCTION("""COMPUTED_VALUE"""),"m")</f>
        <v>m</v>
      </c>
      <c r="G971" s="48" t="str">
        <f ca="1">IFERROR(__xludf.DUMMYFUNCTION("""COMPUTED_VALUE"""),"Burton Mere Wetlands RSPB")</f>
        <v>Burton Mere Wetlands RSPB</v>
      </c>
      <c r="H971" s="22">
        <f ca="1">IFERROR(__xludf.DUMMYFUNCTION("""COMPUTED_VALUE"""),41710)</f>
        <v>41710</v>
      </c>
      <c r="I971" s="22"/>
      <c r="J971" s="24" t="str">
        <f ca="1">IFERROR(__xludf.DUMMYFUNCTION("""COMPUTED_VALUE"""),"Norman,D")</f>
        <v>Norman,D</v>
      </c>
      <c r="K971" s="25" t="str">
        <f ca="1">IFERROR(__xludf.DUMMYFUNCTION("""COMPUTED_VALUE"""),"?")</f>
        <v>?</v>
      </c>
      <c r="L971" s="27" t="str">
        <f ca="1">IFERROR(__xludf.DUMMYFUNCTION("""COMPUTED_VALUE"""),"closed")</f>
        <v>closed</v>
      </c>
      <c r="M971" s="27" t="str">
        <f ca="1">IFERROR(__xludf.DUMMYFUNCTION("""COMPUTED_VALUE"""),"1st U")</f>
        <v>1st U</v>
      </c>
      <c r="N971" s="25" t="str">
        <f ca="1">IFERROR(__xludf.DUMMYFUNCTION("""COMPUTED_VALUE"""),"accepted")</f>
        <v>accepted</v>
      </c>
      <c r="O971" s="28"/>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c r="AQ971" s="25"/>
      <c r="AR971" s="25"/>
      <c r="AS971" s="25"/>
      <c r="AT971" s="25"/>
      <c r="AU971" s="25"/>
      <c r="AV971" s="25"/>
      <c r="AW971" s="25"/>
      <c r="AX971" s="25"/>
      <c r="AY971" s="25"/>
      <c r="AZ971" s="25"/>
      <c r="BA971" s="25"/>
      <c r="BB971" s="25"/>
      <c r="BC971" s="25"/>
      <c r="BD971" s="25"/>
      <c r="BE971" s="25"/>
      <c r="BF971" s="25"/>
      <c r="BG971" s="25"/>
      <c r="BH971" s="25"/>
      <c r="BI971" s="25"/>
      <c r="BJ971" s="25"/>
      <c r="BK971" s="25"/>
      <c r="BL971" s="25"/>
      <c r="BM971" s="25"/>
      <c r="BN971" s="25"/>
      <c r="BO971" s="25"/>
      <c r="BP971" s="25"/>
      <c r="BQ971" s="25"/>
      <c r="BR971" s="25"/>
      <c r="BS971" s="25"/>
      <c r="BT971" s="25"/>
      <c r="BU971" s="25"/>
      <c r="BV971" s="25"/>
      <c r="BW971" s="25"/>
      <c r="BX971" s="25"/>
      <c r="BY971" s="25"/>
      <c r="BZ971" s="25"/>
      <c r="CA971" s="25"/>
      <c r="CB971" s="25"/>
    </row>
    <row r="972" spans="1:80" ht="12.75" hidden="1" customHeight="1">
      <c r="A972" s="10">
        <f ca="1">IFERROR(__xludf.DUMMYFUNCTION("""COMPUTED_VALUE"""),2014)</f>
        <v>2014</v>
      </c>
      <c r="B972" s="50">
        <f ca="1">IFERROR(__xludf.DUMMYFUNCTION("""COMPUTED_VALUE"""),42219)</f>
        <v>42219</v>
      </c>
      <c r="C972" s="41">
        <f ca="1">IFERROR(__xludf.DUMMYFUNCTION("""COMPUTED_VALUE"""),42320)</f>
        <v>42320</v>
      </c>
      <c r="D972" s="42" t="str">
        <f ca="1">IFERROR(__xludf.DUMMYFUNCTION("""COMPUTED_VALUE"""),"Green-winged Teal")</f>
        <v>Green-winged Teal</v>
      </c>
      <c r="E972" s="53">
        <f ca="1">IFERROR(__xludf.DUMMYFUNCTION("""COMPUTED_VALUE"""),1)</f>
        <v>1</v>
      </c>
      <c r="F972" s="15"/>
      <c r="G972" s="44" t="str">
        <f ca="1">IFERROR(__xludf.DUMMYFUNCTION("""COMPUTED_VALUE"""),"Hoylake, Stanley Rd")</f>
        <v>Hoylake, Stanley Rd</v>
      </c>
      <c r="H972" s="12">
        <f ca="1">IFERROR(__xludf.DUMMYFUNCTION("""COMPUTED_VALUE"""),41733)</f>
        <v>41733</v>
      </c>
      <c r="I972" s="12">
        <f ca="1">IFERROR(__xludf.DUMMYFUNCTION("""COMPUTED_VALUE"""),41733)</f>
        <v>41733</v>
      </c>
      <c r="J972" s="14" t="str">
        <f ca="1">IFERROR(__xludf.DUMMYFUNCTION("""COMPUTED_VALUE"""),"Williams, SR")</f>
        <v>Williams, SR</v>
      </c>
      <c r="K972" s="15" t="str">
        <f ca="1">IFERROR(__xludf.DUMMYFUNCTION("""COMPUTED_VALUE"""),"Williams, SR")</f>
        <v>Williams, SR</v>
      </c>
      <c r="L972" s="17" t="str">
        <f ca="1">IFERROR(__xludf.DUMMYFUNCTION("""COMPUTED_VALUE"""),"closed")</f>
        <v>closed</v>
      </c>
      <c r="M972" s="17" t="str">
        <f ca="1">IFERROR(__xludf.DUMMYFUNCTION("""COMPUTED_VALUE"""),"1st U")</f>
        <v>1st U</v>
      </c>
      <c r="N972" s="15" t="str">
        <f ca="1">IFERROR(__xludf.DUMMYFUNCTION("""COMPUTED_VALUE"""),"accepted")</f>
        <v>accepted</v>
      </c>
      <c r="O972" s="18" t="str">
        <f ca="1">IFERROR(__xludf.DUMMYFUNCTION("""COMPUTED_VALUE"""),"1 m (on sea) SRW et al")</f>
        <v>1 m (on sea) SRW et al</v>
      </c>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c r="BK972" s="15"/>
      <c r="BL972" s="15"/>
      <c r="BM972" s="15"/>
      <c r="BN972" s="15"/>
      <c r="BO972" s="15"/>
      <c r="BP972" s="15"/>
      <c r="BQ972" s="15"/>
      <c r="BR972" s="15"/>
      <c r="BS972" s="15"/>
      <c r="BT972" s="15"/>
      <c r="BU972" s="15"/>
      <c r="BV972" s="15"/>
      <c r="BW972" s="15"/>
      <c r="BX972" s="15"/>
      <c r="BY972" s="15"/>
      <c r="BZ972" s="15"/>
      <c r="CA972" s="15"/>
      <c r="CB972" s="15"/>
    </row>
    <row r="973" spans="1:80" ht="12.75" hidden="1" customHeight="1">
      <c r="A973" s="20">
        <f ca="1">IFERROR(__xludf.DUMMYFUNCTION("""COMPUTED_VALUE"""),2014)</f>
        <v>2014</v>
      </c>
      <c r="B973" s="45">
        <f ca="1">IFERROR(__xludf.DUMMYFUNCTION("""COMPUTED_VALUE"""),42219)</f>
        <v>42219</v>
      </c>
      <c r="C973" s="46">
        <f ca="1">IFERROR(__xludf.DUMMYFUNCTION("""COMPUTED_VALUE"""),42308)</f>
        <v>42308</v>
      </c>
      <c r="D973" s="47" t="str">
        <f ca="1">IFERROR(__xludf.DUMMYFUNCTION("""COMPUTED_VALUE"""),"Common Redpoll")</f>
        <v>Common Redpoll</v>
      </c>
      <c r="E973" s="52">
        <f ca="1">IFERROR(__xludf.DUMMYFUNCTION("""COMPUTED_VALUE"""),1)</f>
        <v>1</v>
      </c>
      <c r="F973" s="25"/>
      <c r="G973" s="48" t="str">
        <f ca="1">IFERROR(__xludf.DUMMYFUNCTION("""COMPUTED_VALUE"""),"Knutsford, Higher Downs")</f>
        <v>Knutsford, Higher Downs</v>
      </c>
      <c r="H973" s="22">
        <f ca="1">IFERROR(__xludf.DUMMYFUNCTION("""COMPUTED_VALUE"""),41644)</f>
        <v>41644</v>
      </c>
      <c r="I973" s="22">
        <f ca="1">IFERROR(__xludf.DUMMYFUNCTION("""COMPUTED_VALUE"""),41644)</f>
        <v>41644</v>
      </c>
      <c r="J973" s="24" t="str">
        <f ca="1">IFERROR(__xludf.DUMMYFUNCTION("""COMPUTED_VALUE"""),"Collins, Steve")</f>
        <v>Collins, Steve</v>
      </c>
      <c r="K973" s="25" t="str">
        <f ca="1">IFERROR(__xludf.DUMMYFUNCTION("""COMPUTED_VALUE"""),"Collins, Steve")</f>
        <v>Collins, Steve</v>
      </c>
      <c r="L973" s="27" t="str">
        <f ca="1">IFERROR(__xludf.DUMMYFUNCTION("""COMPUTED_VALUE"""),"closed")</f>
        <v>closed</v>
      </c>
      <c r="M973" s="27" t="str">
        <f ca="1">IFERROR(__xludf.DUMMYFUNCTION("""COMPUTED_VALUE"""),"1st U")</f>
        <v>1st U</v>
      </c>
      <c r="N973" s="25" t="str">
        <f ca="1">IFERROR(__xludf.DUMMYFUNCTION("""COMPUTED_VALUE"""),"accepted")</f>
        <v>accepted</v>
      </c>
      <c r="O973" s="28"/>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c r="AQ973" s="25"/>
      <c r="AR973" s="25"/>
      <c r="AS973" s="25"/>
      <c r="AT973" s="25"/>
      <c r="AU973" s="25"/>
      <c r="AV973" s="25"/>
      <c r="AW973" s="25"/>
      <c r="AX973" s="25"/>
      <c r="AY973" s="25"/>
      <c r="AZ973" s="25"/>
      <c r="BA973" s="25"/>
      <c r="BB973" s="25"/>
      <c r="BC973" s="25"/>
      <c r="BD973" s="25"/>
      <c r="BE973" s="25"/>
      <c r="BF973" s="25"/>
      <c r="BG973" s="25"/>
      <c r="BH973" s="25"/>
      <c r="BI973" s="25"/>
      <c r="BJ973" s="25"/>
      <c r="BK973" s="25"/>
      <c r="BL973" s="25"/>
      <c r="BM973" s="25"/>
      <c r="BN973" s="25"/>
      <c r="BO973" s="25"/>
      <c r="BP973" s="25"/>
      <c r="BQ973" s="25"/>
      <c r="BR973" s="25"/>
      <c r="BS973" s="25"/>
      <c r="BT973" s="25"/>
      <c r="BU973" s="25"/>
      <c r="BV973" s="25"/>
      <c r="BW973" s="25"/>
      <c r="BX973" s="25"/>
      <c r="BY973" s="25"/>
      <c r="BZ973" s="25"/>
      <c r="CA973" s="25"/>
      <c r="CB973" s="25"/>
    </row>
    <row r="974" spans="1:80" ht="12.75" hidden="1" customHeight="1">
      <c r="A974" s="10">
        <f ca="1">IFERROR(__xludf.DUMMYFUNCTION("""COMPUTED_VALUE"""),2014)</f>
        <v>2014</v>
      </c>
      <c r="B974" s="50">
        <f ca="1">IFERROR(__xludf.DUMMYFUNCTION("""COMPUTED_VALUE"""),41905)</f>
        <v>41905</v>
      </c>
      <c r="C974" s="41">
        <f ca="1">IFERROR(__xludf.DUMMYFUNCTION("""COMPUTED_VALUE"""),42310)</f>
        <v>42310</v>
      </c>
      <c r="D974" s="42" t="str">
        <f ca="1">IFERROR(__xludf.DUMMYFUNCTION("""COMPUTED_VALUE"""),"Common Redpoll")</f>
        <v>Common Redpoll</v>
      </c>
      <c r="E974" s="53">
        <f ca="1">IFERROR(__xludf.DUMMYFUNCTION("""COMPUTED_VALUE"""),1)</f>
        <v>1</v>
      </c>
      <c r="F974" s="15"/>
      <c r="G974" s="44" t="str">
        <f ca="1">IFERROR(__xludf.DUMMYFUNCTION("""COMPUTED_VALUE"""),"Backford Cross")</f>
        <v>Backford Cross</v>
      </c>
      <c r="H974" s="12">
        <f ca="1">IFERROR(__xludf.DUMMYFUNCTION("""COMPUTED_VALUE"""),41662)</f>
        <v>41662</v>
      </c>
      <c r="I974" s="12">
        <f ca="1">IFERROR(__xludf.DUMMYFUNCTION("""COMPUTED_VALUE"""),41685)</f>
        <v>41685</v>
      </c>
      <c r="J974" s="14" t="str">
        <f ca="1">IFERROR(__xludf.DUMMYFUNCTION("""COMPUTED_VALUE"""),"Woollen, P")</f>
        <v>Woollen, P</v>
      </c>
      <c r="K974" s="15" t="str">
        <f ca="1">IFERROR(__xludf.DUMMYFUNCTION("""COMPUTED_VALUE"""),"&amp; SR Williams")</f>
        <v>&amp; SR Williams</v>
      </c>
      <c r="L974" s="17" t="str">
        <f ca="1">IFERROR(__xludf.DUMMYFUNCTION("""COMPUTED_VALUE"""),"closed")</f>
        <v>closed</v>
      </c>
      <c r="M974" s="17" t="str">
        <f ca="1">IFERROR(__xludf.DUMMYFUNCTION("""COMPUTED_VALUE"""),"1st U")</f>
        <v>1st U</v>
      </c>
      <c r="N974" s="15" t="str">
        <f ca="1">IFERROR(__xludf.DUMMYFUNCTION("""COMPUTED_VALUE"""),"accepted")</f>
        <v>accepted</v>
      </c>
      <c r="O974" s="18"/>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c r="BK974" s="15"/>
      <c r="BL974" s="15"/>
      <c r="BM974" s="15"/>
      <c r="BN974" s="15"/>
      <c r="BO974" s="15"/>
      <c r="BP974" s="15"/>
      <c r="BQ974" s="15"/>
      <c r="BR974" s="15"/>
      <c r="BS974" s="15"/>
      <c r="BT974" s="15"/>
      <c r="BU974" s="15"/>
      <c r="BV974" s="15"/>
      <c r="BW974" s="15"/>
      <c r="BX974" s="15"/>
      <c r="BY974" s="15"/>
      <c r="BZ974" s="15"/>
      <c r="CA974" s="15"/>
      <c r="CB974" s="15"/>
    </row>
    <row r="975" spans="1:80" ht="12.75" hidden="1" customHeight="1">
      <c r="A975" s="20">
        <f ca="1">IFERROR(__xludf.DUMMYFUNCTION("""COMPUTED_VALUE"""),2014)</f>
        <v>2014</v>
      </c>
      <c r="B975" s="45">
        <f ca="1">IFERROR(__xludf.DUMMYFUNCTION("""COMPUTED_VALUE"""),42250)</f>
        <v>42250</v>
      </c>
      <c r="C975" s="46">
        <f ca="1">IFERROR(__xludf.DUMMYFUNCTION("""COMPUTED_VALUE"""),42310)</f>
        <v>42310</v>
      </c>
      <c r="D975" s="47" t="str">
        <f ca="1">IFERROR(__xludf.DUMMYFUNCTION("""COMPUTED_VALUE"""),"Common Redpoll")</f>
        <v>Common Redpoll</v>
      </c>
      <c r="E975" s="52">
        <f ca="1">IFERROR(__xludf.DUMMYFUNCTION("""COMPUTED_VALUE"""),12)</f>
        <v>12</v>
      </c>
      <c r="F975" s="25" t="str">
        <f ca="1">IFERROR(__xludf.DUMMYFUNCTION("""COMPUTED_VALUE"""),"various")</f>
        <v>various</v>
      </c>
      <c r="G975" s="48" t="str">
        <f ca="1">IFERROR(__xludf.DUMMYFUNCTION("""COMPUTED_VALUE"""),"Broken Cross, Macclesfield")</f>
        <v>Broken Cross, Macclesfield</v>
      </c>
      <c r="H975" s="22">
        <f ca="1">IFERROR(__xludf.DUMMYFUNCTION("""COMPUTED_VALUE"""),41671)</f>
        <v>41671</v>
      </c>
      <c r="I975" s="22">
        <f ca="1">IFERROR(__xludf.DUMMYFUNCTION("""COMPUTED_VALUE"""),41728)</f>
        <v>41728</v>
      </c>
      <c r="J975" s="24" t="str">
        <f ca="1">IFERROR(__xludf.DUMMYFUNCTION("""COMPUTED_VALUE"""),"Adshead, J")</f>
        <v>Adshead, J</v>
      </c>
      <c r="K975" s="25" t="str">
        <f ca="1">IFERROR(__xludf.DUMMYFUNCTION("""COMPUTED_VALUE"""),"Adshead, J")</f>
        <v>Adshead, J</v>
      </c>
      <c r="L975" s="27" t="str">
        <f ca="1">IFERROR(__xludf.DUMMYFUNCTION("""COMPUTED_VALUE"""),"closed")</f>
        <v>closed</v>
      </c>
      <c r="M975" s="27" t="str">
        <f ca="1">IFERROR(__xludf.DUMMYFUNCTION("""COMPUTED_VALUE"""),"1st U")</f>
        <v>1st U</v>
      </c>
      <c r="N975" s="25" t="str">
        <f ca="1">IFERROR(__xludf.DUMMYFUNCTION("""COMPUTED_VALUE"""),"accepted")</f>
        <v>accepted</v>
      </c>
      <c r="O975" s="28"/>
      <c r="P975" s="25"/>
      <c r="Q975" s="40"/>
      <c r="R975" s="40"/>
      <c r="S975" s="25"/>
      <c r="T975" s="25"/>
      <c r="U975" s="25"/>
      <c r="V975" s="25"/>
      <c r="W975" s="25"/>
      <c r="X975" s="25"/>
      <c r="Y975" s="25"/>
      <c r="Z975" s="25"/>
      <c r="AA975" s="25"/>
      <c r="AB975" s="25"/>
      <c r="AC975" s="25"/>
      <c r="AD975" s="25"/>
      <c r="AE975" s="25"/>
      <c r="AF975" s="25"/>
      <c r="AG975" s="25"/>
      <c r="AH975" s="25"/>
      <c r="AI975" s="25"/>
      <c r="AJ975" s="25"/>
      <c r="AK975" s="25"/>
      <c r="AL975" s="25"/>
      <c r="AM975" s="25"/>
      <c r="AN975" s="25"/>
      <c r="AO975" s="25"/>
      <c r="AP975" s="25"/>
      <c r="AQ975" s="25"/>
      <c r="AR975" s="25"/>
      <c r="AS975" s="25"/>
      <c r="AT975" s="25"/>
      <c r="AU975" s="25"/>
      <c r="AV975" s="25"/>
      <c r="AW975" s="25"/>
      <c r="AX975" s="25"/>
      <c r="AY975" s="25"/>
      <c r="AZ975" s="25"/>
      <c r="BA975" s="25"/>
      <c r="BB975" s="25"/>
      <c r="BC975" s="25"/>
      <c r="BD975" s="25"/>
      <c r="BE975" s="25"/>
      <c r="BF975" s="25"/>
      <c r="BG975" s="25"/>
      <c r="BH975" s="25"/>
      <c r="BI975" s="25"/>
      <c r="BJ975" s="25"/>
      <c r="BK975" s="25"/>
      <c r="BL975" s="25"/>
      <c r="BM975" s="25"/>
      <c r="BN975" s="25"/>
      <c r="BO975" s="25"/>
      <c r="BP975" s="25"/>
      <c r="BQ975" s="25"/>
      <c r="BR975" s="25"/>
      <c r="BS975" s="25"/>
      <c r="BT975" s="25"/>
      <c r="BU975" s="25"/>
      <c r="BV975" s="25"/>
      <c r="BW975" s="25"/>
      <c r="BX975" s="25"/>
      <c r="BY975" s="25"/>
      <c r="BZ975" s="25"/>
      <c r="CA975" s="25"/>
      <c r="CB975" s="25"/>
    </row>
    <row r="976" spans="1:80" ht="12.75" hidden="1" customHeight="1">
      <c r="A976" s="10">
        <f ca="1">IFERROR(__xludf.DUMMYFUNCTION("""COMPUTED_VALUE"""),2014)</f>
        <v>2014</v>
      </c>
      <c r="B976" s="50">
        <f ca="1">IFERROR(__xludf.DUMMYFUNCTION("""COMPUTED_VALUE"""),41905)</f>
        <v>41905</v>
      </c>
      <c r="C976" s="41">
        <f ca="1">IFERROR(__xludf.DUMMYFUNCTION("""COMPUTED_VALUE"""),42310)</f>
        <v>42310</v>
      </c>
      <c r="D976" s="42" t="str">
        <f ca="1">IFERROR(__xludf.DUMMYFUNCTION("""COMPUTED_VALUE"""),"Common Redpoll")</f>
        <v>Common Redpoll</v>
      </c>
      <c r="E976" s="53">
        <f ca="1">IFERROR(__xludf.DUMMYFUNCTION("""COMPUTED_VALUE"""),2)</f>
        <v>2</v>
      </c>
      <c r="F976" s="15" t="str">
        <f ca="1">IFERROR(__xludf.DUMMYFUNCTION("""COMPUTED_VALUE"""),"Adult")</f>
        <v>Adult</v>
      </c>
      <c r="G976" s="44" t="str">
        <f ca="1">IFERROR(__xludf.DUMMYFUNCTION("""COMPUTED_VALUE"""),"Macclesfield Canal, NNW of Pott Shrigley")</f>
        <v>Macclesfield Canal, NNW of Pott Shrigley</v>
      </c>
      <c r="H976" s="12">
        <f ca="1">IFERROR(__xludf.DUMMYFUNCTION("""COMPUTED_VALUE"""),41671)</f>
        <v>41671</v>
      </c>
      <c r="I976" s="12">
        <f ca="1">IFERROR(__xludf.DUMMYFUNCTION("""COMPUTED_VALUE"""),41673)</f>
        <v>41673</v>
      </c>
      <c r="J976" s="14" t="str">
        <f ca="1">IFERROR(__xludf.DUMMYFUNCTION("""COMPUTED_VALUE"""),"Adshead, J")</f>
        <v>Adshead, J</v>
      </c>
      <c r="K976" s="15" t="str">
        <f ca="1">IFERROR(__xludf.DUMMYFUNCTION("""COMPUTED_VALUE"""),"Adshead, J")</f>
        <v>Adshead, J</v>
      </c>
      <c r="L976" s="17" t="str">
        <f ca="1">IFERROR(__xludf.DUMMYFUNCTION("""COMPUTED_VALUE"""),"closed")</f>
        <v>closed</v>
      </c>
      <c r="M976" s="17" t="str">
        <f ca="1">IFERROR(__xludf.DUMMYFUNCTION("""COMPUTED_VALUE"""),"1st U")</f>
        <v>1st U</v>
      </c>
      <c r="N976" s="15" t="str">
        <f ca="1">IFERROR(__xludf.DUMMYFUNCTION("""COMPUTED_VALUE"""),"accepted")</f>
        <v>accepted</v>
      </c>
      <c r="O976" s="18"/>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c r="BK976" s="15"/>
      <c r="BL976" s="15"/>
      <c r="BM976" s="15"/>
      <c r="BN976" s="15"/>
      <c r="BO976" s="15"/>
      <c r="BP976" s="15"/>
      <c r="BQ976" s="15"/>
      <c r="BR976" s="15"/>
      <c r="BS976" s="15"/>
      <c r="BT976" s="15"/>
      <c r="BU976" s="15"/>
      <c r="BV976" s="15"/>
      <c r="BW976" s="15"/>
      <c r="BX976" s="15"/>
      <c r="BY976" s="15"/>
      <c r="BZ976" s="15"/>
      <c r="CA976" s="15"/>
      <c r="CB976" s="15"/>
    </row>
    <row r="977" spans="1:80" ht="12.75" hidden="1" customHeight="1">
      <c r="A977" s="20">
        <f ca="1">IFERROR(__xludf.DUMMYFUNCTION("""COMPUTED_VALUE"""),2014)</f>
        <v>2014</v>
      </c>
      <c r="B977" s="45">
        <f ca="1">IFERROR(__xludf.DUMMYFUNCTION("""COMPUTED_VALUE"""),41904)</f>
        <v>41904</v>
      </c>
      <c r="C977" s="46">
        <f ca="1">IFERROR(__xludf.DUMMYFUNCTION("""COMPUTED_VALUE"""),42310)</f>
        <v>42310</v>
      </c>
      <c r="D977" s="47" t="str">
        <f ca="1">IFERROR(__xludf.DUMMYFUNCTION("""COMPUTED_VALUE"""),"Common Redpoll")</f>
        <v>Common Redpoll</v>
      </c>
      <c r="E977" s="52">
        <f ca="1">IFERROR(__xludf.DUMMYFUNCTION("""COMPUTED_VALUE"""),1)</f>
        <v>1</v>
      </c>
      <c r="F977" s="25" t="str">
        <f ca="1">IFERROR(__xludf.DUMMYFUNCTION("""COMPUTED_VALUE"""),"1stw male")</f>
        <v>1stw male</v>
      </c>
      <c r="G977" s="48" t="str">
        <f ca="1">IFERROR(__xludf.DUMMYFUNCTION("""COMPUTED_VALUE"""),"Wilmslow")</f>
        <v>Wilmslow</v>
      </c>
      <c r="H977" s="22">
        <f ca="1">IFERROR(__xludf.DUMMYFUNCTION("""COMPUTED_VALUE"""),41672)</f>
        <v>41672</v>
      </c>
      <c r="I977" s="22"/>
      <c r="J977" s="24" t="str">
        <f ca="1">IFERROR(__xludf.DUMMYFUNCTION("""COMPUTED_VALUE"""),"Richards, C")</f>
        <v>Richards, C</v>
      </c>
      <c r="K977" s="25" t="str">
        <f ca="1">IFERROR(__xludf.DUMMYFUNCTION("""COMPUTED_VALUE"""),"Richards, C")</f>
        <v>Richards, C</v>
      </c>
      <c r="L977" s="27" t="str">
        <f ca="1">IFERROR(__xludf.DUMMYFUNCTION("""COMPUTED_VALUE"""),"closed")</f>
        <v>closed</v>
      </c>
      <c r="M977" s="27" t="str">
        <f ca="1">IFERROR(__xludf.DUMMYFUNCTION("""COMPUTED_VALUE"""),"1st U")</f>
        <v>1st U</v>
      </c>
      <c r="N977" s="25" t="str">
        <f ca="1">IFERROR(__xludf.DUMMYFUNCTION("""COMPUTED_VALUE"""),"accepted")</f>
        <v>accepted</v>
      </c>
      <c r="O977" s="28" t="str">
        <f ca="1">IFERROR(__xludf.DUMMYFUNCTION("""COMPUTED_VALUE"""),"trapped ")</f>
        <v xml:space="preserve">trapped </v>
      </c>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5"/>
      <c r="AQ977" s="25"/>
      <c r="AR977" s="25"/>
      <c r="AS977" s="25"/>
      <c r="AT977" s="25"/>
      <c r="AU977" s="25"/>
      <c r="AV977" s="25"/>
      <c r="AW977" s="25"/>
      <c r="AX977" s="25"/>
      <c r="AY977" s="25"/>
      <c r="AZ977" s="25"/>
      <c r="BA977" s="25"/>
      <c r="BB977" s="25"/>
      <c r="BC977" s="25"/>
      <c r="BD977" s="25"/>
      <c r="BE977" s="25"/>
      <c r="BF977" s="25"/>
      <c r="BG977" s="25"/>
      <c r="BH977" s="25"/>
      <c r="BI977" s="25"/>
      <c r="BJ977" s="25"/>
      <c r="BK977" s="25"/>
      <c r="BL977" s="25"/>
      <c r="BM977" s="25"/>
      <c r="BN977" s="25"/>
      <c r="BO977" s="25"/>
      <c r="BP977" s="25"/>
      <c r="BQ977" s="25"/>
      <c r="BR977" s="25"/>
      <c r="BS977" s="25"/>
      <c r="BT977" s="25"/>
      <c r="BU977" s="25"/>
      <c r="BV977" s="25"/>
      <c r="BW977" s="25"/>
      <c r="BX977" s="25"/>
      <c r="BY977" s="25"/>
      <c r="BZ977" s="25"/>
      <c r="CA977" s="25"/>
      <c r="CB977" s="25"/>
    </row>
    <row r="978" spans="1:80" ht="12.75" hidden="1" customHeight="1">
      <c r="A978" s="10">
        <f ca="1">IFERROR(__xludf.DUMMYFUNCTION("""COMPUTED_VALUE"""),2014)</f>
        <v>2014</v>
      </c>
      <c r="B978" s="50">
        <f ca="1">IFERROR(__xludf.DUMMYFUNCTION("""COMPUTED_VALUE"""),42219)</f>
        <v>42219</v>
      </c>
      <c r="C978" s="41">
        <f ca="1">IFERROR(__xludf.DUMMYFUNCTION("""COMPUTED_VALUE"""),42308)</f>
        <v>42308</v>
      </c>
      <c r="D978" s="42" t="str">
        <f ca="1">IFERROR(__xludf.DUMMYFUNCTION("""COMPUTED_VALUE"""),"Common Redpoll")</f>
        <v>Common Redpoll</v>
      </c>
      <c r="E978" s="53">
        <f ca="1">IFERROR(__xludf.DUMMYFUNCTION("""COMPUTED_VALUE"""),1)</f>
        <v>1</v>
      </c>
      <c r="F978" s="15"/>
      <c r="G978" s="44" t="str">
        <f ca="1">IFERROR(__xludf.DUMMYFUNCTION("""COMPUTED_VALUE"""),"Sandiway")</f>
        <v>Sandiway</v>
      </c>
      <c r="H978" s="12">
        <f ca="1">IFERROR(__xludf.DUMMYFUNCTION("""COMPUTED_VALUE"""),41699)</f>
        <v>41699</v>
      </c>
      <c r="I978" s="12">
        <f ca="1">IFERROR(__xludf.DUMMYFUNCTION("""COMPUTED_VALUE"""),41699)</f>
        <v>41699</v>
      </c>
      <c r="J978" s="14" t="str">
        <f ca="1">IFERROR(__xludf.DUMMYFUNCTION("""COMPUTED_VALUE"""),"Garner, AJ")</f>
        <v>Garner, AJ</v>
      </c>
      <c r="K978" s="15"/>
      <c r="L978" s="17" t="str">
        <f ca="1">IFERROR(__xludf.DUMMYFUNCTION("""COMPUTED_VALUE"""),"closed")</f>
        <v>closed</v>
      </c>
      <c r="M978" s="17" t="str">
        <f ca="1">IFERROR(__xludf.DUMMYFUNCTION("""COMPUTED_VALUE"""),"1st U")</f>
        <v>1st U</v>
      </c>
      <c r="N978" s="15" t="str">
        <f ca="1">IFERROR(__xludf.DUMMYFUNCTION("""COMPUTED_VALUE"""),"accepted")</f>
        <v>accepted</v>
      </c>
      <c r="O978" s="18" t="str">
        <f ca="1">IFERROR(__xludf.DUMMYFUNCTION("""COMPUTED_VALUE"""),"Caught and ringed. Adult female")</f>
        <v>Caught and ringed. Adult female</v>
      </c>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c r="BK978" s="15"/>
      <c r="BL978" s="15"/>
      <c r="BM978" s="15"/>
      <c r="BN978" s="15"/>
      <c r="BO978" s="15"/>
      <c r="BP978" s="15"/>
      <c r="BQ978" s="15"/>
      <c r="BR978" s="15"/>
      <c r="BS978" s="15"/>
      <c r="BT978" s="15"/>
      <c r="BU978" s="15"/>
      <c r="BV978" s="15"/>
      <c r="BW978" s="15"/>
      <c r="BX978" s="15"/>
      <c r="BY978" s="15"/>
      <c r="BZ978" s="15"/>
      <c r="CA978" s="15"/>
      <c r="CB978" s="15"/>
    </row>
    <row r="979" spans="1:80" ht="12.75" hidden="1" customHeight="1">
      <c r="A979" s="20">
        <f ca="1">IFERROR(__xludf.DUMMYFUNCTION("""COMPUTED_VALUE"""),2014)</f>
        <v>2014</v>
      </c>
      <c r="B979" s="45">
        <f ca="1">IFERROR(__xludf.DUMMYFUNCTION("""COMPUTED_VALUE"""),42219)</f>
        <v>42219</v>
      </c>
      <c r="C979" s="46"/>
      <c r="D979" s="47" t="str">
        <f ca="1">IFERROR(__xludf.DUMMYFUNCTION("""COMPUTED_VALUE"""),"Common Redpoll")</f>
        <v>Common Redpoll</v>
      </c>
      <c r="E979" s="52">
        <f ca="1">IFERROR(__xludf.DUMMYFUNCTION("""COMPUTED_VALUE"""),1)</f>
        <v>1</v>
      </c>
      <c r="F979" s="25"/>
      <c r="G979" s="48" t="str">
        <f ca="1">IFERROR(__xludf.DUMMYFUNCTION("""COMPUTED_VALUE"""),"Sandbach")</f>
        <v>Sandbach</v>
      </c>
      <c r="H979" s="22">
        <f ca="1">IFERROR(__xludf.DUMMYFUNCTION("""COMPUTED_VALUE"""),41700)</f>
        <v>41700</v>
      </c>
      <c r="I979" s="22">
        <f ca="1">IFERROR(__xludf.DUMMYFUNCTION("""COMPUTED_VALUE"""),41700)</f>
        <v>41700</v>
      </c>
      <c r="J979" s="24" t="str">
        <f ca="1">IFERROR(__xludf.DUMMYFUNCTION("""COMPUTED_VALUE"""),"Howells, R")</f>
        <v>Howells, R</v>
      </c>
      <c r="K979" s="25" t="str">
        <f ca="1">IFERROR(__xludf.DUMMYFUNCTION("""COMPUTED_VALUE"""),"Howells, R")</f>
        <v>Howells, R</v>
      </c>
      <c r="L979" s="27" t="str">
        <f ca="1">IFERROR(__xludf.DUMMYFUNCTION("""COMPUTED_VALUE"""),"closed")</f>
        <v>closed</v>
      </c>
      <c r="M979" s="27" t="str">
        <f ca="1">IFERROR(__xludf.DUMMYFUNCTION("""COMPUTED_VALUE"""),"1st U")</f>
        <v>1st U</v>
      </c>
      <c r="N979" s="25" t="str">
        <f ca="1">IFERROR(__xludf.DUMMYFUNCTION("""COMPUTED_VALUE"""),"accepted")</f>
        <v>accepted</v>
      </c>
      <c r="O979" s="28"/>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c r="AM979" s="25"/>
      <c r="AN979" s="25"/>
      <c r="AO979" s="25"/>
      <c r="AP979" s="25"/>
      <c r="AQ979" s="25"/>
      <c r="AR979" s="25"/>
      <c r="AS979" s="25"/>
      <c r="AT979" s="25"/>
      <c r="AU979" s="25"/>
      <c r="AV979" s="25"/>
      <c r="AW979" s="25"/>
      <c r="AX979" s="25"/>
      <c r="AY979" s="25"/>
      <c r="AZ979" s="25"/>
      <c r="BA979" s="25"/>
      <c r="BB979" s="25"/>
      <c r="BC979" s="25"/>
      <c r="BD979" s="25"/>
      <c r="BE979" s="25"/>
      <c r="BF979" s="25"/>
      <c r="BG979" s="25"/>
      <c r="BH979" s="25"/>
      <c r="BI979" s="25"/>
      <c r="BJ979" s="25"/>
      <c r="BK979" s="25"/>
      <c r="BL979" s="25"/>
      <c r="BM979" s="25"/>
      <c r="BN979" s="25"/>
      <c r="BO979" s="25"/>
      <c r="BP979" s="25"/>
      <c r="BQ979" s="25"/>
      <c r="BR979" s="25"/>
      <c r="BS979" s="25"/>
      <c r="BT979" s="25"/>
      <c r="BU979" s="25"/>
      <c r="BV979" s="25"/>
      <c r="BW979" s="25"/>
      <c r="BX979" s="25"/>
      <c r="BY979" s="25"/>
      <c r="BZ979" s="25"/>
      <c r="CA979" s="25"/>
      <c r="CB979" s="25"/>
    </row>
    <row r="980" spans="1:80" ht="12.75" hidden="1" customHeight="1">
      <c r="A980" s="10">
        <f ca="1">IFERROR(__xludf.DUMMYFUNCTION("""COMPUTED_VALUE"""),2014)</f>
        <v>2014</v>
      </c>
      <c r="B980" s="50">
        <f ca="1">IFERROR(__xludf.DUMMYFUNCTION("""COMPUTED_VALUE"""),42219)</f>
        <v>42219</v>
      </c>
      <c r="C980" s="41">
        <f ca="1">IFERROR(__xludf.DUMMYFUNCTION("""COMPUTED_VALUE"""),42324)</f>
        <v>42324</v>
      </c>
      <c r="D980" s="42" t="str">
        <f ca="1">IFERROR(__xludf.DUMMYFUNCTION("""COMPUTED_VALUE"""),"Nightjar")</f>
        <v>Nightjar</v>
      </c>
      <c r="E980" s="53">
        <f ca="1">IFERROR(__xludf.DUMMYFUNCTION("""COMPUTED_VALUE"""),2)</f>
        <v>2</v>
      </c>
      <c r="F980" s="15"/>
      <c r="G980" s="44" t="str">
        <f ca="1">IFERROR(__xludf.DUMMYFUNCTION("""COMPUTED_VALUE"""),"Primrose Hill, Delamere")</f>
        <v>Primrose Hill, Delamere</v>
      </c>
      <c r="H980" s="12">
        <f ca="1">IFERROR(__xludf.DUMMYFUNCTION("""COMPUTED_VALUE"""),41798)</f>
        <v>41798</v>
      </c>
      <c r="I980" s="12">
        <f ca="1">IFERROR(__xludf.DUMMYFUNCTION("""COMPUTED_VALUE"""),41798)</f>
        <v>41798</v>
      </c>
      <c r="J980" s="14" t="str">
        <f ca="1">IFERROR(__xludf.DUMMYFUNCTION("""COMPUTED_VALUE"""),"F Duff")</f>
        <v>F Duff</v>
      </c>
      <c r="K980" s="15" t="str">
        <f ca="1">IFERROR(__xludf.DUMMYFUNCTION("""COMPUTED_VALUE"""),"F Duff")</f>
        <v>F Duff</v>
      </c>
      <c r="L980" s="17" t="str">
        <f ca="1">IFERROR(__xludf.DUMMYFUNCTION("""COMPUTED_VALUE"""),"closed")</f>
        <v>closed</v>
      </c>
      <c r="M980" s="17" t="str">
        <f ca="1">IFERROR(__xludf.DUMMYFUNCTION("""COMPUTED_VALUE"""),"1st U")</f>
        <v>1st U</v>
      </c>
      <c r="N980" s="15" t="str">
        <f ca="1">IFERROR(__xludf.DUMMYFUNCTION("""COMPUTED_VALUE"""),"accepted")</f>
        <v>accepted</v>
      </c>
      <c r="O980" s="18"/>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c r="BK980" s="15"/>
      <c r="BL980" s="15"/>
      <c r="BM980" s="15"/>
      <c r="BN980" s="15"/>
      <c r="BO980" s="15"/>
      <c r="BP980" s="15"/>
      <c r="BQ980" s="15"/>
      <c r="BR980" s="15"/>
      <c r="BS980" s="15"/>
      <c r="BT980" s="15"/>
      <c r="BU980" s="15"/>
      <c r="BV980" s="15"/>
      <c r="BW980" s="15"/>
      <c r="BX980" s="15"/>
      <c r="BY980" s="15"/>
      <c r="BZ980" s="15"/>
      <c r="CA980" s="15"/>
      <c r="CB980" s="15"/>
    </row>
    <row r="981" spans="1:80" ht="12.75" hidden="1" customHeight="1">
      <c r="A981" s="20">
        <f ca="1">IFERROR(__xludf.DUMMYFUNCTION("""COMPUTED_VALUE"""),2014)</f>
        <v>2014</v>
      </c>
      <c r="B981" s="45">
        <f ca="1">IFERROR(__xludf.DUMMYFUNCTION("""COMPUTED_VALUE"""),41881)</f>
        <v>41881</v>
      </c>
      <c r="C981" s="46">
        <f ca="1">IFERROR(__xludf.DUMMYFUNCTION("""COMPUTED_VALUE"""),42248)</f>
        <v>42248</v>
      </c>
      <c r="D981" s="47" t="str">
        <f ca="1">IFERROR(__xludf.DUMMYFUNCTION("""COMPUTED_VALUE"""),"Wryneck")</f>
        <v>Wryneck</v>
      </c>
      <c r="E981" s="52">
        <f ca="1">IFERROR(__xludf.DUMMYFUNCTION("""COMPUTED_VALUE"""),1)</f>
        <v>1</v>
      </c>
      <c r="F981" s="25"/>
      <c r="G981" s="48" t="str">
        <f ca="1">IFERROR(__xludf.DUMMYFUNCTION("""COMPUTED_VALUE"""),"Red Rocks, Hoylake")</f>
        <v>Red Rocks, Hoylake</v>
      </c>
      <c r="H981" s="22">
        <f ca="1">IFERROR(__xludf.DUMMYFUNCTION("""COMPUTED_VALUE"""),41756)</f>
        <v>41756</v>
      </c>
      <c r="I981" s="22"/>
      <c r="J981" s="24" t="str">
        <f ca="1">IFERROR(__xludf.DUMMYFUNCTION("""COMPUTED_VALUE"""),"Turner, JE")</f>
        <v>Turner, JE</v>
      </c>
      <c r="K981" s="25" t="str">
        <f ca="1">IFERROR(__xludf.DUMMYFUNCTION("""COMPUTED_VALUE"""),"Turner, JE")</f>
        <v>Turner, JE</v>
      </c>
      <c r="L981" s="27" t="str">
        <f ca="1">IFERROR(__xludf.DUMMYFUNCTION("""COMPUTED_VALUE"""),"closed")</f>
        <v>closed</v>
      </c>
      <c r="M981" s="27" t="str">
        <f ca="1">IFERROR(__xludf.DUMMYFUNCTION("""COMPUTED_VALUE"""),"1st U")</f>
        <v>1st U</v>
      </c>
      <c r="N981" s="25" t="str">
        <f ca="1">IFERROR(__xludf.DUMMYFUNCTION("""COMPUTED_VALUE"""),"Accepted")</f>
        <v>Accepted</v>
      </c>
      <c r="O981" s="28"/>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c r="AM981" s="25"/>
      <c r="AN981" s="25"/>
      <c r="AO981" s="25"/>
      <c r="AP981" s="25"/>
      <c r="AQ981" s="25"/>
      <c r="AR981" s="25"/>
      <c r="AS981" s="25"/>
      <c r="AT981" s="25"/>
      <c r="AU981" s="25"/>
      <c r="AV981" s="25"/>
      <c r="AW981" s="25"/>
      <c r="AX981" s="25"/>
      <c r="AY981" s="25"/>
      <c r="AZ981" s="25"/>
      <c r="BA981" s="25"/>
      <c r="BB981" s="25"/>
      <c r="BC981" s="25"/>
      <c r="BD981" s="25"/>
      <c r="BE981" s="25"/>
      <c r="BF981" s="25"/>
      <c r="BG981" s="25"/>
      <c r="BH981" s="25"/>
      <c r="BI981" s="25"/>
      <c r="BJ981" s="25"/>
      <c r="BK981" s="25"/>
      <c r="BL981" s="25"/>
      <c r="BM981" s="25"/>
      <c r="BN981" s="25"/>
      <c r="BO981" s="25"/>
      <c r="BP981" s="25"/>
      <c r="BQ981" s="25"/>
      <c r="BR981" s="25"/>
      <c r="BS981" s="25"/>
      <c r="BT981" s="25"/>
      <c r="BU981" s="25"/>
      <c r="BV981" s="25"/>
      <c r="BW981" s="25"/>
      <c r="BX981" s="25"/>
      <c r="BY981" s="25"/>
      <c r="BZ981" s="25"/>
      <c r="CA981" s="25"/>
      <c r="CB981" s="25"/>
    </row>
    <row r="982" spans="1:80" ht="12.75" hidden="1" customHeight="1">
      <c r="A982" s="10">
        <f ca="1">IFERROR(__xludf.DUMMYFUNCTION("""COMPUTED_VALUE"""),2014)</f>
        <v>2014</v>
      </c>
      <c r="B982" s="50">
        <f ca="1">IFERROR(__xludf.DUMMYFUNCTION("""COMPUTED_VALUE"""),42219)</f>
        <v>42219</v>
      </c>
      <c r="C982" s="41">
        <f ca="1">IFERROR(__xludf.DUMMYFUNCTION("""COMPUTED_VALUE"""),42250)</f>
        <v>42250</v>
      </c>
      <c r="D982" s="42" t="str">
        <f ca="1">IFERROR(__xludf.DUMMYFUNCTION("""COMPUTED_VALUE"""),"Wryneck")</f>
        <v>Wryneck</v>
      </c>
      <c r="E982" s="53">
        <f ca="1">IFERROR(__xludf.DUMMYFUNCTION("""COMPUTED_VALUE"""),1)</f>
        <v>1</v>
      </c>
      <c r="F982" s="15"/>
      <c r="G982" s="44" t="str">
        <f ca="1">IFERROR(__xludf.DUMMYFUNCTION("""COMPUTED_VALUE"""),"Leasowe Lighthouse")</f>
        <v>Leasowe Lighthouse</v>
      </c>
      <c r="H982" s="12">
        <f ca="1">IFERROR(__xludf.DUMMYFUNCTION("""COMPUTED_VALUE"""),41887)</f>
        <v>41887</v>
      </c>
      <c r="I982" s="12">
        <f ca="1">IFERROR(__xludf.DUMMYFUNCTION("""COMPUTED_VALUE"""),41887)</f>
        <v>41887</v>
      </c>
      <c r="J982" s="14" t="str">
        <f ca="1">IFERROR(__xludf.DUMMYFUNCTION("""COMPUTED_VALUE"""),"Conlin, A")</f>
        <v>Conlin, A</v>
      </c>
      <c r="K982" s="15" t="str">
        <f ca="1">IFERROR(__xludf.DUMMYFUNCTION("""COMPUTED_VALUE"""),"KD &amp; EW")</f>
        <v>KD &amp; EW</v>
      </c>
      <c r="L982" s="17" t="str">
        <f ca="1">IFERROR(__xludf.DUMMYFUNCTION("""COMPUTED_VALUE"""),"closed")</f>
        <v>closed</v>
      </c>
      <c r="M982" s="17" t="str">
        <f ca="1">IFERROR(__xludf.DUMMYFUNCTION("""COMPUTED_VALUE"""),"1st U")</f>
        <v>1st U</v>
      </c>
      <c r="N982" s="15" t="str">
        <f ca="1">IFERROR(__xludf.DUMMYFUNCTION("""COMPUTED_VALUE"""),"accepted")</f>
        <v>accepted</v>
      </c>
      <c r="O982" s="18"/>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c r="BK982" s="15"/>
      <c r="BL982" s="15"/>
      <c r="BM982" s="15"/>
      <c r="BN982" s="15"/>
      <c r="BO982" s="15"/>
      <c r="BP982" s="15"/>
      <c r="BQ982" s="15"/>
      <c r="BR982" s="15"/>
      <c r="BS982" s="15"/>
      <c r="BT982" s="15"/>
      <c r="BU982" s="15"/>
      <c r="BV982" s="15"/>
      <c r="BW982" s="15"/>
      <c r="BX982" s="15"/>
      <c r="BY982" s="15"/>
      <c r="BZ982" s="15"/>
      <c r="CA982" s="15"/>
      <c r="CB982" s="15"/>
    </row>
    <row r="983" spans="1:80" ht="12.75" hidden="1" customHeight="1">
      <c r="A983" s="20">
        <f ca="1">IFERROR(__xludf.DUMMYFUNCTION("""COMPUTED_VALUE"""),2014)</f>
        <v>2014</v>
      </c>
      <c r="B983" s="45">
        <f ca="1">IFERROR(__xludf.DUMMYFUNCTION("""COMPUTED_VALUE"""),41877)</f>
        <v>41877</v>
      </c>
      <c r="C983" s="46">
        <f ca="1">IFERROR(__xludf.DUMMYFUNCTION("""COMPUTED_VALUE"""),42306)</f>
        <v>42306</v>
      </c>
      <c r="D983" s="47" t="str">
        <f ca="1">IFERROR(__xludf.DUMMYFUNCTION("""COMPUTED_VALUE"""),"Water Pipit")</f>
        <v>Water Pipit</v>
      </c>
      <c r="E983" s="52">
        <f ca="1">IFERROR(__xludf.DUMMYFUNCTION("""COMPUTED_VALUE"""),1)</f>
        <v>1</v>
      </c>
      <c r="F983" s="25"/>
      <c r="G983" s="48" t="str">
        <f ca="1">IFERROR(__xludf.DUMMYFUNCTION("""COMPUTED_VALUE"""),"Parkgate, Manorial Marsh")</f>
        <v>Parkgate, Manorial Marsh</v>
      </c>
      <c r="H983" s="22">
        <f ca="1">IFERROR(__xludf.DUMMYFUNCTION("""COMPUTED_VALUE"""),41642)</f>
        <v>41642</v>
      </c>
      <c r="I983" s="23"/>
      <c r="J983" s="24"/>
      <c r="K983" s="25"/>
      <c r="L983" s="27" t="str">
        <f ca="1">IFERROR(__xludf.DUMMYFUNCTION("""COMPUTED_VALUE"""),"closed")</f>
        <v>closed</v>
      </c>
      <c r="M983" s="27" t="str">
        <f ca="1">IFERROR(__xludf.DUMMYFUNCTION("""COMPUTED_VALUE"""),"2nd M")</f>
        <v>2nd M</v>
      </c>
      <c r="N983" s="25" t="str">
        <f ca="1">IFERROR(__xludf.DUMMYFUNCTION("""COMPUTED_VALUE"""),"unproven")</f>
        <v>unproven</v>
      </c>
      <c r="O983" s="28" t="str">
        <f ca="1">IFERROR(__xludf.DUMMYFUNCTION("""COMPUTED_VALUE"""),"Accept as Water/littoralis")</f>
        <v>Accept as Water/littoralis</v>
      </c>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c r="AM983" s="25"/>
      <c r="AN983" s="25"/>
      <c r="AO983" s="25"/>
      <c r="AP983" s="25"/>
      <c r="AQ983" s="25"/>
      <c r="AR983" s="25"/>
      <c r="AS983" s="25"/>
      <c r="AT983" s="25"/>
      <c r="AU983" s="25"/>
      <c r="AV983" s="25"/>
      <c r="AW983" s="25"/>
      <c r="AX983" s="25"/>
      <c r="AY983" s="25"/>
      <c r="AZ983" s="25"/>
      <c r="BA983" s="25"/>
      <c r="BB983" s="25"/>
      <c r="BC983" s="25"/>
      <c r="BD983" s="25"/>
      <c r="BE983" s="25"/>
      <c r="BF983" s="25"/>
      <c r="BG983" s="25"/>
      <c r="BH983" s="25"/>
      <c r="BI983" s="25"/>
      <c r="BJ983" s="25"/>
      <c r="BK983" s="25"/>
      <c r="BL983" s="25"/>
      <c r="BM983" s="25"/>
      <c r="BN983" s="25"/>
      <c r="BO983" s="25"/>
      <c r="BP983" s="25"/>
      <c r="BQ983" s="25"/>
      <c r="BR983" s="25"/>
      <c r="BS983" s="25"/>
      <c r="BT983" s="25"/>
      <c r="BU983" s="25"/>
      <c r="BV983" s="25"/>
      <c r="BW983" s="25"/>
      <c r="BX983" s="25"/>
      <c r="BY983" s="25"/>
      <c r="BZ983" s="25"/>
      <c r="CA983" s="25"/>
      <c r="CB983" s="25"/>
    </row>
    <row r="984" spans="1:80" ht="12.75" hidden="1" customHeight="1">
      <c r="A984" s="10">
        <f ca="1">IFERROR(__xludf.DUMMYFUNCTION("""COMPUTED_VALUE"""),2014)</f>
        <v>2014</v>
      </c>
      <c r="B984" s="50">
        <f ca="1">IFERROR(__xludf.DUMMYFUNCTION("""COMPUTED_VALUE"""),42219)</f>
        <v>42219</v>
      </c>
      <c r="C984" s="41">
        <f ca="1">IFERROR(__xludf.DUMMYFUNCTION("""COMPUTED_VALUE"""),42308)</f>
        <v>42308</v>
      </c>
      <c r="D984" s="42" t="str">
        <f ca="1">IFERROR(__xludf.DUMMYFUNCTION("""COMPUTED_VALUE"""),"Water Pipit")</f>
        <v>Water Pipit</v>
      </c>
      <c r="E984" s="53">
        <f ca="1">IFERROR(__xludf.DUMMYFUNCTION("""COMPUTED_VALUE"""),1)</f>
        <v>1</v>
      </c>
      <c r="F984" s="15"/>
      <c r="G984" s="44" t="str">
        <f ca="1">IFERROR(__xludf.DUMMYFUNCTION("""COMPUTED_VALUE"""),"IMF Scrapes, BMW RSPB")</f>
        <v>IMF Scrapes, BMW RSPB</v>
      </c>
      <c r="H984" s="12">
        <f ca="1">IFERROR(__xludf.DUMMYFUNCTION("""COMPUTED_VALUE"""),41717)</f>
        <v>41717</v>
      </c>
      <c r="I984" s="12">
        <f ca="1">IFERROR(__xludf.DUMMYFUNCTION("""COMPUTED_VALUE"""),41717)</f>
        <v>41717</v>
      </c>
      <c r="J984" s="14" t="str">
        <f ca="1">IFERROR(__xludf.DUMMYFUNCTION("""COMPUTED_VALUE"""),"Fleming, I")</f>
        <v>Fleming, I</v>
      </c>
      <c r="K984" s="15" t="str">
        <f ca="1">IFERROR(__xludf.DUMMYFUNCTION("""COMPUTED_VALUE"""),"Colin Wells")</f>
        <v>Colin Wells</v>
      </c>
      <c r="L984" s="17" t="str">
        <f ca="1">IFERROR(__xludf.DUMMYFUNCTION("""COMPUTED_VALUE"""),"closed")</f>
        <v>closed</v>
      </c>
      <c r="M984" s="17" t="str">
        <f ca="1">IFERROR(__xludf.DUMMYFUNCTION("""COMPUTED_VALUE"""),"1st U")</f>
        <v>1st U</v>
      </c>
      <c r="N984" s="15" t="str">
        <f ca="1">IFERROR(__xludf.DUMMYFUNCTION("""COMPUTED_VALUE"""),"accepted")</f>
        <v>accepted</v>
      </c>
      <c r="O984" s="18"/>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c r="BK984" s="15"/>
      <c r="BL984" s="15"/>
      <c r="BM984" s="15"/>
      <c r="BN984" s="15"/>
      <c r="BO984" s="15"/>
      <c r="BP984" s="15"/>
      <c r="BQ984" s="15"/>
      <c r="BR984" s="15"/>
      <c r="BS984" s="15"/>
      <c r="BT984" s="15"/>
      <c r="BU984" s="15"/>
      <c r="BV984" s="15"/>
      <c r="BW984" s="15"/>
      <c r="BX984" s="15"/>
      <c r="BY984" s="15"/>
      <c r="BZ984" s="15"/>
      <c r="CA984" s="15"/>
      <c r="CB984" s="15"/>
    </row>
    <row r="985" spans="1:80" ht="12.75" hidden="1" customHeight="1">
      <c r="A985" s="20">
        <f ca="1">IFERROR(__xludf.DUMMYFUNCTION("""COMPUTED_VALUE"""),2014)</f>
        <v>2014</v>
      </c>
      <c r="B985" s="45">
        <f ca="1">IFERROR(__xludf.DUMMYFUNCTION("""COMPUTED_VALUE"""),41906)</f>
        <v>41906</v>
      </c>
      <c r="C985" s="46">
        <f ca="1">IFERROR(__xludf.DUMMYFUNCTION("""COMPUTED_VALUE"""),42283)</f>
        <v>42283</v>
      </c>
      <c r="D985" s="47" t="str">
        <f ca="1">IFERROR(__xludf.DUMMYFUNCTION("""COMPUTED_VALUE"""),"Water Pipit")</f>
        <v>Water Pipit</v>
      </c>
      <c r="E985" s="52">
        <f ca="1">IFERROR(__xludf.DUMMYFUNCTION("""COMPUTED_VALUE"""),2)</f>
        <v>2</v>
      </c>
      <c r="F985" s="25"/>
      <c r="G985" s="48" t="str">
        <f ca="1">IFERROR(__xludf.DUMMYFUNCTION("""COMPUTED_VALUE"""),"Neston Old Quay")</f>
        <v>Neston Old Quay</v>
      </c>
      <c r="H985" s="22">
        <f ca="1">IFERROR(__xludf.DUMMYFUNCTION("""COMPUTED_VALUE"""),41976)</f>
        <v>41976</v>
      </c>
      <c r="I985" s="23"/>
      <c r="J985" s="24" t="str">
        <f ca="1">IFERROR(__xludf.DUMMYFUNCTION("""COMPUTED_VALUE"""),"Williams, E")</f>
        <v>Williams, E</v>
      </c>
      <c r="K985" s="25"/>
      <c r="L985" s="27" t="str">
        <f ca="1">IFERROR(__xludf.DUMMYFUNCTION("""COMPUTED_VALUE"""),"closed")</f>
        <v>closed</v>
      </c>
      <c r="M985" s="27" t="str">
        <f ca="1">IFERROR(__xludf.DUMMYFUNCTION("""COMPUTED_VALUE"""),"1st U")</f>
        <v>1st U</v>
      </c>
      <c r="N985" s="25" t="str">
        <f ca="1">IFERROR(__xludf.DUMMYFUNCTION("""COMPUTED_VALUE"""),"accepted")</f>
        <v>accepted</v>
      </c>
      <c r="O985" s="28"/>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c r="AM985" s="25"/>
      <c r="AN985" s="25"/>
      <c r="AO985" s="25"/>
      <c r="AP985" s="25"/>
      <c r="AQ985" s="25"/>
      <c r="AR985" s="25"/>
      <c r="AS985" s="25"/>
      <c r="AT985" s="25"/>
      <c r="AU985" s="25"/>
      <c r="AV985" s="25"/>
      <c r="AW985" s="25"/>
      <c r="AX985" s="25"/>
      <c r="AY985" s="25"/>
      <c r="AZ985" s="25"/>
      <c r="BA985" s="25"/>
      <c r="BB985" s="25"/>
      <c r="BC985" s="25"/>
      <c r="BD985" s="25"/>
      <c r="BE985" s="25"/>
      <c r="BF985" s="25"/>
      <c r="BG985" s="25"/>
      <c r="BH985" s="25"/>
      <c r="BI985" s="25"/>
      <c r="BJ985" s="25"/>
      <c r="BK985" s="25"/>
      <c r="BL985" s="25"/>
      <c r="BM985" s="25"/>
      <c r="BN985" s="25"/>
      <c r="BO985" s="25"/>
      <c r="BP985" s="25"/>
      <c r="BQ985" s="25"/>
      <c r="BR985" s="25"/>
      <c r="BS985" s="25"/>
      <c r="BT985" s="25"/>
      <c r="BU985" s="25"/>
      <c r="BV985" s="25"/>
      <c r="BW985" s="25"/>
      <c r="BX985" s="25"/>
      <c r="BY985" s="25"/>
      <c r="BZ985" s="25"/>
      <c r="CA985" s="25"/>
      <c r="CB985" s="25"/>
    </row>
    <row r="986" spans="1:80" ht="12.75" hidden="1" customHeight="1">
      <c r="A986" s="10">
        <f ca="1">IFERROR(__xludf.DUMMYFUNCTION("""COMPUTED_VALUE"""),2014)</f>
        <v>2014</v>
      </c>
      <c r="B986" s="50">
        <f ca="1">IFERROR(__xludf.DUMMYFUNCTION("""COMPUTED_VALUE"""),42219)</f>
        <v>42219</v>
      </c>
      <c r="C986" s="41">
        <f ca="1">IFERROR(__xludf.DUMMYFUNCTION("""COMPUTED_VALUE"""),42337)</f>
        <v>42337</v>
      </c>
      <c r="D986" s="42" t="str">
        <f ca="1">IFERROR(__xludf.DUMMYFUNCTION("""COMPUTED_VALUE"""),"Turtle Dove")</f>
        <v>Turtle Dove</v>
      </c>
      <c r="E986" s="53">
        <f ca="1">IFERROR(__xludf.DUMMYFUNCTION("""COMPUTED_VALUE"""),1)</f>
        <v>1</v>
      </c>
      <c r="F986" s="15"/>
      <c r="G986" s="44" t="str">
        <f ca="1">IFERROR(__xludf.DUMMYFUNCTION("""COMPUTED_VALUE"""),"Macclesfield Forest")</f>
        <v>Macclesfield Forest</v>
      </c>
      <c r="H986" s="12">
        <f ca="1">IFERROR(__xludf.DUMMYFUNCTION("""COMPUTED_VALUE"""),41770)</f>
        <v>41770</v>
      </c>
      <c r="I986" s="12">
        <f ca="1">IFERROR(__xludf.DUMMYFUNCTION("""COMPUTED_VALUE"""),41778)</f>
        <v>41778</v>
      </c>
      <c r="J986" s="14" t="str">
        <f ca="1">IFERROR(__xludf.DUMMYFUNCTION("""COMPUTED_VALUE"""),"&lt;Observer: Robert H Collins&gt;")</f>
        <v>&lt;Observer: Robert H Collins&gt;</v>
      </c>
      <c r="K986" s="15"/>
      <c r="L986" s="17" t="str">
        <f ca="1">IFERROR(__xludf.DUMMYFUNCTION("""COMPUTED_VALUE"""),"closed")</f>
        <v>closed</v>
      </c>
      <c r="M986" s="17" t="str">
        <f ca="1">IFERROR(__xludf.DUMMYFUNCTION("""COMPUTED_VALUE"""),"1st U")</f>
        <v>1st U</v>
      </c>
      <c r="N986" s="15" t="str">
        <f ca="1">IFERROR(__xludf.DUMMYFUNCTION("""COMPUTED_VALUE"""),"accepted")</f>
        <v>accepted</v>
      </c>
      <c r="O986" s="18" t="str">
        <f ca="1">IFERROR(__xludf.DUMMYFUNCTION("""COMPUTED_VALUE"""),"Misc Observers")</f>
        <v>Misc Observers</v>
      </c>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c r="BK986" s="15"/>
      <c r="BL986" s="15"/>
      <c r="BM986" s="15"/>
      <c r="BN986" s="15"/>
      <c r="BO986" s="15"/>
      <c r="BP986" s="15"/>
      <c r="BQ986" s="15"/>
      <c r="BR986" s="15"/>
      <c r="BS986" s="15"/>
      <c r="BT986" s="15"/>
      <c r="BU986" s="15"/>
      <c r="BV986" s="15"/>
      <c r="BW986" s="15"/>
      <c r="BX986" s="15"/>
      <c r="BY986" s="15"/>
      <c r="BZ986" s="15"/>
      <c r="CA986" s="15"/>
      <c r="CB986" s="15"/>
    </row>
    <row r="987" spans="1:80" ht="12.75" hidden="1" customHeight="1">
      <c r="A987" s="20">
        <f ca="1">IFERROR(__xludf.DUMMYFUNCTION("""COMPUTED_VALUE"""),2014)</f>
        <v>2014</v>
      </c>
      <c r="B987" s="45">
        <f ca="1">IFERROR(__xludf.DUMMYFUNCTION("""COMPUTED_VALUE"""),42219)</f>
        <v>42219</v>
      </c>
      <c r="C987" s="46"/>
      <c r="D987" s="47" t="str">
        <f ca="1">IFERROR(__xludf.DUMMYFUNCTION("""COMPUTED_VALUE"""),"Turtle Dove")</f>
        <v>Turtle Dove</v>
      </c>
      <c r="E987" s="52">
        <f ca="1">IFERROR(__xludf.DUMMYFUNCTION("""COMPUTED_VALUE"""),1)</f>
        <v>1</v>
      </c>
      <c r="F987" s="25"/>
      <c r="G987" s="48" t="str">
        <f ca="1">IFERROR(__xludf.DUMMYFUNCTION("""COMPUTED_VALUE"""),"Watch Lane Flash, Sandbach")</f>
        <v>Watch Lane Flash, Sandbach</v>
      </c>
      <c r="H987" s="22">
        <f ca="1">IFERROR(__xludf.DUMMYFUNCTION("""COMPUTED_VALUE"""),41779)</f>
        <v>41779</v>
      </c>
      <c r="I987" s="22">
        <f ca="1">IFERROR(__xludf.DUMMYFUNCTION("""COMPUTED_VALUE"""),41779)</f>
        <v>41779</v>
      </c>
      <c r="J987" s="24" t="str">
        <f ca="1">IFERROR(__xludf.DUMMYFUNCTION("""COMPUTED_VALUE"""),"Goodwin, A")</f>
        <v>Goodwin, A</v>
      </c>
      <c r="K987" s="25" t="str">
        <f ca="1">IFERROR(__xludf.DUMMYFUNCTION("""COMPUTED_VALUE"""),"Goodwin, A")</f>
        <v>Goodwin, A</v>
      </c>
      <c r="L987" s="27" t="str">
        <f ca="1">IFERROR(__xludf.DUMMYFUNCTION("""COMPUTED_VALUE"""),"closed")</f>
        <v>closed</v>
      </c>
      <c r="M987" s="27" t="str">
        <f ca="1">IFERROR(__xludf.DUMMYFUNCTION("""COMPUTED_VALUE"""),"1st U")</f>
        <v>1st U</v>
      </c>
      <c r="N987" s="25" t="str">
        <f ca="1">IFERROR(__xludf.DUMMYFUNCTION("""COMPUTED_VALUE"""),"accepted")</f>
        <v>accepted</v>
      </c>
      <c r="O987" s="28" t="str">
        <f ca="1">IFERROR(__xludf.DUMMYFUNCTION("""COMPUTED_VALUE"""),"Sandbach Flashes Log")</f>
        <v>Sandbach Flashes Log</v>
      </c>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c r="AM987" s="25"/>
      <c r="AN987" s="25"/>
      <c r="AO987" s="25"/>
      <c r="AP987" s="25"/>
      <c r="AQ987" s="25"/>
      <c r="AR987" s="25"/>
      <c r="AS987" s="25"/>
      <c r="AT987" s="25"/>
      <c r="AU987" s="25"/>
      <c r="AV987" s="25"/>
      <c r="AW987" s="25"/>
      <c r="AX987" s="25"/>
      <c r="AY987" s="25"/>
      <c r="AZ987" s="25"/>
      <c r="BA987" s="25"/>
      <c r="BB987" s="25"/>
      <c r="BC987" s="25"/>
      <c r="BD987" s="25"/>
      <c r="BE987" s="25"/>
      <c r="BF987" s="25"/>
      <c r="BG987" s="25"/>
      <c r="BH987" s="25"/>
      <c r="BI987" s="25"/>
      <c r="BJ987" s="25"/>
      <c r="BK987" s="25"/>
      <c r="BL987" s="25"/>
      <c r="BM987" s="25"/>
      <c r="BN987" s="25"/>
      <c r="BO987" s="25"/>
      <c r="BP987" s="25"/>
      <c r="BQ987" s="25"/>
      <c r="BR987" s="25"/>
      <c r="BS987" s="25"/>
      <c r="BT987" s="25"/>
      <c r="BU987" s="25"/>
      <c r="BV987" s="25"/>
      <c r="BW987" s="25"/>
      <c r="BX987" s="25"/>
      <c r="BY987" s="25"/>
      <c r="BZ987" s="25"/>
      <c r="CA987" s="25"/>
      <c r="CB987" s="25"/>
    </row>
    <row r="988" spans="1:80" ht="12.75" hidden="1" customHeight="1">
      <c r="A988" s="10">
        <f ca="1">IFERROR(__xludf.DUMMYFUNCTION("""COMPUTED_VALUE"""),2014)</f>
        <v>2014</v>
      </c>
      <c r="B988" s="50">
        <f ca="1">IFERROR(__xludf.DUMMYFUNCTION("""COMPUTED_VALUE"""),42219)</f>
        <v>42219</v>
      </c>
      <c r="C988" s="41"/>
      <c r="D988" s="42" t="str">
        <f ca="1">IFERROR(__xludf.DUMMYFUNCTION("""COMPUTED_VALUE"""),"Wood Warbler")</f>
        <v>Wood Warbler</v>
      </c>
      <c r="E988" s="53">
        <f ca="1">IFERROR(__xludf.DUMMYFUNCTION("""COMPUTED_VALUE"""),1)</f>
        <v>1</v>
      </c>
      <c r="F988" s="15"/>
      <c r="G988" s="44" t="str">
        <f ca="1">IFERROR(__xludf.DUMMYFUNCTION("""COMPUTED_VALUE"""),"Gorse Lane Woods")</f>
        <v>Gorse Lane Woods</v>
      </c>
      <c r="H988" s="12">
        <f ca="1">IFERROR(__xludf.DUMMYFUNCTION("""COMPUTED_VALUE"""),41758)</f>
        <v>41758</v>
      </c>
      <c r="I988" s="12">
        <f ca="1">IFERROR(__xludf.DUMMYFUNCTION("""COMPUTED_VALUE"""),41758)</f>
        <v>41758</v>
      </c>
      <c r="J988" s="14" t="str">
        <f ca="1">IFERROR(__xludf.DUMMYFUNCTION("""COMPUTED_VALUE"""),"Smith, R")</f>
        <v>Smith, R</v>
      </c>
      <c r="K988" s="15" t="str">
        <f ca="1">IFERROR(__xludf.DUMMYFUNCTION("""COMPUTED_VALUE"""),"Alan Hitchmough")</f>
        <v>Alan Hitchmough</v>
      </c>
      <c r="L988" s="17" t="str">
        <f ca="1">IFERROR(__xludf.DUMMYFUNCTION("""COMPUTED_VALUE"""),"closed")</f>
        <v>closed</v>
      </c>
      <c r="M988" s="17" t="str">
        <f ca="1">IFERROR(__xludf.DUMMYFUNCTION("""COMPUTED_VALUE"""),"1st U")</f>
        <v>1st U</v>
      </c>
      <c r="N988" s="15" t="str">
        <f ca="1">IFERROR(__xludf.DUMMYFUNCTION("""COMPUTED_VALUE"""),"accepted")</f>
        <v>accepted</v>
      </c>
      <c r="O988" s="18"/>
      <c r="P988" s="15"/>
      <c r="Q988" s="58"/>
      <c r="R988" s="58"/>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c r="BK988" s="15"/>
      <c r="BL988" s="15"/>
      <c r="BM988" s="15"/>
      <c r="BN988" s="15"/>
      <c r="BO988" s="15"/>
      <c r="BP988" s="15"/>
      <c r="BQ988" s="15"/>
      <c r="BR988" s="15"/>
      <c r="BS988" s="15"/>
      <c r="BT988" s="15"/>
      <c r="BU988" s="15"/>
      <c r="BV988" s="15"/>
      <c r="BW988" s="15"/>
      <c r="BX988" s="15"/>
      <c r="BY988" s="15"/>
      <c r="BZ988" s="15"/>
      <c r="CA988" s="15"/>
      <c r="CB988" s="15"/>
    </row>
    <row r="989" spans="1:80" ht="12.75" hidden="1" customHeight="1">
      <c r="A989" s="20">
        <f ca="1">IFERROR(__xludf.DUMMYFUNCTION("""COMPUTED_VALUE"""),2014)</f>
        <v>2014</v>
      </c>
      <c r="B989" s="45">
        <f ca="1">IFERROR(__xludf.DUMMYFUNCTION("""COMPUTED_VALUE"""),42219)</f>
        <v>42219</v>
      </c>
      <c r="C989" s="46">
        <f ca="1">IFERROR(__xludf.DUMMYFUNCTION("""COMPUTED_VALUE"""),42337)</f>
        <v>42337</v>
      </c>
      <c r="D989" s="47" t="str">
        <f ca="1">IFERROR(__xludf.DUMMYFUNCTION("""COMPUTED_VALUE"""),"Wood Warbler")</f>
        <v>Wood Warbler</v>
      </c>
      <c r="E989" s="52">
        <f ca="1">IFERROR(__xludf.DUMMYFUNCTION("""COMPUTED_VALUE"""),1)</f>
        <v>1</v>
      </c>
      <c r="F989" s="25"/>
      <c r="G989" s="48" t="str">
        <f ca="1">IFERROR(__xludf.DUMMYFUNCTION("""COMPUTED_VALUE"""),"Frodsham Hill Wood")</f>
        <v>Frodsham Hill Wood</v>
      </c>
      <c r="H989" s="22">
        <f ca="1">IFERROR(__xludf.DUMMYFUNCTION("""COMPUTED_VALUE"""),41777)</f>
        <v>41777</v>
      </c>
      <c r="I989" s="22">
        <f ca="1">IFERROR(__xludf.DUMMYFUNCTION("""COMPUTED_VALUE"""),41784)</f>
        <v>41784</v>
      </c>
      <c r="J989" s="24" t="str">
        <f ca="1">IFERROR(__xludf.DUMMYFUNCTION("""COMPUTED_VALUE"""),"O'Sullivan, M")</f>
        <v>O'Sullivan, M</v>
      </c>
      <c r="K989" s="25" t="str">
        <f ca="1">IFERROR(__xludf.DUMMYFUNCTION("""COMPUTED_VALUE"""),"O'Sullivan, M")</f>
        <v>O'Sullivan, M</v>
      </c>
      <c r="L989" s="27" t="str">
        <f ca="1">IFERROR(__xludf.DUMMYFUNCTION("""COMPUTED_VALUE"""),"closed")</f>
        <v>closed</v>
      </c>
      <c r="M989" s="27" t="str">
        <f ca="1">IFERROR(__xludf.DUMMYFUNCTION("""COMPUTED_VALUE"""),"1st U")</f>
        <v>1st U</v>
      </c>
      <c r="N989" s="25" t="str">
        <f ca="1">IFERROR(__xludf.DUMMYFUNCTION("""COMPUTED_VALUE"""),"accepted")</f>
        <v>accepted</v>
      </c>
      <c r="O989" s="28" t="str">
        <f ca="1">IFERROR(__xludf.DUMMYFUNCTION("""COMPUTED_VALUE"""),"M O'Sullivan")</f>
        <v>M O'Sullivan</v>
      </c>
      <c r="P989" s="25"/>
      <c r="Q989" s="40"/>
      <c r="R989" s="40"/>
      <c r="S989" s="25"/>
      <c r="T989" s="25"/>
      <c r="U989" s="25"/>
      <c r="V989" s="25"/>
      <c r="W989" s="25"/>
      <c r="X989" s="25"/>
      <c r="Y989" s="25"/>
      <c r="Z989" s="25"/>
      <c r="AA989" s="25"/>
      <c r="AB989" s="25"/>
      <c r="AC989" s="25"/>
      <c r="AD989" s="25"/>
      <c r="AE989" s="25"/>
      <c r="AF989" s="25"/>
      <c r="AG989" s="25"/>
      <c r="AH989" s="25"/>
      <c r="AI989" s="25"/>
      <c r="AJ989" s="25"/>
      <c r="AK989" s="25"/>
      <c r="AL989" s="25"/>
      <c r="AM989" s="25"/>
      <c r="AN989" s="25"/>
      <c r="AO989" s="25"/>
      <c r="AP989" s="25"/>
      <c r="AQ989" s="25"/>
      <c r="AR989" s="25"/>
      <c r="AS989" s="25"/>
      <c r="AT989" s="25"/>
      <c r="AU989" s="25"/>
      <c r="AV989" s="25"/>
      <c r="AW989" s="25"/>
      <c r="AX989" s="25"/>
      <c r="AY989" s="25"/>
      <c r="AZ989" s="25"/>
      <c r="BA989" s="25"/>
      <c r="BB989" s="25"/>
      <c r="BC989" s="25"/>
      <c r="BD989" s="25"/>
      <c r="BE989" s="25"/>
      <c r="BF989" s="25"/>
      <c r="BG989" s="25"/>
      <c r="BH989" s="25"/>
      <c r="BI989" s="25"/>
      <c r="BJ989" s="25"/>
      <c r="BK989" s="25"/>
      <c r="BL989" s="25"/>
      <c r="BM989" s="25"/>
      <c r="BN989" s="25"/>
      <c r="BO989" s="25"/>
      <c r="BP989" s="25"/>
      <c r="BQ989" s="25"/>
      <c r="BR989" s="25"/>
      <c r="BS989" s="25"/>
      <c r="BT989" s="25"/>
      <c r="BU989" s="25"/>
      <c r="BV989" s="25"/>
      <c r="BW989" s="25"/>
      <c r="BX989" s="25"/>
      <c r="BY989" s="25"/>
      <c r="BZ989" s="25"/>
      <c r="CA989" s="25"/>
      <c r="CB989" s="25"/>
    </row>
    <row r="990" spans="1:80" ht="12.75" hidden="1" customHeight="1">
      <c r="A990" s="10">
        <f ca="1">IFERROR(__xludf.DUMMYFUNCTION("""COMPUTED_VALUE"""),2014)</f>
        <v>2014</v>
      </c>
      <c r="B990" s="50">
        <f ca="1">IFERROR(__xludf.DUMMYFUNCTION("""COMPUTED_VALUE"""),42219)</f>
        <v>42219</v>
      </c>
      <c r="C990" s="41">
        <f ca="1">IFERROR(__xludf.DUMMYFUNCTION("""COMPUTED_VALUE"""),42320)</f>
        <v>42320</v>
      </c>
      <c r="D990" s="42" t="str">
        <f ca="1">IFERROR(__xludf.DUMMYFUNCTION("""COMPUTED_VALUE"""),"Wood Warbler")</f>
        <v>Wood Warbler</v>
      </c>
      <c r="E990" s="53">
        <f ca="1">IFERROR(__xludf.DUMMYFUNCTION("""COMPUTED_VALUE"""),1)</f>
        <v>1</v>
      </c>
      <c r="F990" s="15"/>
      <c r="G990" s="44" t="str">
        <f ca="1">IFERROR(__xludf.DUMMYFUNCTION("""COMPUTED_VALUE"""),"Hilbre")</f>
        <v>Hilbre</v>
      </c>
      <c r="H990" s="12">
        <f ca="1">IFERROR(__xludf.DUMMYFUNCTION("""COMPUTED_VALUE"""),41779)</f>
        <v>41779</v>
      </c>
      <c r="I990" s="12">
        <f ca="1">IFERROR(__xludf.DUMMYFUNCTION("""COMPUTED_VALUE"""),41779)</f>
        <v>41779</v>
      </c>
      <c r="J990" s="14" t="str">
        <f ca="1">IFERROR(__xludf.DUMMYFUNCTION("""COMPUTED_VALUE"""),"HIBO")</f>
        <v>HIBO</v>
      </c>
      <c r="K990" s="15" t="str">
        <f ca="1">IFERROR(__xludf.DUMMYFUNCTION("""COMPUTED_VALUE"""),"HIBO")</f>
        <v>HIBO</v>
      </c>
      <c r="L990" s="17" t="str">
        <f ca="1">IFERROR(__xludf.DUMMYFUNCTION("""COMPUTED_VALUE"""),"closed")</f>
        <v>closed</v>
      </c>
      <c r="M990" s="17" t="str">
        <f ca="1">IFERROR(__xludf.DUMMYFUNCTION("""COMPUTED_VALUE"""),"1st U")</f>
        <v>1st U</v>
      </c>
      <c r="N990" s="15" t="str">
        <f ca="1">IFERROR(__xludf.DUMMYFUNCTION("""COMPUTED_VALUE"""),"Accepted")</f>
        <v>Accepted</v>
      </c>
      <c r="O990" s="18"/>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c r="BK990" s="15"/>
      <c r="BL990" s="15"/>
      <c r="BM990" s="15"/>
      <c r="BN990" s="15"/>
      <c r="BO990" s="15"/>
      <c r="BP990" s="15"/>
      <c r="BQ990" s="15"/>
      <c r="BR990" s="15"/>
      <c r="BS990" s="15"/>
      <c r="BT990" s="15"/>
      <c r="BU990" s="15"/>
      <c r="BV990" s="15"/>
      <c r="BW990" s="15"/>
      <c r="BX990" s="15"/>
      <c r="BY990" s="15"/>
      <c r="BZ990" s="15"/>
      <c r="CA990" s="15"/>
      <c r="CB990" s="15"/>
    </row>
    <row r="991" spans="1:80" ht="12.75" hidden="1" customHeight="1">
      <c r="A991" s="20">
        <f ca="1">IFERROR(__xludf.DUMMYFUNCTION("""COMPUTED_VALUE"""),2014)</f>
        <v>2014</v>
      </c>
      <c r="B991" s="45">
        <f ca="1">IFERROR(__xludf.DUMMYFUNCTION("""COMPUTED_VALUE"""),42269)</f>
        <v>42269</v>
      </c>
      <c r="C991" s="46">
        <f ca="1">IFERROR(__xludf.DUMMYFUNCTION("""COMPUTED_VALUE"""),42269)</f>
        <v>42269</v>
      </c>
      <c r="D991" s="47" t="str">
        <f ca="1">IFERROR(__xludf.DUMMYFUNCTION("""COMPUTED_VALUE"""),"Spotted Crake")</f>
        <v>Spotted Crake</v>
      </c>
      <c r="E991" s="52">
        <f ca="1">IFERROR(__xludf.DUMMYFUNCTION("""COMPUTED_VALUE"""),1)</f>
        <v>1</v>
      </c>
      <c r="F991" s="25"/>
      <c r="G991" s="48" t="str">
        <f ca="1">IFERROR(__xludf.DUMMYFUNCTION("""COMPUTED_VALUE"""),"Red Rocks, Hoylake")</f>
        <v>Red Rocks, Hoylake</v>
      </c>
      <c r="H991" s="22">
        <f ca="1">IFERROR(__xludf.DUMMYFUNCTION("""COMPUTED_VALUE"""),41759)</f>
        <v>41759</v>
      </c>
      <c r="I991" s="23"/>
      <c r="J991" s="24" t="str">
        <f ca="1">IFERROR(__xludf.DUMMYFUNCTION("""COMPUTED_VALUE"""),"Turner, JE")</f>
        <v>Turner, JE</v>
      </c>
      <c r="K991" s="25" t="str">
        <f ca="1">IFERROR(__xludf.DUMMYFUNCTION("""COMPUTED_VALUE"""),"Turner, JE")</f>
        <v>Turner, JE</v>
      </c>
      <c r="L991" s="27" t="str">
        <f ca="1">IFERROR(__xludf.DUMMYFUNCTION("""COMPUTED_VALUE"""),"closed")</f>
        <v>closed</v>
      </c>
      <c r="M991" s="27" t="str">
        <f ca="1">IFERROR(__xludf.DUMMYFUNCTION("""COMPUTED_VALUE"""),"1st U")</f>
        <v>1st U</v>
      </c>
      <c r="N991" s="25" t="str">
        <f ca="1">IFERROR(__xludf.DUMMYFUNCTION("""COMPUTED_VALUE"""),"accepted")</f>
        <v>accepted</v>
      </c>
      <c r="O991" s="28"/>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c r="AM991" s="25"/>
      <c r="AN991" s="25"/>
      <c r="AO991" s="25"/>
      <c r="AP991" s="25"/>
      <c r="AQ991" s="25"/>
      <c r="AR991" s="25"/>
      <c r="AS991" s="25"/>
      <c r="AT991" s="25"/>
      <c r="AU991" s="25"/>
      <c r="AV991" s="25"/>
      <c r="AW991" s="25"/>
      <c r="AX991" s="25"/>
      <c r="AY991" s="25"/>
      <c r="AZ991" s="25"/>
      <c r="BA991" s="25"/>
      <c r="BB991" s="25"/>
      <c r="BC991" s="25"/>
      <c r="BD991" s="25"/>
      <c r="BE991" s="25"/>
      <c r="BF991" s="25"/>
      <c r="BG991" s="25"/>
      <c r="BH991" s="25"/>
      <c r="BI991" s="25"/>
      <c r="BJ991" s="25"/>
      <c r="BK991" s="25"/>
      <c r="BL991" s="25"/>
      <c r="BM991" s="25"/>
      <c r="BN991" s="25"/>
      <c r="BO991" s="25"/>
      <c r="BP991" s="25"/>
      <c r="BQ991" s="25"/>
      <c r="BR991" s="25"/>
      <c r="BS991" s="25"/>
      <c r="BT991" s="25"/>
      <c r="BU991" s="25"/>
      <c r="BV991" s="25"/>
      <c r="BW991" s="25"/>
      <c r="BX991" s="25"/>
      <c r="BY991" s="25"/>
      <c r="BZ991" s="25"/>
      <c r="CA991" s="25"/>
      <c r="CB991" s="25"/>
    </row>
    <row r="992" spans="1:80" ht="12.75" hidden="1" customHeight="1">
      <c r="A992" s="10">
        <f ca="1">IFERROR(__xludf.DUMMYFUNCTION("""COMPUTED_VALUE"""),2014)</f>
        <v>2014</v>
      </c>
      <c r="B992" s="50">
        <f ca="1">IFERROR(__xludf.DUMMYFUNCTION("""COMPUTED_VALUE"""),41906)</f>
        <v>41906</v>
      </c>
      <c r="C992" s="41">
        <f ca="1">IFERROR(__xludf.DUMMYFUNCTION("""COMPUTED_VALUE"""),42318)</f>
        <v>42318</v>
      </c>
      <c r="D992" s="42" t="str">
        <f ca="1">IFERROR(__xludf.DUMMYFUNCTION("""COMPUTED_VALUE"""),"Crane")</f>
        <v>Crane</v>
      </c>
      <c r="E992" s="53">
        <f ca="1">IFERROR(__xludf.DUMMYFUNCTION("""COMPUTED_VALUE"""),1)</f>
        <v>1</v>
      </c>
      <c r="F992" s="15"/>
      <c r="G992" s="44" t="str">
        <f ca="1">IFERROR(__xludf.DUMMYFUNCTION("""COMPUTED_VALUE"""),"Shining Tor")</f>
        <v>Shining Tor</v>
      </c>
      <c r="H992" s="12">
        <f ca="1">IFERROR(__xludf.DUMMYFUNCTION("""COMPUTED_VALUE"""),41776)</f>
        <v>41776</v>
      </c>
      <c r="I992" s="13"/>
      <c r="J992" s="14"/>
      <c r="K992" s="15"/>
      <c r="L992" s="17" t="str">
        <f ca="1">IFERROR(__xludf.DUMMYFUNCTION("""COMPUTED_VALUE"""),"closed")</f>
        <v>closed</v>
      </c>
      <c r="M992" s="17" t="str">
        <f ca="1">IFERROR(__xludf.DUMMYFUNCTION("""COMPUTED_VALUE"""),"1st U")</f>
        <v>1st U</v>
      </c>
      <c r="N992" s="15" t="str">
        <f ca="1">IFERROR(__xludf.DUMMYFUNCTION("""COMPUTED_VALUE"""),"accepted")</f>
        <v>accepted</v>
      </c>
      <c r="O992" s="18"/>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c r="BK992" s="15"/>
      <c r="BL992" s="15"/>
      <c r="BM992" s="15"/>
      <c r="BN992" s="15"/>
      <c r="BO992" s="15"/>
      <c r="BP992" s="15"/>
      <c r="BQ992" s="15"/>
      <c r="BR992" s="15"/>
      <c r="BS992" s="15"/>
      <c r="BT992" s="15"/>
      <c r="BU992" s="15"/>
      <c r="BV992" s="15"/>
      <c r="BW992" s="15"/>
      <c r="BX992" s="15"/>
      <c r="BY992" s="15"/>
      <c r="BZ992" s="15"/>
      <c r="CA992" s="15"/>
      <c r="CB992" s="15"/>
    </row>
    <row r="993" spans="1:80" ht="12.75" hidden="1" customHeight="1">
      <c r="A993" s="20">
        <f ca="1">IFERROR(__xludf.DUMMYFUNCTION("""COMPUTED_VALUE"""),2014)</f>
        <v>2014</v>
      </c>
      <c r="B993" s="45">
        <f ca="1">IFERROR(__xludf.DUMMYFUNCTION("""COMPUTED_VALUE"""),42219)</f>
        <v>42219</v>
      </c>
      <c r="C993" s="46"/>
      <c r="D993" s="47" t="str">
        <f ca="1">IFERROR(__xludf.DUMMYFUNCTION("""COMPUTED_VALUE"""),"Red-necked Grebe")</f>
        <v>Red-necked Grebe</v>
      </c>
      <c r="E993" s="52">
        <f ca="1">IFERROR(__xludf.DUMMYFUNCTION("""COMPUTED_VALUE"""),1)</f>
        <v>1</v>
      </c>
      <c r="F993" s="25"/>
      <c r="G993" s="48" t="str">
        <f ca="1">IFERROR(__xludf.DUMMYFUNCTION("""COMPUTED_VALUE"""),"Frodsham")</f>
        <v>Frodsham</v>
      </c>
      <c r="H993" s="22">
        <f ca="1">IFERROR(__xludf.DUMMYFUNCTION("""COMPUTED_VALUE"""),41785)</f>
        <v>41785</v>
      </c>
      <c r="I993" s="22">
        <f ca="1">IFERROR(__xludf.DUMMYFUNCTION("""COMPUTED_VALUE"""),41833)</f>
        <v>41833</v>
      </c>
      <c r="J993" s="24" t="str">
        <f ca="1">IFERROR(__xludf.DUMMYFUNCTION("""COMPUTED_VALUE"""),"Turner, JE")</f>
        <v>Turner, JE</v>
      </c>
      <c r="K993" s="25" t="str">
        <f ca="1">IFERROR(__xludf.DUMMYFUNCTION("""COMPUTED_VALUE"""),"?")</f>
        <v>?</v>
      </c>
      <c r="L993" s="27" t="str">
        <f ca="1">IFERROR(__xludf.DUMMYFUNCTION("""COMPUTED_VALUE"""),"closed")</f>
        <v>closed</v>
      </c>
      <c r="M993" s="27" t="str">
        <f ca="1">IFERROR(__xludf.DUMMYFUNCTION("""COMPUTED_VALUE"""),"1st U")</f>
        <v>1st U</v>
      </c>
      <c r="N993" s="40" t="str">
        <f ca="1">IFERROR(__xludf.DUMMYFUNCTION("""COMPUTED_VALUE"""),"accepted")</f>
        <v>accepted</v>
      </c>
      <c r="O993" s="28" t="str">
        <f ca="1">IFERROR(__xludf.DUMMYFUNCTION("""COMPUTED_VALUE"""),"Taken from FMBB")</f>
        <v>Taken from FMBB</v>
      </c>
      <c r="P993" s="25"/>
      <c r="Q993" s="40"/>
      <c r="R993" s="25"/>
      <c r="S993" s="40"/>
      <c r="T993" s="25"/>
      <c r="U993" s="25"/>
      <c r="V993" s="25"/>
      <c r="W993" s="25"/>
      <c r="X993" s="25"/>
      <c r="Y993" s="25"/>
      <c r="Z993" s="25"/>
      <c r="AA993" s="25"/>
      <c r="AB993" s="25"/>
      <c r="AC993" s="25"/>
      <c r="AD993" s="25"/>
      <c r="AE993" s="25"/>
      <c r="AF993" s="25"/>
      <c r="AG993" s="25"/>
      <c r="AH993" s="25"/>
      <c r="AI993" s="25"/>
      <c r="AJ993" s="25"/>
      <c r="AK993" s="25"/>
      <c r="AL993" s="25"/>
      <c r="AM993" s="25"/>
      <c r="AN993" s="25"/>
      <c r="AO993" s="25"/>
      <c r="AP993" s="25"/>
      <c r="AQ993" s="25"/>
      <c r="AR993" s="25"/>
      <c r="AS993" s="25"/>
      <c r="AT993" s="25"/>
      <c r="AU993" s="25"/>
      <c r="AV993" s="25"/>
      <c r="AW993" s="25"/>
      <c r="AX993" s="25"/>
      <c r="AY993" s="25"/>
      <c r="AZ993" s="25"/>
      <c r="BA993" s="25"/>
      <c r="BB993" s="25"/>
      <c r="BC993" s="25"/>
      <c r="BD993" s="25"/>
      <c r="BE993" s="25"/>
      <c r="BF993" s="25"/>
      <c r="BG993" s="25"/>
      <c r="BH993" s="25"/>
      <c r="BI993" s="25"/>
      <c r="BJ993" s="25"/>
      <c r="BK993" s="25"/>
      <c r="BL993" s="25"/>
      <c r="BM993" s="25"/>
      <c r="BN993" s="25"/>
      <c r="BO993" s="25"/>
      <c r="BP993" s="25"/>
      <c r="BQ993" s="25"/>
      <c r="BR993" s="25"/>
      <c r="BS993" s="25"/>
      <c r="BT993" s="25"/>
      <c r="BU993" s="25"/>
      <c r="BV993" s="25"/>
      <c r="BW993" s="25"/>
      <c r="BX993" s="25"/>
      <c r="BY993" s="25"/>
      <c r="BZ993" s="25"/>
      <c r="CA993" s="25"/>
      <c r="CB993" s="25"/>
    </row>
    <row r="994" spans="1:80" ht="12.75" hidden="1" customHeight="1">
      <c r="A994" s="10">
        <f ca="1">IFERROR(__xludf.DUMMYFUNCTION("""COMPUTED_VALUE"""),2014)</f>
        <v>2014</v>
      </c>
      <c r="B994" s="50">
        <f ca="1">IFERROR(__xludf.DUMMYFUNCTION("""COMPUTED_VALUE"""),42219)</f>
        <v>42219</v>
      </c>
      <c r="C994" s="41" t="str">
        <f ca="1">IFERROR(__xludf.DUMMYFUNCTION("""COMPUTED_VALUE"""),"n/a")</f>
        <v>n/a</v>
      </c>
      <c r="D994" s="42" t="str">
        <f ca="1">IFERROR(__xludf.DUMMYFUNCTION("""COMPUTED_VALUE"""),"Slavonian Grebe")</f>
        <v>Slavonian Grebe</v>
      </c>
      <c r="E994" s="53">
        <f ca="1">IFERROR(__xludf.DUMMYFUNCTION("""COMPUTED_VALUE"""),1)</f>
        <v>1</v>
      </c>
      <c r="F994" s="15"/>
      <c r="G994" s="44" t="str">
        <f ca="1">IFERROR(__xludf.DUMMYFUNCTION("""COMPUTED_VALUE"""),"Hilbre")</f>
        <v>Hilbre</v>
      </c>
      <c r="H994" s="12">
        <f ca="1">IFERROR(__xludf.DUMMYFUNCTION("""COMPUTED_VALUE"""),41643)</f>
        <v>41643</v>
      </c>
      <c r="I994" s="12">
        <f ca="1">IFERROR(__xludf.DUMMYFUNCTION("""COMPUTED_VALUE"""),41643)</f>
        <v>41643</v>
      </c>
      <c r="J994" s="14" t="str">
        <f ca="1">IFERROR(__xludf.DUMMYFUNCTION("""COMPUTED_VALUE"""),"Woolen, P")</f>
        <v>Woolen, P</v>
      </c>
      <c r="K994" s="15" t="str">
        <f ca="1">IFERROR(__xludf.DUMMYFUNCTION("""COMPUTED_VALUE"""),"Payne, M")</f>
        <v>Payne, M</v>
      </c>
      <c r="L994" s="17" t="str">
        <f ca="1">IFERROR(__xludf.DUMMYFUNCTION("""COMPUTED_VALUE"""),"closed")</f>
        <v>closed</v>
      </c>
      <c r="M994" s="17" t="str">
        <f ca="1">IFERROR(__xludf.DUMMYFUNCTION("""COMPUTED_VALUE"""),"1st U")</f>
        <v>1st U</v>
      </c>
      <c r="N994" s="15" t="str">
        <f ca="1">IFERROR(__xludf.DUMMYFUNCTION("""COMPUTED_VALUE"""),"accepted")</f>
        <v>accepted</v>
      </c>
      <c r="O994" s="18"/>
      <c r="P994" s="15"/>
      <c r="Q994" s="58"/>
      <c r="R994" s="58"/>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c r="BK994" s="15"/>
      <c r="BL994" s="15"/>
      <c r="BM994" s="15"/>
      <c r="BN994" s="15"/>
      <c r="BO994" s="15"/>
      <c r="BP994" s="15"/>
      <c r="BQ994" s="15"/>
      <c r="BR994" s="15"/>
      <c r="BS994" s="15"/>
      <c r="BT994" s="15"/>
      <c r="BU994" s="15"/>
      <c r="BV994" s="15"/>
      <c r="BW994" s="15"/>
      <c r="BX994" s="15"/>
      <c r="BY994" s="15"/>
      <c r="BZ994" s="15"/>
      <c r="CA994" s="15"/>
      <c r="CB994" s="15"/>
    </row>
    <row r="995" spans="1:80" ht="12.75" hidden="1" customHeight="1">
      <c r="A995" s="20">
        <f ca="1">IFERROR(__xludf.DUMMYFUNCTION("""COMPUTED_VALUE"""),2014)</f>
        <v>2014</v>
      </c>
      <c r="B995" s="45">
        <f ca="1">IFERROR(__xludf.DUMMYFUNCTION("""COMPUTED_VALUE"""),42219)</f>
        <v>42219</v>
      </c>
      <c r="C995" s="46">
        <f ca="1">IFERROR(__xludf.DUMMYFUNCTION("""COMPUTED_VALUE"""),42318)</f>
        <v>42318</v>
      </c>
      <c r="D995" s="47" t="str">
        <f ca="1">IFERROR(__xludf.DUMMYFUNCTION("""COMPUTED_VALUE"""),"Black-necked Grebe")</f>
        <v>Black-necked Grebe</v>
      </c>
      <c r="E995" s="52">
        <f ca="1">IFERROR(__xludf.DUMMYFUNCTION("""COMPUTED_VALUE"""),1)</f>
        <v>1</v>
      </c>
      <c r="F995" s="25"/>
      <c r="G995" s="48" t="str">
        <f ca="1">IFERROR(__xludf.DUMMYFUNCTION("""COMPUTED_VALUE"""),"Hoylake, then Meols")</f>
        <v>Hoylake, then Meols</v>
      </c>
      <c r="H995" s="22">
        <f ca="1">IFERROR(__xludf.DUMMYFUNCTION("""COMPUTED_VALUE"""),41733)</f>
        <v>41733</v>
      </c>
      <c r="I995" s="22">
        <f ca="1">IFERROR(__xludf.DUMMYFUNCTION("""COMPUTED_VALUE"""),41733)</f>
        <v>41733</v>
      </c>
      <c r="J995" s="24" t="str">
        <f ca="1">IFERROR(__xludf.DUMMYFUNCTION("""COMPUTED_VALUE"""),"Turner, JE")</f>
        <v>Turner, JE</v>
      </c>
      <c r="K995" s="25" t="str">
        <f ca="1">IFERROR(__xludf.DUMMYFUNCTION("""COMPUTED_VALUE"""),"Turner, JE")</f>
        <v>Turner, JE</v>
      </c>
      <c r="L995" s="27" t="str">
        <f ca="1">IFERROR(__xludf.DUMMYFUNCTION("""COMPUTED_VALUE"""),"closed")</f>
        <v>closed</v>
      </c>
      <c r="M995" s="27" t="str">
        <f ca="1">IFERROR(__xludf.DUMMYFUNCTION("""COMPUTED_VALUE"""),"1st U")</f>
        <v>1st U</v>
      </c>
      <c r="N995" s="25" t="str">
        <f ca="1">IFERROR(__xludf.DUMMYFUNCTION("""COMPUTED_VALUE"""),"accepted")</f>
        <v>accepted</v>
      </c>
      <c r="O995" s="28"/>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5"/>
      <c r="AQ995" s="25"/>
      <c r="AR995" s="25"/>
      <c r="AS995" s="25"/>
      <c r="AT995" s="25"/>
      <c r="AU995" s="25"/>
      <c r="AV995" s="25"/>
      <c r="AW995" s="25"/>
      <c r="AX995" s="25"/>
      <c r="AY995" s="25"/>
      <c r="AZ995" s="25"/>
      <c r="BA995" s="25"/>
      <c r="BB995" s="25"/>
      <c r="BC995" s="25"/>
      <c r="BD995" s="25"/>
      <c r="BE995" s="25"/>
      <c r="BF995" s="25"/>
      <c r="BG995" s="25"/>
      <c r="BH995" s="25"/>
      <c r="BI995" s="25"/>
      <c r="BJ995" s="25"/>
      <c r="BK995" s="25"/>
      <c r="BL995" s="25"/>
      <c r="BM995" s="25"/>
      <c r="BN995" s="25"/>
      <c r="BO995" s="25"/>
      <c r="BP995" s="25"/>
      <c r="BQ995" s="25"/>
      <c r="BR995" s="25"/>
      <c r="BS995" s="25"/>
      <c r="BT995" s="25"/>
      <c r="BU995" s="25"/>
      <c r="BV995" s="25"/>
      <c r="BW995" s="25"/>
      <c r="BX995" s="25"/>
      <c r="BY995" s="25"/>
      <c r="BZ995" s="25"/>
      <c r="CA995" s="25"/>
      <c r="CB995" s="25"/>
    </row>
    <row r="996" spans="1:80" ht="12.75" hidden="1" customHeight="1">
      <c r="A996" s="10">
        <f ca="1">IFERROR(__xludf.DUMMYFUNCTION("""COMPUTED_VALUE"""),2014)</f>
        <v>2014</v>
      </c>
      <c r="B996" s="50">
        <f ca="1">IFERROR(__xludf.DUMMYFUNCTION("""COMPUTED_VALUE"""),42219)</f>
        <v>42219</v>
      </c>
      <c r="C996" s="41">
        <f ca="1">IFERROR(__xludf.DUMMYFUNCTION("""COMPUTED_VALUE"""),42306)</f>
        <v>42306</v>
      </c>
      <c r="D996" s="42" t="str">
        <f ca="1">IFERROR(__xludf.DUMMYFUNCTION("""COMPUTED_VALUE"""),"Pectoral Sandpiper")</f>
        <v>Pectoral Sandpiper</v>
      </c>
      <c r="E996" s="53">
        <f ca="1">IFERROR(__xludf.DUMMYFUNCTION("""COMPUTED_VALUE"""),1)</f>
        <v>1</v>
      </c>
      <c r="F996" s="15" t="str">
        <f ca="1">IFERROR(__xludf.DUMMYFUNCTION("""COMPUTED_VALUE"""),"Adult")</f>
        <v>Adult</v>
      </c>
      <c r="G996" s="44" t="str">
        <f ca="1">IFERROR(__xludf.DUMMYFUNCTION("""COMPUTED_VALUE"""),"Carr Lane Pools, Hale")</f>
        <v>Carr Lane Pools, Hale</v>
      </c>
      <c r="H996" s="12">
        <f ca="1">IFERROR(__xludf.DUMMYFUNCTION("""COMPUTED_VALUE"""),41852)</f>
        <v>41852</v>
      </c>
      <c r="I996" s="12">
        <f ca="1">IFERROR(__xludf.DUMMYFUNCTION("""COMPUTED_VALUE"""),41856)</f>
        <v>41856</v>
      </c>
      <c r="J996" s="14" t="str">
        <f ca="1">IFERROR(__xludf.DUMMYFUNCTION("""COMPUTED_VALUE"""),"Cockbain, R")</f>
        <v>Cockbain, R</v>
      </c>
      <c r="K996" s="15" t="str">
        <f ca="1">IFERROR(__xludf.DUMMYFUNCTION("""COMPUTED_VALUE"""),"Cockbain, R")</f>
        <v>Cockbain, R</v>
      </c>
      <c r="L996" s="17" t="str">
        <f ca="1">IFERROR(__xludf.DUMMYFUNCTION("""COMPUTED_VALUE"""),"closed")</f>
        <v>closed</v>
      </c>
      <c r="M996" s="17" t="str">
        <f ca="1">IFERROR(__xludf.DUMMYFUNCTION("""COMPUTED_VALUE"""),"1st U")</f>
        <v>1st U</v>
      </c>
      <c r="N996" s="15" t="str">
        <f ca="1">IFERROR(__xludf.DUMMYFUNCTION("""COMPUTED_VALUE"""),"Accepted")</f>
        <v>Accepted</v>
      </c>
      <c r="O996" s="18"/>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c r="BK996" s="15"/>
      <c r="BL996" s="15"/>
      <c r="BM996" s="15"/>
      <c r="BN996" s="15"/>
      <c r="BO996" s="15"/>
      <c r="BP996" s="15"/>
      <c r="BQ996" s="15"/>
      <c r="BR996" s="15"/>
      <c r="BS996" s="15"/>
      <c r="BT996" s="15"/>
      <c r="BU996" s="15"/>
      <c r="BV996" s="15"/>
      <c r="BW996" s="15"/>
      <c r="BX996" s="15"/>
      <c r="BY996" s="15"/>
      <c r="BZ996" s="15"/>
      <c r="CA996" s="15"/>
      <c r="CB996" s="15"/>
    </row>
    <row r="997" spans="1:80" ht="12.75" hidden="1" customHeight="1">
      <c r="A997" s="20">
        <f ca="1">IFERROR(__xludf.DUMMYFUNCTION("""COMPUTED_VALUE"""),2014)</f>
        <v>2014</v>
      </c>
      <c r="B997" s="45">
        <f ca="1">IFERROR(__xludf.DUMMYFUNCTION("""COMPUTED_VALUE"""),42272)</f>
        <v>42272</v>
      </c>
      <c r="C997" s="46">
        <f ca="1">IFERROR(__xludf.DUMMYFUNCTION("""COMPUTED_VALUE"""),42269)</f>
        <v>42269</v>
      </c>
      <c r="D997" s="47" t="str">
        <f ca="1">IFERROR(__xludf.DUMMYFUNCTION("""COMPUTED_VALUE"""),"Red-necked Phalarope")</f>
        <v>Red-necked Phalarope</v>
      </c>
      <c r="E997" s="52">
        <f ca="1">IFERROR(__xludf.DUMMYFUNCTION("""COMPUTED_VALUE"""),1)</f>
        <v>1</v>
      </c>
      <c r="F997" s="25"/>
      <c r="G997" s="48" t="str">
        <f ca="1">IFERROR(__xludf.DUMMYFUNCTION("""COMPUTED_VALUE"""),"Burton Mere Wetlands RSPB")</f>
        <v>Burton Mere Wetlands RSPB</v>
      </c>
      <c r="H997" s="22">
        <f ca="1">IFERROR(__xludf.DUMMYFUNCTION("""COMPUTED_VALUE"""),41886)</f>
        <v>41886</v>
      </c>
      <c r="I997" s="22">
        <f ca="1">IFERROR(__xludf.DUMMYFUNCTION("""COMPUTED_VALUE"""),41903)</f>
        <v>41903</v>
      </c>
      <c r="J997" s="24" t="str">
        <f ca="1">IFERROR(__xludf.DUMMYFUNCTION("""COMPUTED_VALUE"""),"Wells, CE")</f>
        <v>Wells, CE</v>
      </c>
      <c r="K997" s="25" t="str">
        <f ca="1">IFERROR(__xludf.DUMMYFUNCTION("""COMPUTED_VALUE"""),"Wells, C")</f>
        <v>Wells, C</v>
      </c>
      <c r="L997" s="27" t="str">
        <f ca="1">IFERROR(__xludf.DUMMYFUNCTION("""COMPUTED_VALUE"""),"closed")</f>
        <v>closed</v>
      </c>
      <c r="M997" s="27" t="str">
        <f ca="1">IFERROR(__xludf.DUMMYFUNCTION("""COMPUTED_VALUE"""),"1st U")</f>
        <v>1st U</v>
      </c>
      <c r="N997" s="25" t="str">
        <f ca="1">IFERROR(__xludf.DUMMYFUNCTION("""COMPUTED_VALUE"""),"Accepted")</f>
        <v>Accepted</v>
      </c>
      <c r="O997" s="28"/>
      <c r="P997" s="25"/>
      <c r="Q997" s="40"/>
      <c r="R997" s="40"/>
      <c r="S997" s="25"/>
      <c r="T997" s="25"/>
      <c r="U997" s="25"/>
      <c r="V997" s="25"/>
      <c r="W997" s="25"/>
      <c r="X997" s="25"/>
      <c r="Y997" s="25"/>
      <c r="Z997" s="25"/>
      <c r="AA997" s="25"/>
      <c r="AB997" s="25"/>
      <c r="AC997" s="25"/>
      <c r="AD997" s="25"/>
      <c r="AE997" s="25"/>
      <c r="AF997" s="25"/>
      <c r="AG997" s="25"/>
      <c r="AH997" s="25"/>
      <c r="AI997" s="25"/>
      <c r="AJ997" s="25"/>
      <c r="AK997" s="25"/>
      <c r="AL997" s="25"/>
      <c r="AM997" s="25"/>
      <c r="AN997" s="25"/>
      <c r="AO997" s="25"/>
      <c r="AP997" s="25"/>
      <c r="AQ997" s="25"/>
      <c r="AR997" s="25"/>
      <c r="AS997" s="25"/>
      <c r="AT997" s="25"/>
      <c r="AU997" s="25"/>
      <c r="AV997" s="25"/>
      <c r="AW997" s="25"/>
      <c r="AX997" s="25"/>
      <c r="AY997" s="25"/>
      <c r="AZ997" s="25"/>
      <c r="BA997" s="25"/>
      <c r="BB997" s="25"/>
      <c r="BC997" s="25"/>
      <c r="BD997" s="25"/>
      <c r="BE997" s="25"/>
      <c r="BF997" s="25"/>
      <c r="BG997" s="25"/>
      <c r="BH997" s="25"/>
      <c r="BI997" s="25"/>
      <c r="BJ997" s="25"/>
      <c r="BK997" s="25"/>
      <c r="BL997" s="25"/>
      <c r="BM997" s="25"/>
      <c r="BN997" s="25"/>
      <c r="BO997" s="25"/>
      <c r="BP997" s="25"/>
      <c r="BQ997" s="25"/>
      <c r="BR997" s="25"/>
      <c r="BS997" s="25"/>
      <c r="BT997" s="25"/>
      <c r="BU997" s="25"/>
      <c r="BV997" s="25"/>
      <c r="BW997" s="25"/>
      <c r="BX997" s="25"/>
      <c r="BY997" s="25"/>
      <c r="BZ997" s="25"/>
      <c r="CA997" s="25"/>
      <c r="CB997" s="25"/>
    </row>
    <row r="998" spans="1:80" ht="12.75" hidden="1" customHeight="1">
      <c r="A998" s="10">
        <f ca="1">IFERROR(__xludf.DUMMYFUNCTION("""COMPUTED_VALUE"""),2014)</f>
        <v>2014</v>
      </c>
      <c r="B998" s="50">
        <f ca="1">IFERROR(__xludf.DUMMYFUNCTION("""COMPUTED_VALUE"""),42219)</f>
        <v>42219</v>
      </c>
      <c r="C998" s="41">
        <f ca="1">IFERROR(__xludf.DUMMYFUNCTION("""COMPUTED_VALUE"""),42306)</f>
        <v>42306</v>
      </c>
      <c r="D998" s="42" t="str">
        <f ca="1">IFERROR(__xludf.DUMMYFUNCTION("""COMPUTED_VALUE"""),"Grey Phalarope")</f>
        <v>Grey Phalarope</v>
      </c>
      <c r="E998" s="53">
        <f ca="1">IFERROR(__xludf.DUMMYFUNCTION("""COMPUTED_VALUE"""),1)</f>
        <v>1</v>
      </c>
      <c r="F998" s="15" t="str">
        <f ca="1">IFERROR(__xludf.DUMMYFUNCTION("""COMPUTED_VALUE"""),"juv")</f>
        <v>juv</v>
      </c>
      <c r="G998" s="44" t="str">
        <f ca="1">IFERROR(__xludf.DUMMYFUNCTION("""COMPUTED_VALUE"""),"Meols")</f>
        <v>Meols</v>
      </c>
      <c r="H998" s="12">
        <f ca="1">IFERROR(__xludf.DUMMYFUNCTION("""COMPUTED_VALUE"""),41936)</f>
        <v>41936</v>
      </c>
      <c r="I998" s="12">
        <f ca="1">IFERROR(__xludf.DUMMYFUNCTION("""COMPUTED_VALUE"""),41936)</f>
        <v>41936</v>
      </c>
      <c r="J998" s="14" t="str">
        <f ca="1">IFERROR(__xludf.DUMMYFUNCTION("""COMPUTED_VALUE"""),"Williams, Eddie")</f>
        <v>Williams, Eddie</v>
      </c>
      <c r="K998" s="15" t="str">
        <f ca="1">IFERROR(__xludf.DUMMYFUNCTION("""COMPUTED_VALUE"""),"Williams, Eddie")</f>
        <v>Williams, Eddie</v>
      </c>
      <c r="L998" s="17" t="str">
        <f ca="1">IFERROR(__xludf.DUMMYFUNCTION("""COMPUTED_VALUE"""),"closed")</f>
        <v>closed</v>
      </c>
      <c r="M998" s="17" t="str">
        <f ca="1">IFERROR(__xludf.DUMMYFUNCTION("""COMPUTED_VALUE"""),"1st U")</f>
        <v>1st U</v>
      </c>
      <c r="N998" s="15" t="str">
        <f ca="1">IFERROR(__xludf.DUMMYFUNCTION("""COMPUTED_VALUE"""),"Accepted")</f>
        <v>Accepted</v>
      </c>
      <c r="O998" s="18"/>
      <c r="P998" s="15"/>
      <c r="Q998" s="58"/>
      <c r="R998" s="58"/>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c r="BK998" s="15"/>
      <c r="BL998" s="15"/>
      <c r="BM998" s="15"/>
      <c r="BN998" s="15"/>
      <c r="BO998" s="15"/>
      <c r="BP998" s="15"/>
      <c r="BQ998" s="15"/>
      <c r="BR998" s="15"/>
      <c r="BS998" s="15"/>
      <c r="BT998" s="15"/>
      <c r="BU998" s="15"/>
      <c r="BV998" s="15"/>
      <c r="BW998" s="15"/>
      <c r="BX998" s="15"/>
      <c r="BY998" s="15"/>
      <c r="BZ998" s="15"/>
      <c r="CA998" s="15"/>
      <c r="CB998" s="15"/>
    </row>
    <row r="999" spans="1:80" ht="12.75" hidden="1" customHeight="1">
      <c r="A999" s="20">
        <f ca="1">IFERROR(__xludf.DUMMYFUNCTION("""COMPUTED_VALUE"""),2014)</f>
        <v>2014</v>
      </c>
      <c r="B999" s="45">
        <f ca="1">IFERROR(__xludf.DUMMYFUNCTION("""COMPUTED_VALUE"""),42219)</f>
        <v>42219</v>
      </c>
      <c r="C999" s="46"/>
      <c r="D999" s="47" t="str">
        <f ca="1">IFERROR(__xludf.DUMMYFUNCTION("""COMPUTED_VALUE"""),"Sabine's Gull")</f>
        <v>Sabine's Gull</v>
      </c>
      <c r="E999" s="52">
        <f ca="1">IFERROR(__xludf.DUMMYFUNCTION("""COMPUTED_VALUE"""),1)</f>
        <v>1</v>
      </c>
      <c r="F999" s="25"/>
      <c r="G999" s="48" t="str">
        <f ca="1">IFERROR(__xludf.DUMMYFUNCTION("""COMPUTED_VALUE"""),"Hoylake")</f>
        <v>Hoylake</v>
      </c>
      <c r="H999" s="22">
        <f ca="1">IFERROR(__xludf.DUMMYFUNCTION("""COMPUTED_VALUE"""),41933)</f>
        <v>41933</v>
      </c>
      <c r="I999" s="22">
        <f ca="1">IFERROR(__xludf.DUMMYFUNCTION("""COMPUTED_VALUE"""),41933)</f>
        <v>41933</v>
      </c>
      <c r="J999" s="24" t="str">
        <f ca="1">IFERROR(__xludf.DUMMYFUNCTION("""COMPUTED_VALUE"""),"Turner, JE")</f>
        <v>Turner, JE</v>
      </c>
      <c r="K999" s="25" t="str">
        <f ca="1">IFERROR(__xludf.DUMMYFUNCTION("""COMPUTED_VALUE"""),"Turner, JE")</f>
        <v>Turner, JE</v>
      </c>
      <c r="L999" s="27" t="str">
        <f ca="1">IFERROR(__xludf.DUMMYFUNCTION("""COMPUTED_VALUE"""),"closed")</f>
        <v>closed</v>
      </c>
      <c r="M999" s="27" t="str">
        <f ca="1">IFERROR(__xludf.DUMMYFUNCTION("""COMPUTED_VALUE"""),"1st U")</f>
        <v>1st U</v>
      </c>
      <c r="N999" s="25" t="str">
        <f ca="1">IFERROR(__xludf.DUMMYFUNCTION("""COMPUTED_VALUE"""),"Accepted")</f>
        <v>Accepted</v>
      </c>
      <c r="O999" s="28"/>
      <c r="P999" s="25"/>
      <c r="Q999" s="40"/>
      <c r="R999" s="40"/>
      <c r="S999" s="25"/>
      <c r="T999" s="25"/>
      <c r="U999" s="25"/>
      <c r="V999" s="25"/>
      <c r="W999" s="25"/>
      <c r="X999" s="25"/>
      <c r="Y999" s="25"/>
      <c r="Z999" s="25"/>
      <c r="AA999" s="25"/>
      <c r="AB999" s="25"/>
      <c r="AC999" s="25"/>
      <c r="AD999" s="25"/>
      <c r="AE999" s="25"/>
      <c r="AF999" s="25"/>
      <c r="AG999" s="25"/>
      <c r="AH999" s="25"/>
      <c r="AI999" s="25"/>
      <c r="AJ999" s="25"/>
      <c r="AK999" s="25"/>
      <c r="AL999" s="25"/>
      <c r="AM999" s="25"/>
      <c r="AN999" s="25"/>
      <c r="AO999" s="25"/>
      <c r="AP999" s="25"/>
      <c r="AQ999" s="25"/>
      <c r="AR999" s="25"/>
      <c r="AS999" s="25"/>
      <c r="AT999" s="25"/>
      <c r="AU999" s="25"/>
      <c r="AV999" s="25"/>
      <c r="AW999" s="25"/>
      <c r="AX999" s="25"/>
      <c r="AY999" s="25"/>
      <c r="AZ999" s="25"/>
      <c r="BA999" s="25"/>
      <c r="BB999" s="25"/>
      <c r="BC999" s="25"/>
      <c r="BD999" s="25"/>
      <c r="BE999" s="25"/>
      <c r="BF999" s="25"/>
      <c r="BG999" s="25"/>
      <c r="BH999" s="25"/>
      <c r="BI999" s="25"/>
      <c r="BJ999" s="25"/>
      <c r="BK999" s="25"/>
      <c r="BL999" s="25"/>
      <c r="BM999" s="25"/>
      <c r="BN999" s="25"/>
      <c r="BO999" s="25"/>
      <c r="BP999" s="25"/>
      <c r="BQ999" s="25"/>
      <c r="BR999" s="25"/>
      <c r="BS999" s="25"/>
      <c r="BT999" s="25"/>
      <c r="BU999" s="25"/>
      <c r="BV999" s="25"/>
      <c r="BW999" s="25"/>
      <c r="BX999" s="25"/>
      <c r="BY999" s="25"/>
      <c r="BZ999" s="25"/>
      <c r="CA999" s="25"/>
      <c r="CB999" s="25"/>
    </row>
    <row r="1000" spans="1:80" ht="12.75" hidden="1" customHeight="1">
      <c r="A1000" s="10">
        <f ca="1">IFERROR(__xludf.DUMMYFUNCTION("""COMPUTED_VALUE"""),2014)</f>
        <v>2014</v>
      </c>
      <c r="B1000" s="50">
        <f ca="1">IFERROR(__xludf.DUMMYFUNCTION("""COMPUTED_VALUE"""),41905)</f>
        <v>41905</v>
      </c>
      <c r="C1000" s="41">
        <f ca="1">IFERROR(__xludf.DUMMYFUNCTION("""COMPUTED_VALUE"""),42249)</f>
        <v>42249</v>
      </c>
      <c r="D1000" s="42" t="str">
        <f ca="1">IFERROR(__xludf.DUMMYFUNCTION("""COMPUTED_VALUE"""),"Ring-billed Gull")</f>
        <v>Ring-billed Gull</v>
      </c>
      <c r="E1000" s="53">
        <f ca="1">IFERROR(__xludf.DUMMYFUNCTION("""COMPUTED_VALUE"""),1)</f>
        <v>1</v>
      </c>
      <c r="F1000" s="15" t="str">
        <f ca="1">IFERROR(__xludf.DUMMYFUNCTION("""COMPUTED_VALUE"""),"Adult")</f>
        <v>Adult</v>
      </c>
      <c r="G1000" s="44" t="str">
        <f ca="1">IFERROR(__xludf.DUMMYFUNCTION("""COMPUTED_VALUE"""),"Burton Mere Wetlands RSPB")</f>
        <v>Burton Mere Wetlands RSPB</v>
      </c>
      <c r="H1000" s="12">
        <f ca="1">IFERROR(__xludf.DUMMYFUNCTION("""COMPUTED_VALUE"""),41650)</f>
        <v>41650</v>
      </c>
      <c r="I1000" s="12"/>
      <c r="J1000" s="14"/>
      <c r="K1000" s="15"/>
      <c r="L1000" s="17" t="str">
        <f ca="1">IFERROR(__xludf.DUMMYFUNCTION("""COMPUTED_VALUE"""),"closed")</f>
        <v>closed</v>
      </c>
      <c r="M1000" s="17" t="str">
        <f ca="1">IFERROR(__xludf.DUMMYFUNCTION("""COMPUTED_VALUE"""),"2nd M")</f>
        <v>2nd M</v>
      </c>
      <c r="N1000" s="15" t="str">
        <f ca="1">IFERROR(__xludf.DUMMYFUNCTION("""COMPUTED_VALUE"""),"unproven")</f>
        <v>unproven</v>
      </c>
      <c r="O1000" s="18"/>
      <c r="P1000" s="15"/>
      <c r="Q1000" s="58"/>
      <c r="R1000" s="58"/>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c r="BK1000" s="15"/>
      <c r="BL1000" s="15"/>
      <c r="BM1000" s="15"/>
      <c r="BN1000" s="15"/>
      <c r="BO1000" s="15"/>
      <c r="BP1000" s="15"/>
      <c r="BQ1000" s="15"/>
      <c r="BR1000" s="15"/>
      <c r="BS1000" s="15"/>
      <c r="BT1000" s="15"/>
      <c r="BU1000" s="15"/>
      <c r="BV1000" s="15"/>
      <c r="BW1000" s="15"/>
      <c r="BX1000" s="15"/>
      <c r="BY1000" s="15"/>
      <c r="BZ1000" s="15"/>
      <c r="CA1000" s="15"/>
      <c r="CB1000" s="15"/>
    </row>
    <row r="1001" spans="1:80" ht="12.75" hidden="1" customHeight="1">
      <c r="A1001" s="20">
        <f ca="1">IFERROR(__xludf.DUMMYFUNCTION("""COMPUTED_VALUE"""),2014)</f>
        <v>2014</v>
      </c>
      <c r="B1001" s="45">
        <f ca="1">IFERROR(__xludf.DUMMYFUNCTION("""COMPUTED_VALUE"""),42219)</f>
        <v>42219</v>
      </c>
      <c r="C1001" s="46">
        <f ca="1">IFERROR(__xludf.DUMMYFUNCTION("""COMPUTED_VALUE"""),42324)</f>
        <v>42324</v>
      </c>
      <c r="D1001" s="47" t="str">
        <f ca="1">IFERROR(__xludf.DUMMYFUNCTION("""COMPUTED_VALUE"""),"Kumlien's Gull")</f>
        <v>Kumlien's Gull</v>
      </c>
      <c r="E1001" s="52">
        <f ca="1">IFERROR(__xludf.DUMMYFUNCTION("""COMPUTED_VALUE"""),1)</f>
        <v>1</v>
      </c>
      <c r="F1001" s="25"/>
      <c r="G1001" s="48" t="str">
        <f ca="1">IFERROR(__xludf.DUMMYFUNCTION("""COMPUTED_VALUE"""),"Richmond Bank")</f>
        <v>Richmond Bank</v>
      </c>
      <c r="H1001" s="22">
        <f ca="1">IFERROR(__xludf.DUMMYFUNCTION("""COMPUTED_VALUE"""),41678)</f>
        <v>41678</v>
      </c>
      <c r="I1001" s="22">
        <f ca="1">IFERROR(__xludf.DUMMYFUNCTION("""COMPUTED_VALUE"""),41678)</f>
        <v>41678</v>
      </c>
      <c r="J1001" s="24"/>
      <c r="K1001" s="25"/>
      <c r="L1001" s="27" t="str">
        <f ca="1">IFERROR(__xludf.DUMMYFUNCTION("""COMPUTED_VALUE"""),"closed")</f>
        <v>closed</v>
      </c>
      <c r="M1001" s="27" t="str">
        <f ca="1">IFERROR(__xludf.DUMMYFUNCTION("""COMPUTED_VALUE"""),"2nd M")</f>
        <v>2nd M</v>
      </c>
      <c r="N1001" s="25" t="str">
        <f ca="1">IFERROR(__xludf.DUMMYFUNCTION("""COMPUTED_VALUE"""),"unproven")</f>
        <v>unproven</v>
      </c>
      <c r="O1001" s="28"/>
      <c r="P1001" s="25"/>
      <c r="Q1001" s="40"/>
      <c r="R1001" s="40"/>
      <c r="S1001" s="25"/>
      <c r="T1001" s="25"/>
      <c r="U1001" s="25"/>
      <c r="V1001" s="25"/>
      <c r="W1001" s="25"/>
      <c r="X1001" s="25"/>
      <c r="Y1001" s="25"/>
      <c r="Z1001" s="25"/>
      <c r="AA1001" s="25"/>
      <c r="AB1001" s="25"/>
      <c r="AC1001" s="25"/>
      <c r="AD1001" s="25"/>
      <c r="AE1001" s="25"/>
      <c r="AF1001" s="25"/>
      <c r="AG1001" s="25"/>
      <c r="AH1001" s="25"/>
      <c r="AI1001" s="25"/>
      <c r="AJ1001" s="25"/>
      <c r="AK1001" s="25"/>
      <c r="AL1001" s="25"/>
      <c r="AM1001" s="25"/>
      <c r="AN1001" s="25"/>
      <c r="AO1001" s="25"/>
      <c r="AP1001" s="25"/>
      <c r="AQ1001" s="25"/>
      <c r="AR1001" s="25"/>
      <c r="AS1001" s="25"/>
      <c r="AT1001" s="25"/>
      <c r="AU1001" s="25"/>
      <c r="AV1001" s="25"/>
      <c r="AW1001" s="25"/>
      <c r="AX1001" s="25"/>
      <c r="AY1001" s="25"/>
      <c r="AZ1001" s="25"/>
      <c r="BA1001" s="25"/>
      <c r="BB1001" s="25"/>
      <c r="BC1001" s="25"/>
      <c r="BD1001" s="25"/>
      <c r="BE1001" s="25"/>
      <c r="BF1001" s="25"/>
      <c r="BG1001" s="25"/>
      <c r="BH1001" s="25"/>
      <c r="BI1001" s="25"/>
      <c r="BJ1001" s="25"/>
      <c r="BK1001" s="25"/>
      <c r="BL1001" s="25"/>
      <c r="BM1001" s="25"/>
      <c r="BN1001" s="25"/>
      <c r="BO1001" s="25"/>
      <c r="BP1001" s="25"/>
      <c r="BQ1001" s="25"/>
      <c r="BR1001" s="25"/>
      <c r="BS1001" s="25"/>
      <c r="BT1001" s="25"/>
      <c r="BU1001" s="25"/>
      <c r="BV1001" s="25"/>
      <c r="BW1001" s="25"/>
      <c r="BX1001" s="25"/>
      <c r="BY1001" s="25"/>
      <c r="BZ1001" s="25"/>
      <c r="CA1001" s="25"/>
      <c r="CB1001" s="25"/>
    </row>
    <row r="1002" spans="1:80" ht="12.75" hidden="1" customHeight="1">
      <c r="A1002" s="10">
        <f ca="1">IFERROR(__xludf.DUMMYFUNCTION("""COMPUTED_VALUE"""),2014)</f>
        <v>2014</v>
      </c>
      <c r="B1002" s="50">
        <f ca="1">IFERROR(__xludf.DUMMYFUNCTION("""COMPUTED_VALUE"""),42219)</f>
        <v>42219</v>
      </c>
      <c r="C1002" s="41">
        <f ca="1">IFERROR(__xludf.DUMMYFUNCTION("""COMPUTED_VALUE"""),42318)</f>
        <v>42318</v>
      </c>
      <c r="D1002" s="42" t="str">
        <f ca="1">IFERROR(__xludf.DUMMYFUNCTION("""COMPUTED_VALUE"""),"Pomarine Skua")</f>
        <v>Pomarine Skua</v>
      </c>
      <c r="E1002" s="53">
        <f ca="1">IFERROR(__xludf.DUMMYFUNCTION("""COMPUTED_VALUE"""),1)</f>
        <v>1</v>
      </c>
      <c r="F1002" s="15"/>
      <c r="G1002" s="44" t="str">
        <f ca="1">IFERROR(__xludf.DUMMYFUNCTION("""COMPUTED_VALUE"""),"Hoylake")</f>
        <v>Hoylake</v>
      </c>
      <c r="H1002" s="12">
        <f ca="1">IFERROR(__xludf.DUMMYFUNCTION("""COMPUTED_VALUE"""),41933)</f>
        <v>41933</v>
      </c>
      <c r="I1002" s="12">
        <f ca="1">IFERROR(__xludf.DUMMYFUNCTION("""COMPUTED_VALUE"""),41933)</f>
        <v>41933</v>
      </c>
      <c r="J1002" s="14" t="str">
        <f ca="1">IFERROR(__xludf.DUMMYFUNCTION("""COMPUTED_VALUE"""),"Turner, JE")</f>
        <v>Turner, JE</v>
      </c>
      <c r="K1002" s="15" t="str">
        <f ca="1">IFERROR(__xludf.DUMMYFUNCTION("""COMPUTED_VALUE"""),"Turner, JE")</f>
        <v>Turner, JE</v>
      </c>
      <c r="L1002" s="17" t="str">
        <f ca="1">IFERROR(__xludf.DUMMYFUNCTION("""COMPUTED_VALUE"""),"closed")</f>
        <v>closed</v>
      </c>
      <c r="M1002" s="17" t="str">
        <f ca="1">IFERROR(__xludf.DUMMYFUNCTION("""COMPUTED_VALUE"""),"1st U")</f>
        <v>1st U</v>
      </c>
      <c r="N1002" s="15" t="str">
        <f ca="1">IFERROR(__xludf.DUMMYFUNCTION("""COMPUTED_VALUE"""),"Accepted")</f>
        <v>Accepted</v>
      </c>
      <c r="O1002" s="18"/>
      <c r="P1002" s="15"/>
      <c r="Q1002" s="58"/>
      <c r="R1002" s="58"/>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15"/>
      <c r="AO1002" s="15"/>
      <c r="AP1002" s="15"/>
      <c r="AQ1002" s="15"/>
      <c r="AR1002" s="15"/>
      <c r="AS1002" s="15"/>
      <c r="AT1002" s="15"/>
      <c r="AU1002" s="15"/>
      <c r="AV1002" s="15"/>
      <c r="AW1002" s="15"/>
      <c r="AX1002" s="15"/>
      <c r="AY1002" s="15"/>
      <c r="AZ1002" s="15"/>
      <c r="BA1002" s="15"/>
      <c r="BB1002" s="15"/>
      <c r="BC1002" s="15"/>
      <c r="BD1002" s="15"/>
      <c r="BE1002" s="15"/>
      <c r="BF1002" s="15"/>
      <c r="BG1002" s="15"/>
      <c r="BH1002" s="15"/>
      <c r="BI1002" s="15"/>
      <c r="BJ1002" s="15"/>
      <c r="BK1002" s="15"/>
      <c r="BL1002" s="15"/>
      <c r="BM1002" s="15"/>
      <c r="BN1002" s="15"/>
      <c r="BO1002" s="15"/>
      <c r="BP1002" s="15"/>
      <c r="BQ1002" s="15"/>
      <c r="BR1002" s="15"/>
      <c r="BS1002" s="15"/>
      <c r="BT1002" s="15"/>
      <c r="BU1002" s="15"/>
      <c r="BV1002" s="15"/>
      <c r="BW1002" s="15"/>
      <c r="BX1002" s="15"/>
      <c r="BY1002" s="15"/>
      <c r="BZ1002" s="15"/>
      <c r="CA1002" s="15"/>
      <c r="CB1002" s="15"/>
    </row>
    <row r="1003" spans="1:80" ht="12.75" hidden="1" customHeight="1">
      <c r="A1003" s="20">
        <f ca="1">IFERROR(__xludf.DUMMYFUNCTION("""COMPUTED_VALUE"""),2014)</f>
        <v>2014</v>
      </c>
      <c r="B1003" s="45">
        <f ca="1">IFERROR(__xludf.DUMMYFUNCTION("""COMPUTED_VALUE"""),42219)</f>
        <v>42219</v>
      </c>
      <c r="C1003" s="46">
        <f ca="1">IFERROR(__xludf.DUMMYFUNCTION("""COMPUTED_VALUE"""),42320)</f>
        <v>42320</v>
      </c>
      <c r="D1003" s="47" t="str">
        <f ca="1">IFERROR(__xludf.DUMMYFUNCTION("""COMPUTED_VALUE"""),"Pomarine Skua")</f>
        <v>Pomarine Skua</v>
      </c>
      <c r="E1003" s="52">
        <f ca="1">IFERROR(__xludf.DUMMYFUNCTION("""COMPUTED_VALUE"""),1)</f>
        <v>1</v>
      </c>
      <c r="F1003" s="25"/>
      <c r="G1003" s="48" t="str">
        <f ca="1">IFERROR(__xludf.DUMMYFUNCTION("""COMPUTED_VALUE"""),"Hilbre")</f>
        <v>Hilbre</v>
      </c>
      <c r="H1003" s="22">
        <f ca="1">IFERROR(__xludf.DUMMYFUNCTION("""COMPUTED_VALUE"""),41950)</f>
        <v>41950</v>
      </c>
      <c r="I1003" s="22">
        <f ca="1">IFERROR(__xludf.DUMMYFUNCTION("""COMPUTED_VALUE"""),41950)</f>
        <v>41950</v>
      </c>
      <c r="J1003" s="24" t="str">
        <f ca="1">IFERROR(__xludf.DUMMYFUNCTION("""COMPUTED_VALUE"""),"HIBO")</f>
        <v>HIBO</v>
      </c>
      <c r="K1003" s="25" t="str">
        <f ca="1">IFERROR(__xludf.DUMMYFUNCTION("""COMPUTED_VALUE"""),"HIBO")</f>
        <v>HIBO</v>
      </c>
      <c r="L1003" s="27" t="str">
        <f ca="1">IFERROR(__xludf.DUMMYFUNCTION("""COMPUTED_VALUE"""),"closed")</f>
        <v>closed</v>
      </c>
      <c r="M1003" s="27" t="str">
        <f ca="1">IFERROR(__xludf.DUMMYFUNCTION("""COMPUTED_VALUE"""),"1st U")</f>
        <v>1st U</v>
      </c>
      <c r="N1003" s="25" t="str">
        <f ca="1">IFERROR(__xludf.DUMMYFUNCTION("""COMPUTED_VALUE"""),"accepted")</f>
        <v>accepted</v>
      </c>
      <c r="O1003" s="28" t="str">
        <f ca="1">IFERROR(__xludf.DUMMYFUNCTION("""COMPUTED_VALUE"""),"Hilbre Bird Observatory")</f>
        <v>Hilbre Bird Observatory</v>
      </c>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c r="AN1003" s="25"/>
      <c r="AO1003" s="25"/>
      <c r="AP1003" s="25"/>
      <c r="AQ1003" s="25"/>
      <c r="AR1003" s="25"/>
      <c r="AS1003" s="25"/>
      <c r="AT1003" s="25"/>
      <c r="AU1003" s="25"/>
      <c r="AV1003" s="25"/>
      <c r="AW1003" s="25"/>
      <c r="AX1003" s="25"/>
      <c r="AY1003" s="25"/>
      <c r="AZ1003" s="25"/>
      <c r="BA1003" s="25"/>
      <c r="BB1003" s="25"/>
      <c r="BC1003" s="25"/>
      <c r="BD1003" s="25"/>
      <c r="BE1003" s="25"/>
      <c r="BF1003" s="25"/>
      <c r="BG1003" s="25"/>
      <c r="BH1003" s="25"/>
      <c r="BI1003" s="25"/>
      <c r="BJ1003" s="25"/>
      <c r="BK1003" s="25"/>
      <c r="BL1003" s="25"/>
      <c r="BM1003" s="25"/>
      <c r="BN1003" s="25"/>
      <c r="BO1003" s="25"/>
      <c r="BP1003" s="25"/>
      <c r="BQ1003" s="25"/>
      <c r="BR1003" s="25"/>
      <c r="BS1003" s="25"/>
      <c r="BT1003" s="25"/>
      <c r="BU1003" s="25"/>
      <c r="BV1003" s="25"/>
      <c r="BW1003" s="25"/>
      <c r="BX1003" s="25"/>
      <c r="BY1003" s="25"/>
      <c r="BZ1003" s="25"/>
      <c r="CA1003" s="25"/>
      <c r="CB1003" s="25"/>
    </row>
    <row r="1004" spans="1:80" ht="12.75" hidden="1" customHeight="1">
      <c r="A1004" s="10">
        <f ca="1">IFERROR(__xludf.DUMMYFUNCTION("""COMPUTED_VALUE"""),2014)</f>
        <v>2014</v>
      </c>
      <c r="B1004" s="50">
        <f ca="1">IFERROR(__xludf.DUMMYFUNCTION("""COMPUTED_VALUE"""),42219)</f>
        <v>42219</v>
      </c>
      <c r="C1004" s="41"/>
      <c r="D1004" s="42" t="str">
        <f ca="1">IFERROR(__xludf.DUMMYFUNCTION("""COMPUTED_VALUE"""),"Pomarine Skua")</f>
        <v>Pomarine Skua</v>
      </c>
      <c r="E1004" s="53">
        <f ca="1">IFERROR(__xludf.DUMMYFUNCTION("""COMPUTED_VALUE"""),1)</f>
        <v>1</v>
      </c>
      <c r="F1004" s="15"/>
      <c r="G1004" s="44" t="str">
        <f ca="1">IFERROR(__xludf.DUMMYFUNCTION("""COMPUTED_VALUE"""),"Hilbre")</f>
        <v>Hilbre</v>
      </c>
      <c r="H1004" s="12">
        <f ca="1">IFERROR(__xludf.DUMMYFUNCTION("""COMPUTED_VALUE"""),41950)</f>
        <v>41950</v>
      </c>
      <c r="I1004" s="12">
        <f ca="1">IFERROR(__xludf.DUMMYFUNCTION("""COMPUTED_VALUE"""),41950)</f>
        <v>41950</v>
      </c>
      <c r="J1004" s="14" t="str">
        <f ca="1">IFERROR(__xludf.DUMMYFUNCTION("""COMPUTED_VALUE"""),"Scholfield, CC")</f>
        <v>Scholfield, CC</v>
      </c>
      <c r="K1004" s="15" t="str">
        <f ca="1">IFERROR(__xludf.DUMMYFUNCTION("""COMPUTED_VALUE"""),"CC Schofield")</f>
        <v>CC Schofield</v>
      </c>
      <c r="L1004" s="17" t="str">
        <f ca="1">IFERROR(__xludf.DUMMYFUNCTION("""COMPUTED_VALUE"""),"closed")</f>
        <v>closed</v>
      </c>
      <c r="M1004" s="17" t="str">
        <f ca="1">IFERROR(__xludf.DUMMYFUNCTION("""COMPUTED_VALUE"""),"proxy")</f>
        <v>proxy</v>
      </c>
      <c r="N1004" s="15" t="str">
        <f ca="1">IFERROR(__xludf.DUMMYFUNCTION("""COMPUTED_VALUE"""),"accepted")</f>
        <v>accepted</v>
      </c>
      <c r="O1004" s="18"/>
      <c r="P1004" s="15"/>
      <c r="Q1004" s="58"/>
      <c r="R1004" s="58"/>
      <c r="S1004" s="15"/>
      <c r="T1004" s="15"/>
      <c r="U1004" s="15"/>
      <c r="V1004" s="15"/>
      <c r="W1004" s="15"/>
      <c r="X1004" s="15"/>
      <c r="Y1004" s="15"/>
      <c r="Z1004" s="15"/>
      <c r="AA1004" s="15"/>
      <c r="AB1004" s="15"/>
      <c r="AC1004" s="15"/>
      <c r="AD1004" s="15"/>
      <c r="AE1004" s="15"/>
      <c r="AF1004" s="15"/>
      <c r="AG1004" s="15"/>
      <c r="AH1004" s="15"/>
      <c r="AI1004" s="15"/>
      <c r="AJ1004" s="15"/>
      <c r="AK1004" s="15"/>
      <c r="AL1004" s="15"/>
      <c r="AM1004" s="15"/>
      <c r="AN1004" s="15"/>
      <c r="AO1004" s="15"/>
      <c r="AP1004" s="15"/>
      <c r="AQ1004" s="15"/>
      <c r="AR1004" s="15"/>
      <c r="AS1004" s="15"/>
      <c r="AT1004" s="15"/>
      <c r="AU1004" s="15"/>
      <c r="AV1004" s="15"/>
      <c r="AW1004" s="15"/>
      <c r="AX1004" s="15"/>
      <c r="AY1004" s="15"/>
      <c r="AZ1004" s="15"/>
      <c r="BA1004" s="15"/>
      <c r="BB1004" s="15"/>
      <c r="BC1004" s="15"/>
      <c r="BD1004" s="15"/>
      <c r="BE1004" s="15"/>
      <c r="BF1004" s="15"/>
      <c r="BG1004" s="15"/>
      <c r="BH1004" s="15"/>
      <c r="BI1004" s="15"/>
      <c r="BJ1004" s="15"/>
      <c r="BK1004" s="15"/>
      <c r="BL1004" s="15"/>
      <c r="BM1004" s="15"/>
      <c r="BN1004" s="15"/>
      <c r="BO1004" s="15"/>
      <c r="BP1004" s="15"/>
      <c r="BQ1004" s="15"/>
      <c r="BR1004" s="15"/>
      <c r="BS1004" s="15"/>
      <c r="BT1004" s="15"/>
      <c r="BU1004" s="15"/>
      <c r="BV1004" s="15"/>
      <c r="BW1004" s="15"/>
      <c r="BX1004" s="15"/>
      <c r="BY1004" s="15"/>
      <c r="BZ1004" s="15"/>
      <c r="CA1004" s="15"/>
      <c r="CB1004" s="15"/>
    </row>
    <row r="1005" spans="1:80" ht="12.75" hidden="1" customHeight="1">
      <c r="A1005" s="20">
        <f ca="1">IFERROR(__xludf.DUMMYFUNCTION("""COMPUTED_VALUE"""),2014)</f>
        <v>2014</v>
      </c>
      <c r="B1005" s="45">
        <f ca="1">IFERROR(__xludf.DUMMYFUNCTION("""COMPUTED_VALUE"""),42219)</f>
        <v>42219</v>
      </c>
      <c r="C1005" s="46"/>
      <c r="D1005" s="47" t="str">
        <f ca="1">IFERROR(__xludf.DUMMYFUNCTION("""COMPUTED_VALUE"""),"Pomarine Skua")</f>
        <v>Pomarine Skua</v>
      </c>
      <c r="E1005" s="52">
        <f ca="1">IFERROR(__xludf.DUMMYFUNCTION("""COMPUTED_VALUE"""),1)</f>
        <v>1</v>
      </c>
      <c r="F1005" s="25"/>
      <c r="G1005" s="48" t="str">
        <f ca="1">IFERROR(__xludf.DUMMYFUNCTION("""COMPUTED_VALUE"""),"Hilbre")</f>
        <v>Hilbre</v>
      </c>
      <c r="H1005" s="22">
        <f ca="1">IFERROR(__xludf.DUMMYFUNCTION("""COMPUTED_VALUE"""),41950)</f>
        <v>41950</v>
      </c>
      <c r="I1005" s="22">
        <f ca="1">IFERROR(__xludf.DUMMYFUNCTION("""COMPUTED_VALUE"""),41950)</f>
        <v>41950</v>
      </c>
      <c r="J1005" s="24" t="str">
        <f ca="1">IFERROR(__xludf.DUMMYFUNCTION("""COMPUTED_VALUE"""),"Woollen, P")</f>
        <v>Woollen, P</v>
      </c>
      <c r="K1005" s="25" t="str">
        <f ca="1">IFERROR(__xludf.DUMMYFUNCTION("""COMPUTED_VALUE"""),"Woollen, P")</f>
        <v>Woollen, P</v>
      </c>
      <c r="L1005" s="27" t="str">
        <f ca="1">IFERROR(__xludf.DUMMYFUNCTION("""COMPUTED_VALUE"""),"closed")</f>
        <v>closed</v>
      </c>
      <c r="M1005" s="27" t="str">
        <f ca="1">IFERROR(__xludf.DUMMYFUNCTION("""COMPUTED_VALUE"""),"proxy")</f>
        <v>proxy</v>
      </c>
      <c r="N1005" s="25" t="str">
        <f ca="1">IFERROR(__xludf.DUMMYFUNCTION("""COMPUTED_VALUE"""),"accepted")</f>
        <v>accepted</v>
      </c>
      <c r="O1005" s="28"/>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c r="AK1005" s="25"/>
      <c r="AL1005" s="25"/>
      <c r="AM1005" s="25"/>
      <c r="AN1005" s="25"/>
      <c r="AO1005" s="25"/>
      <c r="AP1005" s="25"/>
      <c r="AQ1005" s="25"/>
      <c r="AR1005" s="25"/>
      <c r="AS1005" s="25"/>
      <c r="AT1005" s="25"/>
      <c r="AU1005" s="25"/>
      <c r="AV1005" s="25"/>
      <c r="AW1005" s="25"/>
      <c r="AX1005" s="25"/>
      <c r="AY1005" s="25"/>
      <c r="AZ1005" s="25"/>
      <c r="BA1005" s="25"/>
      <c r="BB1005" s="25"/>
      <c r="BC1005" s="25"/>
      <c r="BD1005" s="25"/>
      <c r="BE1005" s="25"/>
      <c r="BF1005" s="25"/>
      <c r="BG1005" s="25"/>
      <c r="BH1005" s="25"/>
      <c r="BI1005" s="25"/>
      <c r="BJ1005" s="25"/>
      <c r="BK1005" s="25"/>
      <c r="BL1005" s="25"/>
      <c r="BM1005" s="25"/>
      <c r="BN1005" s="25"/>
      <c r="BO1005" s="25"/>
      <c r="BP1005" s="25"/>
      <c r="BQ1005" s="25"/>
      <c r="BR1005" s="25"/>
      <c r="BS1005" s="25"/>
      <c r="BT1005" s="25"/>
      <c r="BU1005" s="25"/>
      <c r="BV1005" s="25"/>
      <c r="BW1005" s="25"/>
      <c r="BX1005" s="25"/>
      <c r="BY1005" s="25"/>
      <c r="BZ1005" s="25"/>
      <c r="CA1005" s="25"/>
      <c r="CB1005" s="25"/>
    </row>
    <row r="1006" spans="1:80" ht="12.75" hidden="1" customHeight="1">
      <c r="A1006" s="10">
        <f ca="1">IFERROR(__xludf.DUMMYFUNCTION("""COMPUTED_VALUE"""),2014)</f>
        <v>2014</v>
      </c>
      <c r="B1006" s="50">
        <f ca="1">IFERROR(__xludf.DUMMYFUNCTION("""COMPUTED_VALUE"""),42219)</f>
        <v>42219</v>
      </c>
      <c r="C1006" s="41">
        <f ca="1">IFERROR(__xludf.DUMMYFUNCTION("""COMPUTED_VALUE"""),42320)</f>
        <v>42320</v>
      </c>
      <c r="D1006" s="42" t="str">
        <f ca="1">IFERROR(__xludf.DUMMYFUNCTION("""COMPUTED_VALUE"""),"Long-tailed Skua")</f>
        <v>Long-tailed Skua</v>
      </c>
      <c r="E1006" s="53">
        <f ca="1">IFERROR(__xludf.DUMMYFUNCTION("""COMPUTED_VALUE"""),2)</f>
        <v>2</v>
      </c>
      <c r="F1006" s="15" t="str">
        <f ca="1">IFERROR(__xludf.DUMMYFUNCTION("""COMPUTED_VALUE"""),"Dark ad dark juv")</f>
        <v>Dark ad dark juv</v>
      </c>
      <c r="G1006" s="44" t="str">
        <f ca="1">IFERROR(__xludf.DUMMYFUNCTION("""COMPUTED_VALUE"""),"Hilbre")</f>
        <v>Hilbre</v>
      </c>
      <c r="H1006" s="12">
        <f ca="1">IFERROR(__xludf.DUMMYFUNCTION("""COMPUTED_VALUE"""),41906)</f>
        <v>41906</v>
      </c>
      <c r="I1006" s="12">
        <f ca="1">IFERROR(__xludf.DUMMYFUNCTION("""COMPUTED_VALUE"""),41906)</f>
        <v>41906</v>
      </c>
      <c r="J1006" s="14"/>
      <c r="K1006" s="15"/>
      <c r="L1006" s="17" t="str">
        <f ca="1">IFERROR(__xludf.DUMMYFUNCTION("""COMPUTED_VALUE"""),"closed")</f>
        <v>closed</v>
      </c>
      <c r="M1006" s="17" t="str">
        <f ca="1">IFERROR(__xludf.DUMMYFUNCTION("""COMPUTED_VALUE"""),"2nd M")</f>
        <v>2nd M</v>
      </c>
      <c r="N1006" s="15" t="str">
        <f ca="1">IFERROR(__xludf.DUMMYFUNCTION("""COMPUTED_VALUE"""),"unproven")</f>
        <v>unproven</v>
      </c>
      <c r="O1006" s="18" t="str">
        <f ca="1">IFERROR(__xludf.DUMMYFUNCTION("""COMPUTED_VALUE"""),"Photo showed a juv arctic")</f>
        <v>Photo showed a juv arctic</v>
      </c>
      <c r="P1006" s="15"/>
      <c r="Q1006" s="58"/>
      <c r="R1006" s="58"/>
      <c r="S1006" s="15"/>
      <c r="T1006" s="15"/>
      <c r="U1006" s="15"/>
      <c r="V1006" s="15"/>
      <c r="W1006" s="15"/>
      <c r="X1006" s="15"/>
      <c r="Y1006" s="15"/>
      <c r="Z1006" s="15"/>
      <c r="AA1006" s="15"/>
      <c r="AB1006" s="15"/>
      <c r="AC1006" s="15"/>
      <c r="AD1006" s="15"/>
      <c r="AE1006" s="15"/>
      <c r="AF1006" s="15"/>
      <c r="AG1006" s="15"/>
      <c r="AH1006" s="15"/>
      <c r="AI1006" s="15"/>
      <c r="AJ1006" s="15"/>
      <c r="AK1006" s="15"/>
      <c r="AL1006" s="15"/>
      <c r="AM1006" s="15"/>
      <c r="AN1006" s="15"/>
      <c r="AO1006" s="15"/>
      <c r="AP1006" s="15"/>
      <c r="AQ1006" s="15"/>
      <c r="AR1006" s="15"/>
      <c r="AS1006" s="15"/>
      <c r="AT1006" s="15"/>
      <c r="AU1006" s="15"/>
      <c r="AV1006" s="15"/>
      <c r="AW1006" s="15"/>
      <c r="AX1006" s="15"/>
      <c r="AY1006" s="15"/>
      <c r="AZ1006" s="15"/>
      <c r="BA1006" s="15"/>
      <c r="BB1006" s="15"/>
      <c r="BC1006" s="15"/>
      <c r="BD1006" s="15"/>
      <c r="BE1006" s="15"/>
      <c r="BF1006" s="15"/>
      <c r="BG1006" s="15"/>
      <c r="BH1006" s="15"/>
      <c r="BI1006" s="15"/>
      <c r="BJ1006" s="15"/>
      <c r="BK1006" s="15"/>
      <c r="BL1006" s="15"/>
      <c r="BM1006" s="15"/>
      <c r="BN1006" s="15"/>
      <c r="BO1006" s="15"/>
      <c r="BP1006" s="15"/>
      <c r="BQ1006" s="15"/>
      <c r="BR1006" s="15"/>
      <c r="BS1006" s="15"/>
      <c r="BT1006" s="15"/>
      <c r="BU1006" s="15"/>
      <c r="BV1006" s="15"/>
      <c r="BW1006" s="15"/>
      <c r="BX1006" s="15"/>
      <c r="BY1006" s="15"/>
      <c r="BZ1006" s="15"/>
      <c r="CA1006" s="15"/>
      <c r="CB1006" s="15"/>
    </row>
    <row r="1007" spans="1:80" ht="12.75" hidden="1" customHeight="1">
      <c r="A1007" s="20">
        <f ca="1">IFERROR(__xludf.DUMMYFUNCTION("""COMPUTED_VALUE"""),2014)</f>
        <v>2014</v>
      </c>
      <c r="B1007" s="45">
        <f ca="1">IFERROR(__xludf.DUMMYFUNCTION("""COMPUTED_VALUE"""),42219)</f>
        <v>42219</v>
      </c>
      <c r="C1007" s="46">
        <f ca="1">IFERROR(__xludf.DUMMYFUNCTION("""COMPUTED_VALUE"""),42320)</f>
        <v>42320</v>
      </c>
      <c r="D1007" s="47" t="str">
        <f ca="1">IFERROR(__xludf.DUMMYFUNCTION("""COMPUTED_VALUE"""),"Black Guillemot")</f>
        <v>Black Guillemot</v>
      </c>
      <c r="E1007" s="52">
        <f ca="1">IFERROR(__xludf.DUMMYFUNCTION("""COMPUTED_VALUE"""),1)</f>
        <v>1</v>
      </c>
      <c r="F1007" s="25"/>
      <c r="G1007" s="48" t="str">
        <f ca="1">IFERROR(__xludf.DUMMYFUNCTION("""COMPUTED_VALUE"""),"Hilbre")</f>
        <v>Hilbre</v>
      </c>
      <c r="H1007" s="22">
        <f ca="1">IFERROR(__xludf.DUMMYFUNCTION("""COMPUTED_VALUE"""),41786)</f>
        <v>41786</v>
      </c>
      <c r="I1007" s="22">
        <f ca="1">IFERROR(__xludf.DUMMYFUNCTION("""COMPUTED_VALUE"""),41786)</f>
        <v>41786</v>
      </c>
      <c r="J1007" s="24" t="str">
        <f ca="1">IFERROR(__xludf.DUMMYFUNCTION("""COMPUTED_VALUE"""),"HIBO")</f>
        <v>HIBO</v>
      </c>
      <c r="K1007" s="25" t="str">
        <f ca="1">IFERROR(__xludf.DUMMYFUNCTION("""COMPUTED_VALUE"""),"HIBO")</f>
        <v>HIBO</v>
      </c>
      <c r="L1007" s="27" t="str">
        <f ca="1">IFERROR(__xludf.DUMMYFUNCTION("""COMPUTED_VALUE"""),"closed")</f>
        <v>closed</v>
      </c>
      <c r="M1007" s="27" t="str">
        <f ca="1">IFERROR(__xludf.DUMMYFUNCTION("""COMPUTED_VALUE"""),"1st U")</f>
        <v>1st U</v>
      </c>
      <c r="N1007" s="25" t="str">
        <f ca="1">IFERROR(__xludf.DUMMYFUNCTION("""COMPUTED_VALUE"""),"accepted")</f>
        <v>accepted</v>
      </c>
      <c r="O1007" s="28" t="str">
        <f ca="1">IFERROR(__xludf.DUMMYFUNCTION("""COMPUTED_VALUE"""),"Hilbre Bird Observatory")</f>
        <v>Hilbre Bird Observatory</v>
      </c>
      <c r="P1007" s="25"/>
      <c r="Q1007" s="40"/>
      <c r="R1007" s="40"/>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c r="AN1007" s="25"/>
      <c r="AO1007" s="25"/>
      <c r="AP1007" s="25"/>
      <c r="AQ1007" s="25"/>
      <c r="AR1007" s="25"/>
      <c r="AS1007" s="25"/>
      <c r="AT1007" s="25"/>
      <c r="AU1007" s="25"/>
      <c r="AV1007" s="25"/>
      <c r="AW1007" s="25"/>
      <c r="AX1007" s="25"/>
      <c r="AY1007" s="25"/>
      <c r="AZ1007" s="25"/>
      <c r="BA1007" s="25"/>
      <c r="BB1007" s="25"/>
      <c r="BC1007" s="25"/>
      <c r="BD1007" s="25"/>
      <c r="BE1007" s="25"/>
      <c r="BF1007" s="25"/>
      <c r="BG1007" s="25"/>
      <c r="BH1007" s="25"/>
      <c r="BI1007" s="25"/>
      <c r="BJ1007" s="25"/>
      <c r="BK1007" s="25"/>
      <c r="BL1007" s="25"/>
      <c r="BM1007" s="25"/>
      <c r="BN1007" s="25"/>
      <c r="BO1007" s="25"/>
      <c r="BP1007" s="25"/>
      <c r="BQ1007" s="25"/>
      <c r="BR1007" s="25"/>
      <c r="BS1007" s="25"/>
      <c r="BT1007" s="25"/>
      <c r="BU1007" s="25"/>
      <c r="BV1007" s="25"/>
      <c r="BW1007" s="25"/>
      <c r="BX1007" s="25"/>
      <c r="BY1007" s="25"/>
      <c r="BZ1007" s="25"/>
      <c r="CA1007" s="25"/>
      <c r="CB1007" s="25"/>
    </row>
    <row r="1008" spans="1:80" ht="12.75" hidden="1" customHeight="1">
      <c r="A1008" s="10">
        <f ca="1">IFERROR(__xludf.DUMMYFUNCTION("""COMPUTED_VALUE"""),2014)</f>
        <v>2014</v>
      </c>
      <c r="B1008" s="50">
        <f ca="1">IFERROR(__xludf.DUMMYFUNCTION("""COMPUTED_VALUE"""),42219)</f>
        <v>42219</v>
      </c>
      <c r="C1008" s="41">
        <f ca="1">IFERROR(__xludf.DUMMYFUNCTION("""COMPUTED_VALUE"""),42308)</f>
        <v>42308</v>
      </c>
      <c r="D1008" s="42" t="str">
        <f ca="1">IFERROR(__xludf.DUMMYFUNCTION("""COMPUTED_VALUE"""),"Puffin")</f>
        <v>Puffin</v>
      </c>
      <c r="E1008" s="53">
        <f ca="1">IFERROR(__xludf.DUMMYFUNCTION("""COMPUTED_VALUE"""),4)</f>
        <v>4</v>
      </c>
      <c r="F1008" s="15"/>
      <c r="G1008" s="44" t="str">
        <f ca="1">IFERROR(__xludf.DUMMYFUNCTION("""COMPUTED_VALUE"""),"Hoylake")</f>
        <v>Hoylake</v>
      </c>
      <c r="H1008" s="12">
        <f ca="1">IFERROR(__xludf.DUMMYFUNCTION("""COMPUTED_VALUE"""),41931)</f>
        <v>41931</v>
      </c>
      <c r="I1008" s="12">
        <f ca="1">IFERROR(__xludf.DUMMYFUNCTION("""COMPUTED_VALUE"""),41931)</f>
        <v>41931</v>
      </c>
      <c r="J1008" s="14" t="str">
        <f ca="1">IFERROR(__xludf.DUMMYFUNCTION("""COMPUTED_VALUE"""),"Turner, JE")</f>
        <v>Turner, JE</v>
      </c>
      <c r="K1008" s="15" t="str">
        <f ca="1">IFERROR(__xludf.DUMMYFUNCTION("""COMPUTED_VALUE"""),"Turner, JE")</f>
        <v>Turner, JE</v>
      </c>
      <c r="L1008" s="17" t="str">
        <f ca="1">IFERROR(__xludf.DUMMYFUNCTION("""COMPUTED_VALUE"""),"closed")</f>
        <v>closed</v>
      </c>
      <c r="M1008" s="17" t="str">
        <f ca="1">IFERROR(__xludf.DUMMYFUNCTION("""COMPUTED_VALUE"""),"1st U")</f>
        <v>1st U</v>
      </c>
      <c r="N1008" s="15" t="str">
        <f ca="1">IFERROR(__xludf.DUMMYFUNCTION("""COMPUTED_VALUE"""),"accepted")</f>
        <v>accepted</v>
      </c>
      <c r="O1008" s="18"/>
      <c r="P1008" s="15"/>
      <c r="Q1008" s="58"/>
      <c r="R1008" s="58"/>
      <c r="S1008" s="15"/>
      <c r="T1008" s="15"/>
      <c r="U1008" s="15"/>
      <c r="V1008" s="15"/>
      <c r="W1008" s="15"/>
      <c r="X1008" s="15"/>
      <c r="Y1008" s="15"/>
      <c r="Z1008" s="15"/>
      <c r="AA1008" s="15"/>
      <c r="AB1008" s="15"/>
      <c r="AC1008" s="15"/>
      <c r="AD1008" s="15"/>
      <c r="AE1008" s="15"/>
      <c r="AF1008" s="15"/>
      <c r="AG1008" s="15"/>
      <c r="AH1008" s="15"/>
      <c r="AI1008" s="15"/>
      <c r="AJ1008" s="15"/>
      <c r="AK1008" s="15"/>
      <c r="AL1008" s="15"/>
      <c r="AM1008" s="15"/>
      <c r="AN1008" s="15"/>
      <c r="AO1008" s="15"/>
      <c r="AP1008" s="15"/>
      <c r="AQ1008" s="15"/>
      <c r="AR1008" s="15"/>
      <c r="AS1008" s="15"/>
      <c r="AT1008" s="15"/>
      <c r="AU1008" s="15"/>
      <c r="AV1008" s="15"/>
      <c r="AW1008" s="15"/>
      <c r="AX1008" s="15"/>
      <c r="AY1008" s="15"/>
      <c r="AZ1008" s="15"/>
      <c r="BA1008" s="15"/>
      <c r="BB1008" s="15"/>
      <c r="BC1008" s="15"/>
      <c r="BD1008" s="15"/>
      <c r="BE1008" s="15"/>
      <c r="BF1008" s="15"/>
      <c r="BG1008" s="15"/>
      <c r="BH1008" s="15"/>
      <c r="BI1008" s="15"/>
      <c r="BJ1008" s="15"/>
      <c r="BK1008" s="15"/>
      <c r="BL1008" s="15"/>
      <c r="BM1008" s="15"/>
      <c r="BN1008" s="15"/>
      <c r="BO1008" s="15"/>
      <c r="BP1008" s="15"/>
      <c r="BQ1008" s="15"/>
      <c r="BR1008" s="15"/>
      <c r="BS1008" s="15"/>
      <c r="BT1008" s="15"/>
      <c r="BU1008" s="15"/>
      <c r="BV1008" s="15"/>
      <c r="BW1008" s="15"/>
      <c r="BX1008" s="15"/>
      <c r="BY1008" s="15"/>
      <c r="BZ1008" s="15"/>
      <c r="CA1008" s="15"/>
      <c r="CB1008" s="15"/>
    </row>
    <row r="1009" spans="1:80" ht="12.75" hidden="1" customHeight="1">
      <c r="A1009" s="20">
        <f ca="1">IFERROR(__xludf.DUMMYFUNCTION("""COMPUTED_VALUE"""),2014)</f>
        <v>2014</v>
      </c>
      <c r="B1009" s="45">
        <f ca="1">IFERROR(__xludf.DUMMYFUNCTION("""COMPUTED_VALUE"""),42219)</f>
        <v>42219</v>
      </c>
      <c r="C1009" s="46">
        <f ca="1">IFERROR(__xludf.DUMMYFUNCTION("""COMPUTED_VALUE"""),42318)</f>
        <v>42318</v>
      </c>
      <c r="D1009" s="47" t="str">
        <f ca="1">IFERROR(__xludf.DUMMYFUNCTION("""COMPUTED_VALUE"""),"Black-throated Diver")</f>
        <v>Black-throated Diver</v>
      </c>
      <c r="E1009" s="52">
        <f ca="1">IFERROR(__xludf.DUMMYFUNCTION("""COMPUTED_VALUE"""),1)</f>
        <v>1</v>
      </c>
      <c r="F1009" s="25"/>
      <c r="G1009" s="48" t="str">
        <f ca="1">IFERROR(__xludf.DUMMYFUNCTION("""COMPUTED_VALUE"""),"Hoylake")</f>
        <v>Hoylake</v>
      </c>
      <c r="H1009" s="22">
        <f ca="1">IFERROR(__xludf.DUMMYFUNCTION("""COMPUTED_VALUE"""),41734)</f>
        <v>41734</v>
      </c>
      <c r="I1009" s="22">
        <f ca="1">IFERROR(__xludf.DUMMYFUNCTION("""COMPUTED_VALUE"""),41734)</f>
        <v>41734</v>
      </c>
      <c r="J1009" s="24" t="str">
        <f ca="1">IFERROR(__xludf.DUMMYFUNCTION("""COMPUTED_VALUE"""),"Turner, JE")</f>
        <v>Turner, JE</v>
      </c>
      <c r="K1009" s="25" t="str">
        <f ca="1">IFERROR(__xludf.DUMMYFUNCTION("""COMPUTED_VALUE"""),"Turner, JE")</f>
        <v>Turner, JE</v>
      </c>
      <c r="L1009" s="27" t="str">
        <f ca="1">IFERROR(__xludf.DUMMYFUNCTION("""COMPUTED_VALUE"""),"closed")</f>
        <v>closed</v>
      </c>
      <c r="M1009" s="27" t="str">
        <f ca="1">IFERROR(__xludf.DUMMYFUNCTION("""COMPUTED_VALUE"""),"1st U")</f>
        <v>1st U</v>
      </c>
      <c r="N1009" s="25" t="str">
        <f ca="1">IFERROR(__xludf.DUMMYFUNCTION("""COMPUTED_VALUE"""),"accepted")</f>
        <v>accepted</v>
      </c>
      <c r="O1009" s="28"/>
      <c r="P1009" s="25"/>
      <c r="Q1009" s="25"/>
      <c r="R1009" s="25"/>
      <c r="S1009" s="25"/>
      <c r="T1009" s="25"/>
      <c r="U1009" s="25"/>
      <c r="V1009" s="25"/>
      <c r="W1009" s="25"/>
      <c r="X1009" s="25"/>
      <c r="Y1009" s="25"/>
      <c r="Z1009" s="25"/>
      <c r="AA1009" s="25"/>
      <c r="AB1009" s="25"/>
      <c r="AC1009" s="25"/>
      <c r="AD1009" s="25"/>
      <c r="AE1009" s="25"/>
      <c r="AF1009" s="25"/>
      <c r="AG1009" s="25"/>
      <c r="AH1009" s="25"/>
      <c r="AI1009" s="25"/>
      <c r="AJ1009" s="25"/>
      <c r="AK1009" s="25"/>
      <c r="AL1009" s="25"/>
      <c r="AM1009" s="25"/>
      <c r="AN1009" s="25"/>
      <c r="AO1009" s="25"/>
      <c r="AP1009" s="25"/>
      <c r="AQ1009" s="25"/>
      <c r="AR1009" s="25"/>
      <c r="AS1009" s="25"/>
      <c r="AT1009" s="25"/>
      <c r="AU1009" s="25"/>
      <c r="AV1009" s="25"/>
      <c r="AW1009" s="25"/>
      <c r="AX1009" s="25"/>
      <c r="AY1009" s="25"/>
      <c r="AZ1009" s="25"/>
      <c r="BA1009" s="25"/>
      <c r="BB1009" s="25"/>
      <c r="BC1009" s="25"/>
      <c r="BD1009" s="25"/>
      <c r="BE1009" s="25"/>
      <c r="BF1009" s="25"/>
      <c r="BG1009" s="25"/>
      <c r="BH1009" s="25"/>
      <c r="BI1009" s="25"/>
      <c r="BJ1009" s="25"/>
      <c r="BK1009" s="25"/>
      <c r="BL1009" s="25"/>
      <c r="BM1009" s="25"/>
      <c r="BN1009" s="25"/>
      <c r="BO1009" s="25"/>
      <c r="BP1009" s="25"/>
      <c r="BQ1009" s="25"/>
      <c r="BR1009" s="25"/>
      <c r="BS1009" s="25"/>
      <c r="BT1009" s="25"/>
      <c r="BU1009" s="25"/>
      <c r="BV1009" s="25"/>
      <c r="BW1009" s="25"/>
      <c r="BX1009" s="25"/>
      <c r="BY1009" s="25"/>
      <c r="BZ1009" s="25"/>
      <c r="CA1009" s="25"/>
      <c r="CB1009" s="25"/>
    </row>
    <row r="1010" spans="1:80" ht="12.75" hidden="1" customHeight="1">
      <c r="A1010" s="10">
        <f ca="1">IFERROR(__xludf.DUMMYFUNCTION("""COMPUTED_VALUE"""),2014)</f>
        <v>2014</v>
      </c>
      <c r="B1010" s="50">
        <f ca="1">IFERROR(__xludf.DUMMYFUNCTION("""COMPUTED_VALUE"""),42219)</f>
        <v>42219</v>
      </c>
      <c r="C1010" s="41">
        <f ca="1">IFERROR(__xludf.DUMMYFUNCTION("""COMPUTED_VALUE"""),42318)</f>
        <v>42318</v>
      </c>
      <c r="D1010" s="42" t="str">
        <f ca="1">IFERROR(__xludf.DUMMYFUNCTION("""COMPUTED_VALUE"""),"Black-throated Diver")</f>
        <v>Black-throated Diver</v>
      </c>
      <c r="E1010" s="53">
        <f ca="1">IFERROR(__xludf.DUMMYFUNCTION("""COMPUTED_VALUE"""),2)</f>
        <v>2</v>
      </c>
      <c r="F1010" s="15"/>
      <c r="G1010" s="44" t="str">
        <f ca="1">IFERROR(__xludf.DUMMYFUNCTION("""COMPUTED_VALUE"""),"Hoylake")</f>
        <v>Hoylake</v>
      </c>
      <c r="H1010" s="12">
        <f ca="1">IFERROR(__xludf.DUMMYFUNCTION("""COMPUTED_VALUE"""),41756)</f>
        <v>41756</v>
      </c>
      <c r="I1010" s="12">
        <f ca="1">IFERROR(__xludf.DUMMYFUNCTION("""COMPUTED_VALUE"""),41757)</f>
        <v>41757</v>
      </c>
      <c r="J1010" s="14" t="str">
        <f ca="1">IFERROR(__xludf.DUMMYFUNCTION("""COMPUTED_VALUE"""),"Turner, JE")</f>
        <v>Turner, JE</v>
      </c>
      <c r="K1010" s="15" t="str">
        <f ca="1">IFERROR(__xludf.DUMMYFUNCTION("""COMPUTED_VALUE"""),"Turner, JE")</f>
        <v>Turner, JE</v>
      </c>
      <c r="L1010" s="17" t="str">
        <f ca="1">IFERROR(__xludf.DUMMYFUNCTION("""COMPUTED_VALUE"""),"closed")</f>
        <v>closed</v>
      </c>
      <c r="M1010" s="17" t="str">
        <f ca="1">IFERROR(__xludf.DUMMYFUNCTION("""COMPUTED_VALUE"""),"1st U")</f>
        <v>1st U</v>
      </c>
      <c r="N1010" s="15" t="str">
        <f ca="1">IFERROR(__xludf.DUMMYFUNCTION("""COMPUTED_VALUE"""),"accepted")</f>
        <v>accepted</v>
      </c>
      <c r="O1010" s="18"/>
      <c r="P1010" s="15"/>
      <c r="Q1010" s="15"/>
      <c r="R1010" s="15"/>
      <c r="S1010" s="15"/>
      <c r="T1010" s="15"/>
      <c r="U1010" s="15"/>
      <c r="V1010" s="15"/>
      <c r="W1010" s="15"/>
      <c r="X1010" s="15"/>
      <c r="Y1010" s="15"/>
      <c r="Z1010" s="15"/>
      <c r="AA1010" s="15"/>
      <c r="AB1010" s="15"/>
      <c r="AC1010" s="15"/>
      <c r="AD1010" s="15"/>
      <c r="AE1010" s="15"/>
      <c r="AF1010" s="15"/>
      <c r="AG1010" s="15"/>
      <c r="AH1010" s="15"/>
      <c r="AI1010" s="15"/>
      <c r="AJ1010" s="15"/>
      <c r="AK1010" s="15"/>
      <c r="AL1010" s="15"/>
      <c r="AM1010" s="15"/>
      <c r="AN1010" s="15"/>
      <c r="AO1010" s="15"/>
      <c r="AP1010" s="15"/>
      <c r="AQ1010" s="15"/>
      <c r="AR1010" s="15"/>
      <c r="AS1010" s="15"/>
      <c r="AT1010" s="15"/>
      <c r="AU1010" s="15"/>
      <c r="AV1010" s="15"/>
      <c r="AW1010" s="15"/>
      <c r="AX1010" s="15"/>
      <c r="AY1010" s="15"/>
      <c r="AZ1010" s="15"/>
      <c r="BA1010" s="15"/>
      <c r="BB1010" s="15"/>
      <c r="BC1010" s="15"/>
      <c r="BD1010" s="15"/>
      <c r="BE1010" s="15"/>
      <c r="BF1010" s="15"/>
      <c r="BG1010" s="15"/>
      <c r="BH1010" s="15"/>
      <c r="BI1010" s="15"/>
      <c r="BJ1010" s="15"/>
      <c r="BK1010" s="15"/>
      <c r="BL1010" s="15"/>
      <c r="BM1010" s="15"/>
      <c r="BN1010" s="15"/>
      <c r="BO1010" s="15"/>
      <c r="BP1010" s="15"/>
      <c r="BQ1010" s="15"/>
      <c r="BR1010" s="15"/>
      <c r="BS1010" s="15"/>
      <c r="BT1010" s="15"/>
      <c r="BU1010" s="15"/>
      <c r="BV1010" s="15"/>
      <c r="BW1010" s="15"/>
      <c r="BX1010" s="15"/>
      <c r="BY1010" s="15"/>
      <c r="BZ1010" s="15"/>
      <c r="CA1010" s="15"/>
      <c r="CB1010" s="15"/>
    </row>
    <row r="1011" spans="1:80" ht="12.75" hidden="1" customHeight="1">
      <c r="A1011" s="20">
        <f ca="1">IFERROR(__xludf.DUMMYFUNCTION("""COMPUTED_VALUE"""),2014)</f>
        <v>2014</v>
      </c>
      <c r="B1011" s="45">
        <f ca="1">IFERROR(__xludf.DUMMYFUNCTION("""COMPUTED_VALUE"""),42219)</f>
        <v>42219</v>
      </c>
      <c r="C1011" s="46">
        <f ca="1">IFERROR(__xludf.DUMMYFUNCTION("""COMPUTED_VALUE"""),42318)</f>
        <v>42318</v>
      </c>
      <c r="D1011" s="47" t="str">
        <f ca="1">IFERROR(__xludf.DUMMYFUNCTION("""COMPUTED_VALUE"""),"Black-throated Diver")</f>
        <v>Black-throated Diver</v>
      </c>
      <c r="E1011" s="52">
        <f ca="1">IFERROR(__xludf.DUMMYFUNCTION("""COMPUTED_VALUE"""),2)</f>
        <v>2</v>
      </c>
      <c r="F1011" s="25"/>
      <c r="G1011" s="48" t="str">
        <f ca="1">IFERROR(__xludf.DUMMYFUNCTION("""COMPUTED_VALUE"""),"Red Rocks, Hoylake")</f>
        <v>Red Rocks, Hoylake</v>
      </c>
      <c r="H1011" s="22">
        <f ca="1">IFERROR(__xludf.DUMMYFUNCTION("""COMPUTED_VALUE"""),41756)</f>
        <v>41756</v>
      </c>
      <c r="I1011" s="22">
        <f ca="1">IFERROR(__xludf.DUMMYFUNCTION("""COMPUTED_VALUE"""),41756)</f>
        <v>41756</v>
      </c>
      <c r="J1011" s="24" t="str">
        <f ca="1">IFERROR(__xludf.DUMMYFUNCTION("""COMPUTED_VALUE"""),"Turner, JE")</f>
        <v>Turner, JE</v>
      </c>
      <c r="K1011" s="25" t="str">
        <f ca="1">IFERROR(__xludf.DUMMYFUNCTION("""COMPUTED_VALUE"""),"Turner, JE")</f>
        <v>Turner, JE</v>
      </c>
      <c r="L1011" s="27" t="str">
        <f ca="1">IFERROR(__xludf.DUMMYFUNCTION("""COMPUTED_VALUE"""),"closed")</f>
        <v>closed</v>
      </c>
      <c r="M1011" s="27" t="str">
        <f ca="1">IFERROR(__xludf.DUMMYFUNCTION("""COMPUTED_VALUE"""),"1st U")</f>
        <v>1st U</v>
      </c>
      <c r="N1011" s="25" t="str">
        <f ca="1">IFERROR(__xludf.DUMMYFUNCTION("""COMPUTED_VALUE"""),"accepted")</f>
        <v>accepted</v>
      </c>
      <c r="O1011" s="28"/>
      <c r="P1011" s="25"/>
      <c r="Q1011" s="25"/>
      <c r="R1011" s="25"/>
      <c r="S1011" s="25"/>
      <c r="T1011" s="25"/>
      <c r="U1011" s="25"/>
      <c r="V1011" s="25"/>
      <c r="W1011" s="25"/>
      <c r="X1011" s="25"/>
      <c r="Y1011" s="25"/>
      <c r="Z1011" s="25"/>
      <c r="AA1011" s="25"/>
      <c r="AB1011" s="25"/>
      <c r="AC1011" s="25"/>
      <c r="AD1011" s="25"/>
      <c r="AE1011" s="25"/>
      <c r="AF1011" s="25"/>
      <c r="AG1011" s="25"/>
      <c r="AH1011" s="25"/>
      <c r="AI1011" s="25"/>
      <c r="AJ1011" s="25"/>
      <c r="AK1011" s="25"/>
      <c r="AL1011" s="25"/>
      <c r="AM1011" s="25"/>
      <c r="AN1011" s="25"/>
      <c r="AO1011" s="25"/>
      <c r="AP1011" s="25"/>
      <c r="AQ1011" s="25"/>
      <c r="AR1011" s="25"/>
      <c r="AS1011" s="25"/>
      <c r="AT1011" s="25"/>
      <c r="AU1011" s="25"/>
      <c r="AV1011" s="25"/>
      <c r="AW1011" s="25"/>
      <c r="AX1011" s="25"/>
      <c r="AY1011" s="25"/>
      <c r="AZ1011" s="25"/>
      <c r="BA1011" s="25"/>
      <c r="BB1011" s="25"/>
      <c r="BC1011" s="25"/>
      <c r="BD1011" s="25"/>
      <c r="BE1011" s="25"/>
      <c r="BF1011" s="25"/>
      <c r="BG1011" s="25"/>
      <c r="BH1011" s="25"/>
      <c r="BI1011" s="25"/>
      <c r="BJ1011" s="25"/>
      <c r="BK1011" s="25"/>
      <c r="BL1011" s="25"/>
      <c r="BM1011" s="25"/>
      <c r="BN1011" s="25"/>
      <c r="BO1011" s="25"/>
      <c r="BP1011" s="25"/>
      <c r="BQ1011" s="25"/>
      <c r="BR1011" s="25"/>
      <c r="BS1011" s="25"/>
      <c r="BT1011" s="25"/>
      <c r="BU1011" s="25"/>
      <c r="BV1011" s="25"/>
      <c r="BW1011" s="25"/>
      <c r="BX1011" s="25"/>
      <c r="BY1011" s="25"/>
      <c r="BZ1011" s="25"/>
      <c r="CA1011" s="25"/>
      <c r="CB1011" s="25"/>
    </row>
    <row r="1012" spans="1:80" ht="12.75" hidden="1" customHeight="1">
      <c r="A1012" s="10">
        <f ca="1">IFERROR(__xludf.DUMMYFUNCTION("""COMPUTED_VALUE"""),2014)</f>
        <v>2014</v>
      </c>
      <c r="B1012" s="50">
        <f ca="1">IFERROR(__xludf.DUMMYFUNCTION("""COMPUTED_VALUE"""),42219)</f>
        <v>42219</v>
      </c>
      <c r="C1012" s="41">
        <f ca="1">IFERROR(__xludf.DUMMYFUNCTION("""COMPUTED_VALUE"""),42318)</f>
        <v>42318</v>
      </c>
      <c r="D1012" s="42" t="str">
        <f ca="1">IFERROR(__xludf.DUMMYFUNCTION("""COMPUTED_VALUE"""),"Great Northern Diver")</f>
        <v>Great Northern Diver</v>
      </c>
      <c r="E1012" s="53">
        <f ca="1">IFERROR(__xludf.DUMMYFUNCTION("""COMPUTED_VALUE"""),1)</f>
        <v>1</v>
      </c>
      <c r="F1012" s="15"/>
      <c r="G1012" s="44" t="str">
        <f ca="1">IFERROR(__xludf.DUMMYFUNCTION("""COMPUTED_VALUE"""),"Hoylake")</f>
        <v>Hoylake</v>
      </c>
      <c r="H1012" s="12">
        <f ca="1">IFERROR(__xludf.DUMMYFUNCTION("""COMPUTED_VALUE"""),41734)</f>
        <v>41734</v>
      </c>
      <c r="I1012" s="12">
        <f ca="1">IFERROR(__xludf.DUMMYFUNCTION("""COMPUTED_VALUE"""),41734)</f>
        <v>41734</v>
      </c>
      <c r="J1012" s="14" t="str">
        <f ca="1">IFERROR(__xludf.DUMMYFUNCTION("""COMPUTED_VALUE"""),"Turner, JE")</f>
        <v>Turner, JE</v>
      </c>
      <c r="K1012" s="15" t="str">
        <f ca="1">IFERROR(__xludf.DUMMYFUNCTION("""COMPUTED_VALUE"""),"Turner, JE")</f>
        <v>Turner, JE</v>
      </c>
      <c r="L1012" s="17" t="str">
        <f ca="1">IFERROR(__xludf.DUMMYFUNCTION("""COMPUTED_VALUE"""),"closed")</f>
        <v>closed</v>
      </c>
      <c r="M1012" s="17" t="str">
        <f ca="1">IFERROR(__xludf.DUMMYFUNCTION("""COMPUTED_VALUE"""),"1st U")</f>
        <v>1st U</v>
      </c>
      <c r="N1012" s="15" t="str">
        <f ca="1">IFERROR(__xludf.DUMMYFUNCTION("""COMPUTED_VALUE"""),"accepted")</f>
        <v>accepted</v>
      </c>
      <c r="O1012" s="18"/>
      <c r="P1012" s="15"/>
      <c r="Q1012" s="15"/>
      <c r="R1012" s="15"/>
      <c r="S1012" s="15"/>
      <c r="T1012" s="15"/>
      <c r="U1012" s="15"/>
      <c r="V1012" s="15"/>
      <c r="W1012" s="58"/>
      <c r="X1012" s="15"/>
      <c r="Y1012" s="15"/>
      <c r="Z1012" s="15"/>
      <c r="AA1012" s="15"/>
      <c r="AB1012" s="15"/>
      <c r="AC1012" s="15"/>
      <c r="AD1012" s="15"/>
      <c r="AE1012" s="15"/>
      <c r="AF1012" s="15"/>
      <c r="AG1012" s="15"/>
      <c r="AH1012" s="15"/>
      <c r="AI1012" s="15"/>
      <c r="AJ1012" s="15"/>
      <c r="AK1012" s="15"/>
      <c r="AL1012" s="15"/>
      <c r="AM1012" s="15"/>
      <c r="AN1012" s="15"/>
      <c r="AO1012" s="15"/>
      <c r="AP1012" s="15"/>
      <c r="AQ1012" s="15"/>
      <c r="AR1012" s="15"/>
      <c r="AS1012" s="15"/>
      <c r="AT1012" s="15"/>
      <c r="AU1012" s="15"/>
      <c r="AV1012" s="15"/>
      <c r="AW1012" s="15"/>
      <c r="AX1012" s="15"/>
      <c r="AY1012" s="15"/>
      <c r="AZ1012" s="15"/>
      <c r="BA1012" s="15"/>
      <c r="BB1012" s="15"/>
      <c r="BC1012" s="15"/>
      <c r="BD1012" s="15"/>
      <c r="BE1012" s="15"/>
      <c r="BF1012" s="15"/>
      <c r="BG1012" s="15"/>
      <c r="BH1012" s="15"/>
      <c r="BI1012" s="15"/>
      <c r="BJ1012" s="15"/>
      <c r="BK1012" s="15"/>
      <c r="BL1012" s="15"/>
      <c r="BM1012" s="15"/>
      <c r="BN1012" s="15"/>
      <c r="BO1012" s="15"/>
      <c r="BP1012" s="15"/>
      <c r="BQ1012" s="15"/>
      <c r="BR1012" s="15"/>
      <c r="BS1012" s="15"/>
      <c r="BT1012" s="15"/>
      <c r="BU1012" s="15"/>
      <c r="BV1012" s="15"/>
      <c r="BW1012" s="15"/>
      <c r="BX1012" s="15"/>
      <c r="BY1012" s="15"/>
      <c r="BZ1012" s="15"/>
      <c r="CA1012" s="15"/>
      <c r="CB1012" s="15"/>
    </row>
    <row r="1013" spans="1:80" ht="12.75" hidden="1" customHeight="1">
      <c r="A1013" s="20">
        <f ca="1">IFERROR(__xludf.DUMMYFUNCTION("""COMPUTED_VALUE"""),2014)</f>
        <v>2014</v>
      </c>
      <c r="B1013" s="45">
        <f ca="1">IFERROR(__xludf.DUMMYFUNCTION("""COMPUTED_VALUE"""),42219)</f>
        <v>42219</v>
      </c>
      <c r="C1013" s="46">
        <f ca="1">IFERROR(__xludf.DUMMYFUNCTION("""COMPUTED_VALUE"""),42318)</f>
        <v>42318</v>
      </c>
      <c r="D1013" s="47" t="str">
        <f ca="1">IFERROR(__xludf.DUMMYFUNCTION("""COMPUTED_VALUE"""),"Great Northern Diver")</f>
        <v>Great Northern Diver</v>
      </c>
      <c r="E1013" s="52">
        <f ca="1">IFERROR(__xludf.DUMMYFUNCTION("""COMPUTED_VALUE"""),2)</f>
        <v>2</v>
      </c>
      <c r="F1013" s="25"/>
      <c r="G1013" s="48" t="str">
        <f ca="1">IFERROR(__xludf.DUMMYFUNCTION("""COMPUTED_VALUE"""),"Hoylake")</f>
        <v>Hoylake</v>
      </c>
      <c r="H1013" s="22">
        <f ca="1">IFERROR(__xludf.DUMMYFUNCTION("""COMPUTED_VALUE"""),41933)</f>
        <v>41933</v>
      </c>
      <c r="I1013" s="22">
        <f ca="1">IFERROR(__xludf.DUMMYFUNCTION("""COMPUTED_VALUE"""),41933)</f>
        <v>41933</v>
      </c>
      <c r="J1013" s="24" t="str">
        <f ca="1">IFERROR(__xludf.DUMMYFUNCTION("""COMPUTED_VALUE"""),"Turner, JE")</f>
        <v>Turner, JE</v>
      </c>
      <c r="K1013" s="25" t="str">
        <f ca="1">IFERROR(__xludf.DUMMYFUNCTION("""COMPUTED_VALUE"""),"Turner, JE")</f>
        <v>Turner, JE</v>
      </c>
      <c r="L1013" s="27" t="str">
        <f ca="1">IFERROR(__xludf.DUMMYFUNCTION("""COMPUTED_VALUE"""),"closed")</f>
        <v>closed</v>
      </c>
      <c r="M1013" s="27" t="str">
        <f ca="1">IFERROR(__xludf.DUMMYFUNCTION("""COMPUTED_VALUE"""),"1st U")</f>
        <v>1st U</v>
      </c>
      <c r="N1013" s="25" t="str">
        <f ca="1">IFERROR(__xludf.DUMMYFUNCTION("""COMPUTED_VALUE"""),"accepted")</f>
        <v>accepted</v>
      </c>
      <c r="O1013" s="28"/>
      <c r="P1013" s="25"/>
      <c r="Q1013" s="25"/>
      <c r="R1013" s="25"/>
      <c r="S1013" s="25"/>
      <c r="T1013" s="25"/>
      <c r="U1013" s="25"/>
      <c r="V1013" s="25"/>
      <c r="W1013" s="25"/>
      <c r="X1013" s="25"/>
      <c r="Y1013" s="25"/>
      <c r="Z1013" s="25"/>
      <c r="AA1013" s="25"/>
      <c r="AB1013" s="25"/>
      <c r="AC1013" s="25"/>
      <c r="AD1013" s="25"/>
      <c r="AE1013" s="25"/>
      <c r="AF1013" s="25"/>
      <c r="AG1013" s="25"/>
      <c r="AH1013" s="25"/>
      <c r="AI1013" s="25"/>
      <c r="AJ1013" s="25"/>
      <c r="AK1013" s="25"/>
      <c r="AL1013" s="25"/>
      <c r="AM1013" s="25"/>
      <c r="AN1013" s="25"/>
      <c r="AO1013" s="25"/>
      <c r="AP1013" s="25"/>
      <c r="AQ1013" s="25"/>
      <c r="AR1013" s="25"/>
      <c r="AS1013" s="25"/>
      <c r="AT1013" s="25"/>
      <c r="AU1013" s="25"/>
      <c r="AV1013" s="25"/>
      <c r="AW1013" s="25"/>
      <c r="AX1013" s="25"/>
      <c r="AY1013" s="25"/>
      <c r="AZ1013" s="25"/>
      <c r="BA1013" s="25"/>
      <c r="BB1013" s="25"/>
      <c r="BC1013" s="25"/>
      <c r="BD1013" s="25"/>
      <c r="BE1013" s="25"/>
      <c r="BF1013" s="25"/>
      <c r="BG1013" s="25"/>
      <c r="BH1013" s="25"/>
      <c r="BI1013" s="25"/>
      <c r="BJ1013" s="25"/>
      <c r="BK1013" s="25"/>
      <c r="BL1013" s="25"/>
      <c r="BM1013" s="25"/>
      <c r="BN1013" s="25"/>
      <c r="BO1013" s="25"/>
      <c r="BP1013" s="25"/>
      <c r="BQ1013" s="25"/>
      <c r="BR1013" s="25"/>
      <c r="BS1013" s="25"/>
      <c r="BT1013" s="25"/>
      <c r="BU1013" s="25"/>
      <c r="BV1013" s="25"/>
      <c r="BW1013" s="25"/>
      <c r="BX1013" s="25"/>
      <c r="BY1013" s="25"/>
      <c r="BZ1013" s="25"/>
      <c r="CA1013" s="25"/>
      <c r="CB1013" s="25"/>
    </row>
    <row r="1014" spans="1:80" ht="12.75" hidden="1" customHeight="1">
      <c r="A1014" s="10">
        <f ca="1">IFERROR(__xludf.DUMMYFUNCTION("""COMPUTED_VALUE"""),2014)</f>
        <v>2014</v>
      </c>
      <c r="B1014" s="50">
        <f ca="1">IFERROR(__xludf.DUMMYFUNCTION("""COMPUTED_VALUE"""),42219)</f>
        <v>42219</v>
      </c>
      <c r="C1014" s="41">
        <f ca="1">IFERROR(__xludf.DUMMYFUNCTION("""COMPUTED_VALUE"""),42318)</f>
        <v>42318</v>
      </c>
      <c r="D1014" s="42" t="str">
        <f ca="1">IFERROR(__xludf.DUMMYFUNCTION("""COMPUTED_VALUE"""),"Great Northern Diver")</f>
        <v>Great Northern Diver</v>
      </c>
      <c r="E1014" s="53">
        <f ca="1">IFERROR(__xludf.DUMMYFUNCTION("""COMPUTED_VALUE"""),1)</f>
        <v>1</v>
      </c>
      <c r="F1014" s="15"/>
      <c r="G1014" s="44" t="str">
        <f ca="1">IFERROR(__xludf.DUMMYFUNCTION("""COMPUTED_VALUE"""),"Red Rocks, Hoylake")</f>
        <v>Red Rocks, Hoylake</v>
      </c>
      <c r="H1014" s="12">
        <f ca="1">IFERROR(__xludf.DUMMYFUNCTION("""COMPUTED_VALUE"""),41962)</f>
        <v>41962</v>
      </c>
      <c r="I1014" s="12">
        <f ca="1">IFERROR(__xludf.DUMMYFUNCTION("""COMPUTED_VALUE"""),41962)</f>
        <v>41962</v>
      </c>
      <c r="J1014" s="14" t="str">
        <f ca="1">IFERROR(__xludf.DUMMYFUNCTION("""COMPUTED_VALUE"""),"Turner, JE")</f>
        <v>Turner, JE</v>
      </c>
      <c r="K1014" s="15" t="str">
        <f ca="1">IFERROR(__xludf.DUMMYFUNCTION("""COMPUTED_VALUE"""),"Turner, JE")</f>
        <v>Turner, JE</v>
      </c>
      <c r="L1014" s="17" t="str">
        <f ca="1">IFERROR(__xludf.DUMMYFUNCTION("""COMPUTED_VALUE"""),"closed")</f>
        <v>closed</v>
      </c>
      <c r="M1014" s="17" t="str">
        <f ca="1">IFERROR(__xludf.DUMMYFUNCTION("""COMPUTED_VALUE"""),"1st U")</f>
        <v>1st U</v>
      </c>
      <c r="N1014" s="15" t="str">
        <f ca="1">IFERROR(__xludf.DUMMYFUNCTION("""COMPUTED_VALUE"""),"accepted")</f>
        <v>accepted</v>
      </c>
      <c r="O1014" s="18" t="str">
        <f ca="1">IFERROR(__xludf.DUMMYFUNCTION("""COMPUTED_VALUE"""),"Between Hilbre and Red Rocks")</f>
        <v>Between Hilbre and Red Rocks</v>
      </c>
      <c r="P1014" s="15"/>
      <c r="Q1014" s="15"/>
      <c r="R1014" s="15"/>
      <c r="S1014" s="15"/>
      <c r="T1014" s="15"/>
      <c r="U1014" s="15"/>
      <c r="V1014" s="15"/>
      <c r="W1014" s="15"/>
      <c r="X1014" s="15"/>
      <c r="Y1014" s="15"/>
      <c r="Z1014" s="15"/>
      <c r="AA1014" s="15"/>
      <c r="AB1014" s="15"/>
      <c r="AC1014" s="15"/>
      <c r="AD1014" s="15"/>
      <c r="AE1014" s="15"/>
      <c r="AF1014" s="15"/>
      <c r="AG1014" s="15"/>
      <c r="AH1014" s="15"/>
      <c r="AI1014" s="15"/>
      <c r="AJ1014" s="15"/>
      <c r="AK1014" s="15"/>
      <c r="AL1014" s="15"/>
      <c r="AM1014" s="15"/>
      <c r="AN1014" s="15"/>
      <c r="AO1014" s="15"/>
      <c r="AP1014" s="15"/>
      <c r="AQ1014" s="15"/>
      <c r="AR1014" s="15"/>
      <c r="AS1014" s="15"/>
      <c r="AT1014" s="15"/>
      <c r="AU1014" s="15"/>
      <c r="AV1014" s="15"/>
      <c r="AW1014" s="15"/>
      <c r="AX1014" s="15"/>
      <c r="AY1014" s="15"/>
      <c r="AZ1014" s="15"/>
      <c r="BA1014" s="15"/>
      <c r="BB1014" s="15"/>
      <c r="BC1014" s="15"/>
      <c r="BD1014" s="15"/>
      <c r="BE1014" s="15"/>
      <c r="BF1014" s="15"/>
      <c r="BG1014" s="15"/>
      <c r="BH1014" s="15"/>
      <c r="BI1014" s="15"/>
      <c r="BJ1014" s="15"/>
      <c r="BK1014" s="15"/>
      <c r="BL1014" s="15"/>
      <c r="BM1014" s="15"/>
      <c r="BN1014" s="15"/>
      <c r="BO1014" s="15"/>
      <c r="BP1014" s="15"/>
      <c r="BQ1014" s="15"/>
      <c r="BR1014" s="15"/>
      <c r="BS1014" s="15"/>
      <c r="BT1014" s="15"/>
      <c r="BU1014" s="15"/>
      <c r="BV1014" s="15"/>
      <c r="BW1014" s="15"/>
      <c r="BX1014" s="15"/>
      <c r="BY1014" s="15"/>
      <c r="BZ1014" s="15"/>
      <c r="CA1014" s="15"/>
      <c r="CB1014" s="15"/>
    </row>
    <row r="1015" spans="1:80" ht="12.75" hidden="1" customHeight="1">
      <c r="A1015" s="20">
        <f ca="1">IFERROR(__xludf.DUMMYFUNCTION("""COMPUTED_VALUE"""),2014)</f>
        <v>2014</v>
      </c>
      <c r="B1015" s="45">
        <f ca="1">IFERROR(__xludf.DUMMYFUNCTION("""COMPUTED_VALUE"""),42219)</f>
        <v>42219</v>
      </c>
      <c r="C1015" s="46" t="str">
        <f ca="1">IFERROR(__xludf.DUMMYFUNCTION("""COMPUTED_VALUE"""),"n/a")</f>
        <v>n/a</v>
      </c>
      <c r="D1015" s="47" t="str">
        <f ca="1">IFERROR(__xludf.DUMMYFUNCTION("""COMPUTED_VALUE"""),"Night-Heron")</f>
        <v>Night-Heron</v>
      </c>
      <c r="E1015" s="52">
        <f ca="1">IFERROR(__xludf.DUMMYFUNCTION("""COMPUTED_VALUE"""),1)</f>
        <v>1</v>
      </c>
      <c r="F1015" s="25"/>
      <c r="G1015" s="48" t="str">
        <f ca="1">IFERROR(__xludf.DUMMYFUNCTION("""COMPUTED_VALUE"""),"Leasowe Lighthouse")</f>
        <v>Leasowe Lighthouse</v>
      </c>
      <c r="H1015" s="22">
        <f ca="1">IFERROR(__xludf.DUMMYFUNCTION("""COMPUTED_VALUE"""),41752)</f>
        <v>41752</v>
      </c>
      <c r="I1015" s="22">
        <f ca="1">IFERROR(__xludf.DUMMYFUNCTION("""COMPUTED_VALUE"""),41756)</f>
        <v>41756</v>
      </c>
      <c r="J1015" s="24" t="str">
        <f ca="1">IFERROR(__xludf.DUMMYFUNCTION("""COMPUTED_VALUE"""),"Buckley, M, Jones, G, Woollen, P")</f>
        <v>Buckley, M, Jones, G, Woollen, P</v>
      </c>
      <c r="K1015" s="25" t="str">
        <f ca="1">IFERROR(__xludf.DUMMYFUNCTION("""COMPUTED_VALUE"""),"to be confirmed.  Put in as finder et al")</f>
        <v>to be confirmed.  Put in as finder et al</v>
      </c>
      <c r="L1015" s="27" t="str">
        <f ca="1">IFERROR(__xludf.DUMMYFUNCTION("""COMPUTED_VALUE"""),"closed")</f>
        <v>closed</v>
      </c>
      <c r="M1015" s="27" t="str">
        <f ca="1">IFERROR(__xludf.DUMMYFUNCTION("""COMPUTED_VALUE"""),"1st U")</f>
        <v>1st U</v>
      </c>
      <c r="N1015" s="25" t="str">
        <f ca="1">IFERROR(__xludf.DUMMYFUNCTION("""COMPUTED_VALUE"""),"accepted")</f>
        <v>accepted</v>
      </c>
      <c r="O1015" s="28"/>
      <c r="P1015" s="25"/>
      <c r="Q1015" s="25"/>
      <c r="R1015" s="25"/>
      <c r="S1015" s="25"/>
      <c r="T1015" s="25"/>
      <c r="U1015" s="25"/>
      <c r="V1015" s="25"/>
      <c r="W1015" s="25"/>
      <c r="X1015" s="25"/>
      <c r="Y1015" s="25"/>
      <c r="Z1015" s="25"/>
      <c r="AA1015" s="25"/>
      <c r="AB1015" s="25"/>
      <c r="AC1015" s="25"/>
      <c r="AD1015" s="25"/>
      <c r="AE1015" s="25"/>
      <c r="AF1015" s="25"/>
      <c r="AG1015" s="25"/>
      <c r="AH1015" s="25"/>
      <c r="AI1015" s="25"/>
      <c r="AJ1015" s="25"/>
      <c r="AK1015" s="25"/>
      <c r="AL1015" s="25"/>
      <c r="AM1015" s="25"/>
      <c r="AN1015" s="25"/>
      <c r="AO1015" s="25"/>
      <c r="AP1015" s="25"/>
      <c r="AQ1015" s="25"/>
      <c r="AR1015" s="25"/>
      <c r="AS1015" s="25"/>
      <c r="AT1015" s="25"/>
      <c r="AU1015" s="25"/>
      <c r="AV1015" s="25"/>
      <c r="AW1015" s="25"/>
      <c r="AX1015" s="25"/>
      <c r="AY1015" s="25"/>
      <c r="AZ1015" s="25"/>
      <c r="BA1015" s="25"/>
      <c r="BB1015" s="25"/>
      <c r="BC1015" s="25"/>
      <c r="BD1015" s="25"/>
      <c r="BE1015" s="25"/>
      <c r="BF1015" s="25"/>
      <c r="BG1015" s="25"/>
      <c r="BH1015" s="25"/>
      <c r="BI1015" s="25"/>
      <c r="BJ1015" s="25"/>
      <c r="BK1015" s="25"/>
      <c r="BL1015" s="25"/>
      <c r="BM1015" s="25"/>
      <c r="BN1015" s="25"/>
      <c r="BO1015" s="25"/>
      <c r="BP1015" s="25"/>
      <c r="BQ1015" s="25"/>
      <c r="BR1015" s="25"/>
      <c r="BS1015" s="25"/>
      <c r="BT1015" s="25"/>
      <c r="BU1015" s="25"/>
      <c r="BV1015" s="25"/>
      <c r="BW1015" s="25"/>
      <c r="BX1015" s="25"/>
      <c r="BY1015" s="25"/>
      <c r="BZ1015" s="25"/>
      <c r="CA1015" s="25"/>
      <c r="CB1015" s="25"/>
    </row>
    <row r="1016" spans="1:80" ht="12.75" hidden="1" customHeight="1">
      <c r="A1016" s="10">
        <f ca="1">IFERROR(__xludf.DUMMYFUNCTION("""COMPUTED_VALUE"""),2014)</f>
        <v>2014</v>
      </c>
      <c r="B1016" s="50">
        <f ca="1">IFERROR(__xludf.DUMMYFUNCTION("""COMPUTED_VALUE"""),42219)</f>
        <v>42219</v>
      </c>
      <c r="C1016" s="41">
        <f ca="1">IFERROR(__xludf.DUMMYFUNCTION("""COMPUTED_VALUE"""),42308)</f>
        <v>42308</v>
      </c>
      <c r="D1016" s="42" t="str">
        <f ca="1">IFERROR(__xludf.DUMMYFUNCTION("""COMPUTED_VALUE"""),"Cattle Egret")</f>
        <v>Cattle Egret</v>
      </c>
      <c r="E1016" s="53">
        <f ca="1">IFERROR(__xludf.DUMMYFUNCTION("""COMPUTED_VALUE"""),1)</f>
        <v>1</v>
      </c>
      <c r="F1016" s="15"/>
      <c r="G1016" s="44" t="str">
        <f ca="1">IFERROR(__xludf.DUMMYFUNCTION("""COMPUTED_VALUE"""),"Reception Scrape, BMW RSPB")</f>
        <v>Reception Scrape, BMW RSPB</v>
      </c>
      <c r="H1016" s="12">
        <f ca="1">IFERROR(__xludf.DUMMYFUNCTION("""COMPUTED_VALUE"""),41885)</f>
        <v>41885</v>
      </c>
      <c r="I1016" s="12">
        <f ca="1">IFERROR(__xludf.DUMMYFUNCTION("""COMPUTED_VALUE"""),41980)</f>
        <v>41980</v>
      </c>
      <c r="J1016" s="14" t="str">
        <f ca="1">IFERROR(__xludf.DUMMYFUNCTION("""COMPUTED_VALUE"""),"Ingham, A")</f>
        <v>Ingham, A</v>
      </c>
      <c r="K1016" s="15" t="str">
        <f ca="1">IFERROR(__xludf.DUMMYFUNCTION("""COMPUTED_VALUE"""),"Wells, C")</f>
        <v>Wells, C</v>
      </c>
      <c r="L1016" s="17" t="str">
        <f ca="1">IFERROR(__xludf.DUMMYFUNCTION("""COMPUTED_VALUE"""),"closed")</f>
        <v>closed</v>
      </c>
      <c r="M1016" s="17" t="str">
        <f ca="1">IFERROR(__xludf.DUMMYFUNCTION("""COMPUTED_VALUE"""),"1st U")</f>
        <v>1st U</v>
      </c>
      <c r="N1016" s="15" t="str">
        <f ca="1">IFERROR(__xludf.DUMMYFUNCTION("""COMPUTED_VALUE"""),"accepted")</f>
        <v>accepted</v>
      </c>
      <c r="O1016" s="18" t="str">
        <f ca="1">IFERROR(__xludf.DUMMYFUNCTION("""COMPUTED_VALUE"""),"with cattle behind scrape")</f>
        <v>with cattle behind scrape</v>
      </c>
      <c r="P1016" s="15"/>
      <c r="Q1016" s="58"/>
      <c r="R1016" s="15"/>
      <c r="S1016" s="15"/>
      <c r="T1016" s="15"/>
      <c r="U1016" s="15"/>
      <c r="V1016" s="15"/>
      <c r="W1016" s="15"/>
      <c r="X1016" s="15"/>
      <c r="Y1016" s="15"/>
      <c r="Z1016" s="15"/>
      <c r="AA1016" s="15"/>
      <c r="AB1016" s="15"/>
      <c r="AC1016" s="15"/>
      <c r="AD1016" s="15"/>
      <c r="AE1016" s="15"/>
      <c r="AF1016" s="15"/>
      <c r="AG1016" s="15"/>
      <c r="AH1016" s="15"/>
      <c r="AI1016" s="15"/>
      <c r="AJ1016" s="15"/>
      <c r="AK1016" s="15"/>
      <c r="AL1016" s="15"/>
      <c r="AM1016" s="15"/>
      <c r="AN1016" s="15"/>
      <c r="AO1016" s="15"/>
      <c r="AP1016" s="15"/>
      <c r="AQ1016" s="15"/>
      <c r="AR1016" s="15"/>
      <c r="AS1016" s="15"/>
      <c r="AT1016" s="15"/>
      <c r="AU1016" s="15"/>
      <c r="AV1016" s="15"/>
      <c r="AW1016" s="15"/>
      <c r="AX1016" s="15"/>
      <c r="AY1016" s="15"/>
      <c r="AZ1016" s="15"/>
      <c r="BA1016" s="15"/>
      <c r="BB1016" s="15"/>
      <c r="BC1016" s="15"/>
      <c r="BD1016" s="15"/>
      <c r="BE1016" s="15"/>
      <c r="BF1016" s="15"/>
      <c r="BG1016" s="15"/>
      <c r="BH1016" s="15"/>
      <c r="BI1016" s="15"/>
      <c r="BJ1016" s="15"/>
      <c r="BK1016" s="15"/>
      <c r="BL1016" s="15"/>
      <c r="BM1016" s="15"/>
      <c r="BN1016" s="15"/>
      <c r="BO1016" s="15"/>
      <c r="BP1016" s="15"/>
      <c r="BQ1016" s="15"/>
      <c r="BR1016" s="15"/>
      <c r="BS1016" s="15"/>
      <c r="BT1016" s="15"/>
      <c r="BU1016" s="15"/>
      <c r="BV1016" s="15"/>
      <c r="BW1016" s="15"/>
      <c r="BX1016" s="15"/>
      <c r="BY1016" s="15"/>
      <c r="BZ1016" s="15"/>
      <c r="CA1016" s="15"/>
      <c r="CB1016" s="15"/>
    </row>
    <row r="1017" spans="1:80" ht="12.75" hidden="1" customHeight="1">
      <c r="A1017" s="20">
        <f ca="1">IFERROR(__xludf.DUMMYFUNCTION("""COMPUTED_VALUE"""),2014)</f>
        <v>2014</v>
      </c>
      <c r="B1017" s="45">
        <f ca="1">IFERROR(__xludf.DUMMYFUNCTION("""COMPUTED_VALUE"""),42219)</f>
        <v>42219</v>
      </c>
      <c r="C1017" s="46">
        <f ca="1">IFERROR(__xludf.DUMMYFUNCTION("""COMPUTED_VALUE"""),42318)</f>
        <v>42318</v>
      </c>
      <c r="D1017" s="47" t="str">
        <f ca="1">IFERROR(__xludf.DUMMYFUNCTION("""COMPUTED_VALUE"""),"Great White Egret")</f>
        <v>Great White Egret</v>
      </c>
      <c r="E1017" s="52">
        <f ca="1">IFERROR(__xludf.DUMMYFUNCTION("""COMPUTED_VALUE"""),1)</f>
        <v>1</v>
      </c>
      <c r="F1017" s="25"/>
      <c r="G1017" s="48" t="str">
        <f ca="1">IFERROR(__xludf.DUMMYFUNCTION("""COMPUTED_VALUE"""),"Rostherne Mere NNR")</f>
        <v>Rostherne Mere NNR</v>
      </c>
      <c r="H1017" s="22">
        <f ca="1">IFERROR(__xludf.DUMMYFUNCTION("""COMPUTED_VALUE"""),41738)</f>
        <v>41738</v>
      </c>
      <c r="I1017" s="22">
        <f ca="1">IFERROR(__xludf.DUMMYFUNCTION("""COMPUTED_VALUE"""),41738)</f>
        <v>41738</v>
      </c>
      <c r="J1017" s="24" t="str">
        <f ca="1">IFERROR(__xludf.DUMMYFUNCTION("""COMPUTED_VALUE"""),"Bellamy, Bill")</f>
        <v>Bellamy, Bill</v>
      </c>
      <c r="K1017" s="25" t="str">
        <f ca="1">IFERROR(__xludf.DUMMYFUNCTION("""COMPUTED_VALUE"""),"Alec Moran, Terry Baines")</f>
        <v>Alec Moran, Terry Baines</v>
      </c>
      <c r="L1017" s="27" t="str">
        <f ca="1">IFERROR(__xludf.DUMMYFUNCTION("""COMPUTED_VALUE"""),"closed")</f>
        <v>closed</v>
      </c>
      <c r="M1017" s="27" t="str">
        <f ca="1">IFERROR(__xludf.DUMMYFUNCTION("""COMPUTED_VALUE"""),"1st U")</f>
        <v>1st U</v>
      </c>
      <c r="N1017" s="25" t="str">
        <f ca="1">IFERROR(__xludf.DUMMYFUNCTION("""COMPUTED_VALUE"""),"accepted")</f>
        <v>accepted</v>
      </c>
      <c r="O1017" s="28"/>
      <c r="P1017" s="25"/>
      <c r="Q1017" s="25"/>
      <c r="R1017" s="25"/>
      <c r="S1017" s="25"/>
      <c r="T1017" s="25"/>
      <c r="U1017" s="25"/>
      <c r="V1017" s="25"/>
      <c r="W1017" s="25"/>
      <c r="X1017" s="25"/>
      <c r="Y1017" s="25"/>
      <c r="Z1017" s="25"/>
      <c r="AA1017" s="25"/>
      <c r="AB1017" s="25"/>
      <c r="AC1017" s="25"/>
      <c r="AD1017" s="25"/>
      <c r="AE1017" s="25"/>
      <c r="AF1017" s="25"/>
      <c r="AG1017" s="25"/>
      <c r="AH1017" s="25"/>
      <c r="AI1017" s="25"/>
      <c r="AJ1017" s="25"/>
      <c r="AK1017" s="25"/>
      <c r="AL1017" s="25"/>
      <c r="AM1017" s="25"/>
      <c r="AN1017" s="25"/>
      <c r="AO1017" s="25"/>
      <c r="AP1017" s="25"/>
      <c r="AQ1017" s="25"/>
      <c r="AR1017" s="25"/>
      <c r="AS1017" s="25"/>
      <c r="AT1017" s="25"/>
      <c r="AU1017" s="25"/>
      <c r="AV1017" s="25"/>
      <c r="AW1017" s="25"/>
      <c r="AX1017" s="25"/>
      <c r="AY1017" s="25"/>
      <c r="AZ1017" s="25"/>
      <c r="BA1017" s="25"/>
      <c r="BB1017" s="25"/>
      <c r="BC1017" s="25"/>
      <c r="BD1017" s="25"/>
      <c r="BE1017" s="25"/>
      <c r="BF1017" s="25"/>
      <c r="BG1017" s="25"/>
      <c r="BH1017" s="25"/>
      <c r="BI1017" s="25"/>
      <c r="BJ1017" s="25"/>
      <c r="BK1017" s="25"/>
      <c r="BL1017" s="25"/>
      <c r="BM1017" s="25"/>
      <c r="BN1017" s="25"/>
      <c r="BO1017" s="25"/>
      <c r="BP1017" s="25"/>
      <c r="BQ1017" s="25"/>
      <c r="BR1017" s="25"/>
      <c r="BS1017" s="25"/>
      <c r="BT1017" s="25"/>
      <c r="BU1017" s="25"/>
      <c r="BV1017" s="25"/>
      <c r="BW1017" s="25"/>
      <c r="BX1017" s="25"/>
      <c r="BY1017" s="25"/>
      <c r="BZ1017" s="25"/>
      <c r="CA1017" s="25"/>
      <c r="CB1017" s="25"/>
    </row>
    <row r="1018" spans="1:80" ht="12.75" hidden="1" customHeight="1">
      <c r="A1018" s="10">
        <f ca="1">IFERROR(__xludf.DUMMYFUNCTION("""COMPUTED_VALUE"""),2014)</f>
        <v>2014</v>
      </c>
      <c r="B1018" s="50">
        <f ca="1">IFERROR(__xludf.DUMMYFUNCTION("""COMPUTED_VALUE"""),42219)</f>
        <v>42219</v>
      </c>
      <c r="C1018" s="41">
        <f ca="1">IFERROR(__xludf.DUMMYFUNCTION("""COMPUTED_VALUE"""),42318)</f>
        <v>42318</v>
      </c>
      <c r="D1018" s="42" t="str">
        <f ca="1">IFERROR(__xludf.DUMMYFUNCTION("""COMPUTED_VALUE"""),"Great White Egret")</f>
        <v>Great White Egret</v>
      </c>
      <c r="E1018" s="53">
        <f ca="1">IFERROR(__xludf.DUMMYFUNCTION("""COMPUTED_VALUE"""),1)</f>
        <v>1</v>
      </c>
      <c r="F1018" s="15"/>
      <c r="G1018" s="44" t="str">
        <f ca="1">IFERROR(__xludf.DUMMYFUNCTION("""COMPUTED_VALUE"""),"Red Rocks, Hoylake")</f>
        <v>Red Rocks, Hoylake</v>
      </c>
      <c r="H1018" s="12">
        <f ca="1">IFERROR(__xludf.DUMMYFUNCTION("""COMPUTED_VALUE"""),41775)</f>
        <v>41775</v>
      </c>
      <c r="I1018" s="12">
        <f ca="1">IFERROR(__xludf.DUMMYFUNCTION("""COMPUTED_VALUE"""),41775)</f>
        <v>41775</v>
      </c>
      <c r="J1018" s="14" t="str">
        <f ca="1">IFERROR(__xludf.DUMMYFUNCTION("""COMPUTED_VALUE"""),"Turner, JE")</f>
        <v>Turner, JE</v>
      </c>
      <c r="K1018" s="15" t="str">
        <f ca="1">IFERROR(__xludf.DUMMYFUNCTION("""COMPUTED_VALUE"""),"Turner, JE")</f>
        <v>Turner, JE</v>
      </c>
      <c r="L1018" s="17" t="str">
        <f ca="1">IFERROR(__xludf.DUMMYFUNCTION("""COMPUTED_VALUE"""),"closed")</f>
        <v>closed</v>
      </c>
      <c r="M1018" s="17" t="str">
        <f ca="1">IFERROR(__xludf.DUMMYFUNCTION("""COMPUTED_VALUE"""),"1st U")</f>
        <v>1st U</v>
      </c>
      <c r="N1018" s="15" t="str">
        <f ca="1">IFERROR(__xludf.DUMMYFUNCTION("""COMPUTED_VALUE"""),"accepted")</f>
        <v>accepted</v>
      </c>
      <c r="O1018" s="18"/>
      <c r="P1018" s="15"/>
      <c r="Q1018" s="58"/>
      <c r="R1018" s="58"/>
      <c r="S1018" s="15"/>
      <c r="T1018" s="15"/>
      <c r="U1018" s="15"/>
      <c r="V1018" s="15"/>
      <c r="W1018" s="15"/>
      <c r="X1018" s="15"/>
      <c r="Y1018" s="15"/>
      <c r="Z1018" s="15"/>
      <c r="AA1018" s="15"/>
      <c r="AB1018" s="15"/>
      <c r="AC1018" s="15"/>
      <c r="AD1018" s="15"/>
      <c r="AE1018" s="15"/>
      <c r="AF1018" s="15"/>
      <c r="AG1018" s="15"/>
      <c r="AH1018" s="15"/>
      <c r="AI1018" s="15"/>
      <c r="AJ1018" s="15"/>
      <c r="AK1018" s="15"/>
      <c r="AL1018" s="15"/>
      <c r="AM1018" s="15"/>
      <c r="AN1018" s="15"/>
      <c r="AO1018" s="15"/>
      <c r="AP1018" s="15"/>
      <c r="AQ1018" s="15"/>
      <c r="AR1018" s="15"/>
      <c r="AS1018" s="15"/>
      <c r="AT1018" s="15"/>
      <c r="AU1018" s="15"/>
      <c r="AV1018" s="15"/>
      <c r="AW1018" s="15"/>
      <c r="AX1018" s="15"/>
      <c r="AY1018" s="15"/>
      <c r="AZ1018" s="15"/>
      <c r="BA1018" s="15"/>
      <c r="BB1018" s="15"/>
      <c r="BC1018" s="15"/>
      <c r="BD1018" s="15"/>
      <c r="BE1018" s="15"/>
      <c r="BF1018" s="15"/>
      <c r="BG1018" s="15"/>
      <c r="BH1018" s="15"/>
      <c r="BI1018" s="15"/>
      <c r="BJ1018" s="15"/>
      <c r="BK1018" s="15"/>
      <c r="BL1018" s="15"/>
      <c r="BM1018" s="15"/>
      <c r="BN1018" s="15"/>
      <c r="BO1018" s="15"/>
      <c r="BP1018" s="15"/>
      <c r="BQ1018" s="15"/>
      <c r="BR1018" s="15"/>
      <c r="BS1018" s="15"/>
      <c r="BT1018" s="15"/>
      <c r="BU1018" s="15"/>
      <c r="BV1018" s="15"/>
      <c r="BW1018" s="15"/>
      <c r="BX1018" s="15"/>
      <c r="BY1018" s="15"/>
      <c r="BZ1018" s="15"/>
      <c r="CA1018" s="15"/>
      <c r="CB1018" s="15"/>
    </row>
    <row r="1019" spans="1:80" ht="12.75" hidden="1" customHeight="1">
      <c r="A1019" s="20">
        <f ca="1">IFERROR(__xludf.DUMMYFUNCTION("""COMPUTED_VALUE"""),2014)</f>
        <v>2014</v>
      </c>
      <c r="B1019" s="45">
        <f ca="1">IFERROR(__xludf.DUMMYFUNCTION("""COMPUTED_VALUE"""),42219)</f>
        <v>42219</v>
      </c>
      <c r="C1019" s="46">
        <f ca="1">IFERROR(__xludf.DUMMYFUNCTION("""COMPUTED_VALUE"""),42318)</f>
        <v>42318</v>
      </c>
      <c r="D1019" s="47" t="str">
        <f ca="1">IFERROR(__xludf.DUMMYFUNCTION("""COMPUTED_VALUE"""),"Great White Egret")</f>
        <v>Great White Egret</v>
      </c>
      <c r="E1019" s="52">
        <f ca="1">IFERROR(__xludf.DUMMYFUNCTION("""COMPUTED_VALUE"""),1)</f>
        <v>1</v>
      </c>
      <c r="F1019" s="25"/>
      <c r="G1019" s="48" t="str">
        <f ca="1">IFERROR(__xludf.DUMMYFUNCTION("""COMPUTED_VALUE"""),"Withington Pool, Chelford SQ")</f>
        <v>Withington Pool, Chelford SQ</v>
      </c>
      <c r="H1019" s="22">
        <f ca="1">IFERROR(__xludf.DUMMYFUNCTION("""COMPUTED_VALUE"""),41833)</f>
        <v>41833</v>
      </c>
      <c r="I1019" s="22">
        <f ca="1">IFERROR(__xludf.DUMMYFUNCTION("""COMPUTED_VALUE"""),41833)</f>
        <v>41833</v>
      </c>
      <c r="J1019" s="24" t="str">
        <f ca="1">IFERROR(__xludf.DUMMYFUNCTION("""COMPUTED_VALUE"""),"S&amp;G Barber")</f>
        <v>S&amp;G Barber</v>
      </c>
      <c r="K1019" s="25" t="str">
        <f ca="1">IFERROR(__xludf.DUMMYFUNCTION("""COMPUTED_VALUE"""),"S&amp;G Barber")</f>
        <v>S&amp;G Barber</v>
      </c>
      <c r="L1019" s="27" t="str">
        <f ca="1">IFERROR(__xludf.DUMMYFUNCTION("""COMPUTED_VALUE"""),"closed")</f>
        <v>closed</v>
      </c>
      <c r="M1019" s="27" t="str">
        <f ca="1">IFERROR(__xludf.DUMMYFUNCTION("""COMPUTED_VALUE"""),"1st U")</f>
        <v>1st U</v>
      </c>
      <c r="N1019" s="25" t="str">
        <f ca="1">IFERROR(__xludf.DUMMYFUNCTION("""COMPUTED_VALUE"""),"accepted")</f>
        <v>accepted</v>
      </c>
      <c r="O1019" s="28"/>
      <c r="P1019" s="25"/>
      <c r="Q1019" s="25"/>
      <c r="R1019" s="25"/>
      <c r="S1019" s="25"/>
      <c r="T1019" s="25"/>
      <c r="U1019" s="25"/>
      <c r="V1019" s="25"/>
      <c r="W1019" s="25"/>
      <c r="X1019" s="25"/>
      <c r="Y1019" s="25"/>
      <c r="Z1019" s="25"/>
      <c r="AA1019" s="25"/>
      <c r="AB1019" s="25"/>
      <c r="AC1019" s="25"/>
      <c r="AD1019" s="25"/>
      <c r="AE1019" s="25"/>
      <c r="AF1019" s="25"/>
      <c r="AG1019" s="25"/>
      <c r="AH1019" s="25"/>
      <c r="AI1019" s="25"/>
      <c r="AJ1019" s="25"/>
      <c r="AK1019" s="25"/>
      <c r="AL1019" s="25"/>
      <c r="AM1019" s="25"/>
      <c r="AN1019" s="25"/>
      <c r="AO1019" s="25"/>
      <c r="AP1019" s="25"/>
      <c r="AQ1019" s="25"/>
      <c r="AR1019" s="25"/>
      <c r="AS1019" s="25"/>
      <c r="AT1019" s="25"/>
      <c r="AU1019" s="25"/>
      <c r="AV1019" s="25"/>
      <c r="AW1019" s="25"/>
      <c r="AX1019" s="25"/>
      <c r="AY1019" s="25"/>
      <c r="AZ1019" s="25"/>
      <c r="BA1019" s="25"/>
      <c r="BB1019" s="25"/>
      <c r="BC1019" s="25"/>
      <c r="BD1019" s="25"/>
      <c r="BE1019" s="25"/>
      <c r="BF1019" s="25"/>
      <c r="BG1019" s="25"/>
      <c r="BH1019" s="25"/>
      <c r="BI1019" s="25"/>
      <c r="BJ1019" s="25"/>
      <c r="BK1019" s="25"/>
      <c r="BL1019" s="25"/>
      <c r="BM1019" s="25"/>
      <c r="BN1019" s="25"/>
      <c r="BO1019" s="25"/>
      <c r="BP1019" s="25"/>
      <c r="BQ1019" s="25"/>
      <c r="BR1019" s="25"/>
      <c r="BS1019" s="25"/>
      <c r="BT1019" s="25"/>
      <c r="BU1019" s="25"/>
      <c r="BV1019" s="25"/>
      <c r="BW1019" s="25"/>
      <c r="BX1019" s="25"/>
      <c r="BY1019" s="25"/>
      <c r="BZ1019" s="25"/>
      <c r="CA1019" s="25"/>
      <c r="CB1019" s="25"/>
    </row>
    <row r="1020" spans="1:80" ht="12.75" hidden="1" customHeight="1">
      <c r="A1020" s="10">
        <f ca="1">IFERROR(__xludf.DUMMYFUNCTION("""COMPUTED_VALUE"""),2014)</f>
        <v>2014</v>
      </c>
      <c r="B1020" s="50">
        <f ca="1">IFERROR(__xludf.DUMMYFUNCTION("""COMPUTED_VALUE"""),42219)</f>
        <v>42219</v>
      </c>
      <c r="C1020" s="41"/>
      <c r="D1020" s="42" t="str">
        <f ca="1">IFERROR(__xludf.DUMMYFUNCTION("""COMPUTED_VALUE"""),"Rough-legged Buzzard")</f>
        <v>Rough-legged Buzzard</v>
      </c>
      <c r="E1020" s="53">
        <f ca="1">IFERROR(__xludf.DUMMYFUNCTION("""COMPUTED_VALUE"""),1)</f>
        <v>1</v>
      </c>
      <c r="F1020" s="15"/>
      <c r="G1020" s="44" t="str">
        <f ca="1">IFERROR(__xludf.DUMMYFUNCTION("""COMPUTED_VALUE"""),"Gowy Meadows CWT")</f>
        <v>Gowy Meadows CWT</v>
      </c>
      <c r="H1020" s="12">
        <f ca="1">IFERROR(__xludf.DUMMYFUNCTION("""COMPUTED_VALUE"""),41937)</f>
        <v>41937</v>
      </c>
      <c r="I1020" s="12">
        <f ca="1">IFERROR(__xludf.DUMMYFUNCTION("""COMPUTED_VALUE"""),41937)</f>
        <v>41937</v>
      </c>
      <c r="J1020" s="14" t="str">
        <f ca="1">IFERROR(__xludf.DUMMYFUNCTION("""COMPUTED_VALUE"""),"Holmes, S")</f>
        <v>Holmes, S</v>
      </c>
      <c r="K1020" s="15" t="str">
        <f ca="1">IFERROR(__xludf.DUMMYFUNCTION("""COMPUTED_VALUE"""),"Holmes, S")</f>
        <v>Holmes, S</v>
      </c>
      <c r="L1020" s="17" t="str">
        <f ca="1">IFERROR(__xludf.DUMMYFUNCTION("""COMPUTED_VALUE"""),"closed")</f>
        <v>closed</v>
      </c>
      <c r="M1020" s="17" t="str">
        <f ca="1">IFERROR(__xludf.DUMMYFUNCTION("""COMPUTED_VALUE"""),"1st U")</f>
        <v>1st U</v>
      </c>
      <c r="N1020" s="15" t="str">
        <f ca="1">IFERROR(__xludf.DUMMYFUNCTION("""COMPUTED_VALUE"""),"accepted")</f>
        <v>accepted</v>
      </c>
      <c r="O1020" s="18"/>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c r="AM1020" s="15"/>
      <c r="AN1020" s="15"/>
      <c r="AO1020" s="15"/>
      <c r="AP1020" s="15"/>
      <c r="AQ1020" s="15"/>
      <c r="AR1020" s="15"/>
      <c r="AS1020" s="15"/>
      <c r="AT1020" s="15"/>
      <c r="AU1020" s="15"/>
      <c r="AV1020" s="15"/>
      <c r="AW1020" s="15"/>
      <c r="AX1020" s="15"/>
      <c r="AY1020" s="15"/>
      <c r="AZ1020" s="15"/>
      <c r="BA1020" s="15"/>
      <c r="BB1020" s="15"/>
      <c r="BC1020" s="15"/>
      <c r="BD1020" s="15"/>
      <c r="BE1020" s="15"/>
      <c r="BF1020" s="15"/>
      <c r="BG1020" s="15"/>
      <c r="BH1020" s="15"/>
      <c r="BI1020" s="15"/>
      <c r="BJ1020" s="15"/>
      <c r="BK1020" s="15"/>
      <c r="BL1020" s="15"/>
      <c r="BM1020" s="15"/>
      <c r="BN1020" s="15"/>
      <c r="BO1020" s="15"/>
      <c r="BP1020" s="15"/>
      <c r="BQ1020" s="15"/>
      <c r="BR1020" s="15"/>
      <c r="BS1020" s="15"/>
      <c r="BT1020" s="15"/>
      <c r="BU1020" s="15"/>
      <c r="BV1020" s="15"/>
      <c r="BW1020" s="15"/>
      <c r="BX1020" s="15"/>
      <c r="BY1020" s="15"/>
      <c r="BZ1020" s="15"/>
      <c r="CA1020" s="15"/>
      <c r="CB1020" s="15"/>
    </row>
    <row r="1021" spans="1:80" ht="12.75" hidden="1" customHeight="1">
      <c r="A1021" s="20">
        <f ca="1">IFERROR(__xludf.DUMMYFUNCTION("""COMPUTED_VALUE"""),2014)</f>
        <v>2014</v>
      </c>
      <c r="B1021" s="45">
        <f ca="1">IFERROR(__xludf.DUMMYFUNCTION("""COMPUTED_VALUE"""),42251)</f>
        <v>42251</v>
      </c>
      <c r="C1021" s="46">
        <f ca="1">IFERROR(__xludf.DUMMYFUNCTION("""COMPUTED_VALUE"""),42268)</f>
        <v>42268</v>
      </c>
      <c r="D1021" s="47" t="str">
        <f ca="1">IFERROR(__xludf.DUMMYFUNCTION("""COMPUTED_VALUE"""),"Golden Oriole")</f>
        <v>Golden Oriole</v>
      </c>
      <c r="E1021" s="52">
        <f ca="1">IFERROR(__xludf.DUMMYFUNCTION("""COMPUTED_VALUE"""),1)</f>
        <v>1</v>
      </c>
      <c r="F1021" s="25"/>
      <c r="G1021" s="48" t="str">
        <f ca="1">IFERROR(__xludf.DUMMYFUNCTION("""COMPUTED_VALUE"""),"Rodeheath, NE of Congleton")</f>
        <v>Rodeheath, NE of Congleton</v>
      </c>
      <c r="H1021" s="22">
        <f ca="1">IFERROR(__xludf.DUMMYFUNCTION("""COMPUTED_VALUE"""),41800)</f>
        <v>41800</v>
      </c>
      <c r="I1021" s="22">
        <f ca="1">IFERROR(__xludf.DUMMYFUNCTION("""COMPUTED_VALUE"""),41800)</f>
        <v>41800</v>
      </c>
      <c r="J1021" s="24" t="str">
        <f ca="1">IFERROR(__xludf.DUMMYFUNCTION("""COMPUTED_VALUE"""),"Spottiswood, J")</f>
        <v>Spottiswood, J</v>
      </c>
      <c r="K1021" s="25" t="str">
        <f ca="1">IFERROR(__xludf.DUMMYFUNCTION("""COMPUTED_VALUE"""),"Spottiswood, J")</f>
        <v>Spottiswood, J</v>
      </c>
      <c r="L1021" s="27" t="str">
        <f ca="1">IFERROR(__xludf.DUMMYFUNCTION("""COMPUTED_VALUE"""),"closed")</f>
        <v>closed</v>
      </c>
      <c r="M1021" s="27" t="str">
        <f ca="1">IFERROR(__xludf.DUMMYFUNCTION("""COMPUTED_VALUE"""),"2nd M")</f>
        <v>2nd M</v>
      </c>
      <c r="N1021" s="25" t="str">
        <f ca="1">IFERROR(__xludf.DUMMYFUNCTION("""COMPUTED_VALUE"""),"accepted")</f>
        <v>accepted</v>
      </c>
      <c r="O1021" s="28"/>
      <c r="P1021" s="25"/>
      <c r="Q1021" s="25"/>
      <c r="R1021" s="25"/>
      <c r="S1021" s="25"/>
      <c r="T1021" s="25"/>
      <c r="U1021" s="25"/>
      <c r="V1021" s="25"/>
      <c r="W1021" s="25"/>
      <c r="X1021" s="25"/>
      <c r="Y1021" s="25"/>
      <c r="Z1021" s="25"/>
      <c r="AA1021" s="25"/>
      <c r="AB1021" s="25"/>
      <c r="AC1021" s="25"/>
      <c r="AD1021" s="25"/>
      <c r="AE1021" s="25"/>
      <c r="AF1021" s="25"/>
      <c r="AG1021" s="25"/>
      <c r="AH1021" s="25"/>
      <c r="AI1021" s="25"/>
      <c r="AJ1021" s="25"/>
      <c r="AK1021" s="25"/>
      <c r="AL1021" s="25"/>
      <c r="AM1021" s="25"/>
      <c r="AN1021" s="25"/>
      <c r="AO1021" s="25"/>
      <c r="AP1021" s="25"/>
      <c r="AQ1021" s="25"/>
      <c r="AR1021" s="25"/>
      <c r="AS1021" s="25"/>
      <c r="AT1021" s="25"/>
      <c r="AU1021" s="25"/>
      <c r="AV1021" s="25"/>
      <c r="AW1021" s="25"/>
      <c r="AX1021" s="25"/>
      <c r="AY1021" s="25"/>
      <c r="AZ1021" s="25"/>
      <c r="BA1021" s="25"/>
      <c r="BB1021" s="25"/>
      <c r="BC1021" s="25"/>
      <c r="BD1021" s="25"/>
      <c r="BE1021" s="25"/>
      <c r="BF1021" s="25"/>
      <c r="BG1021" s="25"/>
      <c r="BH1021" s="25"/>
      <c r="BI1021" s="25"/>
      <c r="BJ1021" s="25"/>
      <c r="BK1021" s="25"/>
      <c r="BL1021" s="25"/>
      <c r="BM1021" s="25"/>
      <c r="BN1021" s="25"/>
      <c r="BO1021" s="25"/>
      <c r="BP1021" s="25"/>
      <c r="BQ1021" s="25"/>
      <c r="BR1021" s="25"/>
      <c r="BS1021" s="25"/>
      <c r="BT1021" s="25"/>
      <c r="BU1021" s="25"/>
      <c r="BV1021" s="25"/>
      <c r="BW1021" s="25"/>
      <c r="BX1021" s="25"/>
      <c r="BY1021" s="25"/>
      <c r="BZ1021" s="25"/>
      <c r="CA1021" s="25"/>
      <c r="CB1021" s="25"/>
    </row>
    <row r="1022" spans="1:80" ht="12.75" hidden="1" customHeight="1">
      <c r="A1022" s="10">
        <f ca="1">IFERROR(__xludf.DUMMYFUNCTION("""COMPUTED_VALUE"""),2014)</f>
        <v>2014</v>
      </c>
      <c r="B1022" s="50">
        <f ca="1">IFERROR(__xludf.DUMMYFUNCTION("""COMPUTED_VALUE"""),42219)</f>
        <v>42219</v>
      </c>
      <c r="C1022" s="41"/>
      <c r="D1022" s="42" t="str">
        <f ca="1">IFERROR(__xludf.DUMMYFUNCTION("""COMPUTED_VALUE"""),"Marsh Tit")</f>
        <v>Marsh Tit</v>
      </c>
      <c r="E1022" s="53">
        <f ca="1">IFERROR(__xludf.DUMMYFUNCTION("""COMPUTED_VALUE"""),1)</f>
        <v>1</v>
      </c>
      <c r="F1022" s="15"/>
      <c r="G1022" s="44" t="str">
        <f ca="1">IFERROR(__xludf.DUMMYFUNCTION("""COMPUTED_VALUE"""),"Caldy Hill")</f>
        <v>Caldy Hill</v>
      </c>
      <c r="H1022" s="12">
        <f ca="1">IFERROR(__xludf.DUMMYFUNCTION("""COMPUTED_VALUE"""),41945)</f>
        <v>41945</v>
      </c>
      <c r="I1022" s="12">
        <f ca="1">IFERROR(__xludf.DUMMYFUNCTION("""COMPUTED_VALUE"""),41945)</f>
        <v>41945</v>
      </c>
      <c r="J1022" s="14" t="str">
        <f ca="1">IFERROR(__xludf.DUMMYFUNCTION("""COMPUTED_VALUE"""),"Sergeant, M")</f>
        <v>Sergeant, M</v>
      </c>
      <c r="K1022" s="15" t="str">
        <f ca="1">IFERROR(__xludf.DUMMYFUNCTION("""COMPUTED_VALUE"""),"Sergeant, M")</f>
        <v>Sergeant, M</v>
      </c>
      <c r="L1022" s="17" t="str">
        <f ca="1">IFERROR(__xludf.DUMMYFUNCTION("""COMPUTED_VALUE"""),"closed")</f>
        <v>closed</v>
      </c>
      <c r="M1022" s="17" t="str">
        <f ca="1">IFERROR(__xludf.DUMMYFUNCTION("""COMPUTED_VALUE"""),"1st U")</f>
        <v>1st U</v>
      </c>
      <c r="N1022" s="15" t="str">
        <f ca="1">IFERROR(__xludf.DUMMYFUNCTION("""COMPUTED_VALUE"""),"accepted")</f>
        <v>accepted</v>
      </c>
      <c r="O1022" s="18"/>
      <c r="P1022" s="15"/>
      <c r="Q1022" s="15"/>
      <c r="R1022" s="15"/>
      <c r="S1022" s="15"/>
      <c r="T1022" s="15"/>
      <c r="U1022" s="15"/>
      <c r="V1022" s="15"/>
      <c r="W1022" s="15"/>
      <c r="X1022" s="15"/>
      <c r="Y1022" s="15"/>
      <c r="Z1022" s="15"/>
      <c r="AA1022" s="15"/>
      <c r="AB1022" s="15"/>
      <c r="AC1022" s="15"/>
      <c r="AD1022" s="15"/>
      <c r="AE1022" s="15"/>
      <c r="AF1022" s="15"/>
      <c r="AG1022" s="15"/>
      <c r="AH1022" s="15"/>
      <c r="AI1022" s="15"/>
      <c r="AJ1022" s="15"/>
      <c r="AK1022" s="15"/>
      <c r="AL1022" s="15"/>
      <c r="AM1022" s="15"/>
      <c r="AN1022" s="15"/>
      <c r="AO1022" s="15"/>
      <c r="AP1022" s="15"/>
      <c r="AQ1022" s="15"/>
      <c r="AR1022" s="15"/>
      <c r="AS1022" s="15"/>
      <c r="AT1022" s="15"/>
      <c r="AU1022" s="15"/>
      <c r="AV1022" s="15"/>
      <c r="AW1022" s="15"/>
      <c r="AX1022" s="15"/>
      <c r="AY1022" s="15"/>
      <c r="AZ1022" s="15"/>
      <c r="BA1022" s="15"/>
      <c r="BB1022" s="15"/>
      <c r="BC1022" s="15"/>
      <c r="BD1022" s="15"/>
      <c r="BE1022" s="15"/>
      <c r="BF1022" s="15"/>
      <c r="BG1022" s="15"/>
      <c r="BH1022" s="15"/>
      <c r="BI1022" s="15"/>
      <c r="BJ1022" s="15"/>
      <c r="BK1022" s="15"/>
      <c r="BL1022" s="15"/>
      <c r="BM1022" s="15"/>
      <c r="BN1022" s="15"/>
      <c r="BO1022" s="15"/>
      <c r="BP1022" s="15"/>
      <c r="BQ1022" s="15"/>
      <c r="BR1022" s="15"/>
      <c r="BS1022" s="15"/>
      <c r="BT1022" s="15"/>
      <c r="BU1022" s="15"/>
      <c r="BV1022" s="15"/>
      <c r="BW1022" s="15"/>
      <c r="BX1022" s="15"/>
      <c r="BY1022" s="15"/>
      <c r="BZ1022" s="15"/>
      <c r="CA1022" s="15"/>
      <c r="CB1022" s="15"/>
    </row>
    <row r="1023" spans="1:80" ht="12.75" hidden="1" customHeight="1">
      <c r="A1023" s="20">
        <f ca="1">IFERROR(__xludf.DUMMYFUNCTION("""COMPUTED_VALUE"""),2014)</f>
        <v>2014</v>
      </c>
      <c r="B1023" s="45">
        <f ca="1">IFERROR(__xludf.DUMMYFUNCTION("""COMPUTED_VALUE"""),42219)</f>
        <v>42219</v>
      </c>
      <c r="C1023" s="46">
        <f ca="1">IFERROR(__xludf.DUMMYFUNCTION("""COMPUTED_VALUE"""),42280)</f>
        <v>42280</v>
      </c>
      <c r="D1023" s="47" t="str">
        <f ca="1">IFERROR(__xludf.DUMMYFUNCTION("""COMPUTED_VALUE"""),"Yellow-browed Warbler")</f>
        <v>Yellow-browed Warbler</v>
      </c>
      <c r="E1023" s="52">
        <f ca="1">IFERROR(__xludf.DUMMYFUNCTION("""COMPUTED_VALUE"""),1)</f>
        <v>1</v>
      </c>
      <c r="F1023" s="25"/>
      <c r="G1023" s="48" t="str">
        <f ca="1">IFERROR(__xludf.DUMMYFUNCTION("""COMPUTED_VALUE"""),"Hoylake")</f>
        <v>Hoylake</v>
      </c>
      <c r="H1023" s="22">
        <f ca="1">IFERROR(__xludf.DUMMYFUNCTION("""COMPUTED_VALUE"""),41931)</f>
        <v>41931</v>
      </c>
      <c r="I1023" s="22">
        <f ca="1">IFERROR(__xludf.DUMMYFUNCTION("""COMPUTED_VALUE"""),41931)</f>
        <v>41931</v>
      </c>
      <c r="J1023" s="24" t="str">
        <f ca="1">IFERROR(__xludf.DUMMYFUNCTION("""COMPUTED_VALUE"""),"Turner, JE")</f>
        <v>Turner, JE</v>
      </c>
      <c r="K1023" s="25" t="str">
        <f ca="1">IFERROR(__xludf.DUMMYFUNCTION("""COMPUTED_VALUE"""),"Turner, JE")</f>
        <v>Turner, JE</v>
      </c>
      <c r="L1023" s="27" t="str">
        <f ca="1">IFERROR(__xludf.DUMMYFUNCTION("""COMPUTED_VALUE"""),"closed")</f>
        <v>closed</v>
      </c>
      <c r="M1023" s="27" t="str">
        <f ca="1">IFERROR(__xludf.DUMMYFUNCTION("""COMPUTED_VALUE"""),"1st U")</f>
        <v>1st U</v>
      </c>
      <c r="N1023" s="25" t="str">
        <f ca="1">IFERROR(__xludf.DUMMYFUNCTION("""COMPUTED_VALUE"""),"accepted")</f>
        <v>accepted</v>
      </c>
      <c r="O1023" s="28"/>
      <c r="P1023" s="25"/>
      <c r="Q1023" s="40"/>
      <c r="R1023" s="40"/>
      <c r="S1023" s="25"/>
      <c r="T1023" s="25"/>
      <c r="U1023" s="25"/>
      <c r="V1023" s="25"/>
      <c r="W1023" s="25"/>
      <c r="X1023" s="25"/>
      <c r="Y1023" s="25"/>
      <c r="Z1023" s="25"/>
      <c r="AA1023" s="25"/>
      <c r="AB1023" s="25"/>
      <c r="AC1023" s="25"/>
      <c r="AD1023" s="25"/>
      <c r="AE1023" s="25"/>
      <c r="AF1023" s="25"/>
      <c r="AG1023" s="25"/>
      <c r="AH1023" s="25"/>
      <c r="AI1023" s="25"/>
      <c r="AJ1023" s="25"/>
      <c r="AK1023" s="25"/>
      <c r="AL1023" s="25"/>
      <c r="AM1023" s="25"/>
      <c r="AN1023" s="25"/>
      <c r="AO1023" s="25"/>
      <c r="AP1023" s="25"/>
      <c r="AQ1023" s="25"/>
      <c r="AR1023" s="25"/>
      <c r="AS1023" s="25"/>
      <c r="AT1023" s="25"/>
      <c r="AU1023" s="25"/>
      <c r="AV1023" s="25"/>
      <c r="AW1023" s="25"/>
      <c r="AX1023" s="25"/>
      <c r="AY1023" s="25"/>
      <c r="AZ1023" s="25"/>
      <c r="BA1023" s="25"/>
      <c r="BB1023" s="25"/>
      <c r="BC1023" s="25"/>
      <c r="BD1023" s="25"/>
      <c r="BE1023" s="25"/>
      <c r="BF1023" s="25"/>
      <c r="BG1023" s="25"/>
      <c r="BH1023" s="25"/>
      <c r="BI1023" s="25"/>
      <c r="BJ1023" s="25"/>
      <c r="BK1023" s="25"/>
      <c r="BL1023" s="25"/>
      <c r="BM1023" s="25"/>
      <c r="BN1023" s="25"/>
      <c r="BO1023" s="25"/>
      <c r="BP1023" s="25"/>
      <c r="BQ1023" s="25"/>
      <c r="BR1023" s="25"/>
      <c r="BS1023" s="25"/>
      <c r="BT1023" s="25"/>
      <c r="BU1023" s="25"/>
      <c r="BV1023" s="25"/>
      <c r="BW1023" s="25"/>
      <c r="BX1023" s="25"/>
      <c r="BY1023" s="25"/>
      <c r="BZ1023" s="25"/>
      <c r="CA1023" s="25"/>
      <c r="CB1023" s="25"/>
    </row>
    <row r="1024" spans="1:80" ht="12.75" hidden="1" customHeight="1">
      <c r="A1024" s="10">
        <f ca="1">IFERROR(__xludf.DUMMYFUNCTION("""COMPUTED_VALUE"""),2014)</f>
        <v>2014</v>
      </c>
      <c r="B1024" s="50">
        <f ca="1">IFERROR(__xludf.DUMMYFUNCTION("""COMPUTED_VALUE"""),42219)</f>
        <v>42219</v>
      </c>
      <c r="C1024" s="41">
        <f ca="1">IFERROR(__xludf.DUMMYFUNCTION("""COMPUTED_VALUE"""),42318)</f>
        <v>42318</v>
      </c>
      <c r="D1024" s="42" t="str">
        <f ca="1">IFERROR(__xludf.DUMMYFUNCTION("""COMPUTED_VALUE"""),"Eastern Chiffchaff [tristis/abientinus race]")</f>
        <v>Eastern Chiffchaff [tristis/abientinus race]</v>
      </c>
      <c r="E1024" s="53">
        <f ca="1">IFERROR(__xludf.DUMMYFUNCTION("""COMPUTED_VALUE"""),2)</f>
        <v>2</v>
      </c>
      <c r="F1024" s="15"/>
      <c r="G1024" s="44" t="str">
        <f ca="1">IFERROR(__xludf.DUMMYFUNCTION("""COMPUTED_VALUE"""),"Red Rocks, Hoylake")</f>
        <v>Red Rocks, Hoylake</v>
      </c>
      <c r="H1024" s="12">
        <f ca="1">IFERROR(__xludf.DUMMYFUNCTION("""COMPUTED_VALUE"""),41961)</f>
        <v>41961</v>
      </c>
      <c r="I1024" s="12">
        <f ca="1">IFERROR(__xludf.DUMMYFUNCTION("""COMPUTED_VALUE"""),41961)</f>
        <v>41961</v>
      </c>
      <c r="J1024" s="14" t="str">
        <f ca="1">IFERROR(__xludf.DUMMYFUNCTION("""COMPUTED_VALUE"""),"Turner,JE")</f>
        <v>Turner,JE</v>
      </c>
      <c r="K1024" s="15" t="str">
        <f ca="1">IFERROR(__xludf.DUMMYFUNCTION("""COMPUTED_VALUE"""),"Turner, JE")</f>
        <v>Turner, JE</v>
      </c>
      <c r="L1024" s="17" t="str">
        <f ca="1">IFERROR(__xludf.DUMMYFUNCTION("""COMPUTED_VALUE"""),"closed")</f>
        <v>closed</v>
      </c>
      <c r="M1024" s="17" t="str">
        <f ca="1">IFERROR(__xludf.DUMMYFUNCTION("""COMPUTED_VALUE"""),"1st U")</f>
        <v>1st U</v>
      </c>
      <c r="N1024" s="15" t="str">
        <f ca="1">IFERROR(__xludf.DUMMYFUNCTION("""COMPUTED_VALUE"""),"accepted")</f>
        <v>accepted</v>
      </c>
      <c r="O1024" s="18"/>
      <c r="P1024" s="15"/>
      <c r="Q1024" s="15"/>
      <c r="R1024" s="58"/>
      <c r="S1024" s="15"/>
      <c r="T1024" s="15"/>
      <c r="U1024" s="15"/>
      <c r="V1024" s="15"/>
      <c r="W1024" s="15"/>
      <c r="X1024" s="15"/>
      <c r="Y1024" s="15"/>
      <c r="Z1024" s="15"/>
      <c r="AA1024" s="15"/>
      <c r="AB1024" s="15"/>
      <c r="AC1024" s="15"/>
      <c r="AD1024" s="15"/>
      <c r="AE1024" s="15"/>
      <c r="AF1024" s="15"/>
      <c r="AG1024" s="15"/>
      <c r="AH1024" s="15"/>
      <c r="AI1024" s="15"/>
      <c r="AJ1024" s="15"/>
      <c r="AK1024" s="15"/>
      <c r="AL1024" s="15"/>
      <c r="AM1024" s="15"/>
      <c r="AN1024" s="15"/>
      <c r="AO1024" s="15"/>
      <c r="AP1024" s="15"/>
      <c r="AQ1024" s="15"/>
      <c r="AR1024" s="15"/>
      <c r="AS1024" s="15"/>
      <c r="AT1024" s="15"/>
      <c r="AU1024" s="15"/>
      <c r="AV1024" s="15"/>
      <c r="AW1024" s="15"/>
      <c r="AX1024" s="15"/>
      <c r="AY1024" s="15"/>
      <c r="AZ1024" s="15"/>
      <c r="BA1024" s="15"/>
      <c r="BB1024" s="15"/>
      <c r="BC1024" s="15"/>
      <c r="BD1024" s="15"/>
      <c r="BE1024" s="15"/>
      <c r="BF1024" s="15"/>
      <c r="BG1024" s="15"/>
      <c r="BH1024" s="15"/>
      <c r="BI1024" s="15"/>
      <c r="BJ1024" s="15"/>
      <c r="BK1024" s="15"/>
      <c r="BL1024" s="15"/>
      <c r="BM1024" s="15"/>
      <c r="BN1024" s="15"/>
      <c r="BO1024" s="15"/>
      <c r="BP1024" s="15"/>
      <c r="BQ1024" s="15"/>
      <c r="BR1024" s="15"/>
      <c r="BS1024" s="15"/>
      <c r="BT1024" s="15"/>
      <c r="BU1024" s="15"/>
      <c r="BV1024" s="15"/>
      <c r="BW1024" s="15"/>
      <c r="BX1024" s="15"/>
      <c r="BY1024" s="15"/>
      <c r="BZ1024" s="15"/>
      <c r="CA1024" s="15"/>
      <c r="CB1024" s="15"/>
    </row>
    <row r="1025" spans="1:80" ht="12.75" hidden="1" customHeight="1">
      <c r="A1025" s="20">
        <f ca="1">IFERROR(__xludf.DUMMYFUNCTION("""COMPUTED_VALUE"""),2014)</f>
        <v>2014</v>
      </c>
      <c r="B1025" s="45">
        <f ca="1">IFERROR(__xludf.DUMMYFUNCTION("""COMPUTED_VALUE"""),42219)</f>
        <v>42219</v>
      </c>
      <c r="C1025" s="46">
        <f ca="1">IFERROR(__xludf.DUMMYFUNCTION("""COMPUTED_VALUE"""),42318)</f>
        <v>42318</v>
      </c>
      <c r="D1025" s="47" t="str">
        <f ca="1">IFERROR(__xludf.DUMMYFUNCTION("""COMPUTED_VALUE"""),"Siberian Chiffchaff [tristis race]")</f>
        <v>Siberian Chiffchaff [tristis race]</v>
      </c>
      <c r="E1025" s="52">
        <f ca="1">IFERROR(__xludf.DUMMYFUNCTION("""COMPUTED_VALUE"""),1)</f>
        <v>1</v>
      </c>
      <c r="F1025" s="25"/>
      <c r="G1025" s="48" t="str">
        <f ca="1">IFERROR(__xludf.DUMMYFUNCTION("""COMPUTED_VALUE"""),"Leasowe")</f>
        <v>Leasowe</v>
      </c>
      <c r="H1025" s="22">
        <f ca="1">IFERROR(__xludf.DUMMYFUNCTION("""COMPUTED_VALUE"""),41943)</f>
        <v>41943</v>
      </c>
      <c r="I1025" s="22">
        <f ca="1">IFERROR(__xludf.DUMMYFUNCTION("""COMPUTED_VALUE"""),41946)</f>
        <v>41946</v>
      </c>
      <c r="J1025" s="24" t="str">
        <f ca="1">IFERROR(__xludf.DUMMYFUNCTION("""COMPUTED_VALUE"""),"Williams, E")</f>
        <v>Williams, E</v>
      </c>
      <c r="K1025" s="25" t="str">
        <f ca="1">IFERROR(__xludf.DUMMYFUNCTION("""COMPUTED_VALUE"""),"Williams, E")</f>
        <v>Williams, E</v>
      </c>
      <c r="L1025" s="27" t="str">
        <f ca="1">IFERROR(__xludf.DUMMYFUNCTION("""COMPUTED_VALUE"""),"closed")</f>
        <v>closed</v>
      </c>
      <c r="M1025" s="27" t="str">
        <f ca="1">IFERROR(__xludf.DUMMYFUNCTION("""COMPUTED_VALUE"""),"1st U")</f>
        <v>1st U</v>
      </c>
      <c r="N1025" s="25" t="str">
        <f ca="1">IFERROR(__xludf.DUMMYFUNCTION("""COMPUTED_VALUE"""),"accepted")</f>
        <v>accepted</v>
      </c>
      <c r="O1025" s="28"/>
      <c r="P1025" s="25"/>
      <c r="Q1025" s="25"/>
      <c r="R1025" s="40"/>
      <c r="S1025" s="25"/>
      <c r="T1025" s="25"/>
      <c r="U1025" s="25"/>
      <c r="V1025" s="25"/>
      <c r="W1025" s="25"/>
      <c r="X1025" s="25"/>
      <c r="Y1025" s="25"/>
      <c r="Z1025" s="25"/>
      <c r="AA1025" s="25"/>
      <c r="AB1025" s="25"/>
      <c r="AC1025" s="25"/>
      <c r="AD1025" s="25"/>
      <c r="AE1025" s="25"/>
      <c r="AF1025" s="25"/>
      <c r="AG1025" s="25"/>
      <c r="AH1025" s="25"/>
      <c r="AI1025" s="25"/>
      <c r="AJ1025" s="25"/>
      <c r="AK1025" s="25"/>
      <c r="AL1025" s="25"/>
      <c r="AM1025" s="25"/>
      <c r="AN1025" s="25"/>
      <c r="AO1025" s="25"/>
      <c r="AP1025" s="25"/>
      <c r="AQ1025" s="25"/>
      <c r="AR1025" s="25"/>
      <c r="AS1025" s="25"/>
      <c r="AT1025" s="25"/>
      <c r="AU1025" s="25"/>
      <c r="AV1025" s="25"/>
      <c r="AW1025" s="25"/>
      <c r="AX1025" s="25"/>
      <c r="AY1025" s="25"/>
      <c r="AZ1025" s="25"/>
      <c r="BA1025" s="25"/>
      <c r="BB1025" s="25"/>
      <c r="BC1025" s="25"/>
      <c r="BD1025" s="25"/>
      <c r="BE1025" s="25"/>
      <c r="BF1025" s="25"/>
      <c r="BG1025" s="25"/>
      <c r="BH1025" s="25"/>
      <c r="BI1025" s="25"/>
      <c r="BJ1025" s="25"/>
      <c r="BK1025" s="25"/>
      <c r="BL1025" s="25"/>
      <c r="BM1025" s="25"/>
      <c r="BN1025" s="25"/>
      <c r="BO1025" s="25"/>
      <c r="BP1025" s="25"/>
      <c r="BQ1025" s="25"/>
      <c r="BR1025" s="25"/>
      <c r="BS1025" s="25"/>
      <c r="BT1025" s="25"/>
      <c r="BU1025" s="25"/>
      <c r="BV1025" s="25"/>
      <c r="BW1025" s="25"/>
      <c r="BX1025" s="25"/>
      <c r="BY1025" s="25"/>
      <c r="BZ1025" s="25"/>
      <c r="CA1025" s="25"/>
      <c r="CB1025" s="25"/>
    </row>
    <row r="1026" spans="1:80" ht="12.75" hidden="1" customHeight="1">
      <c r="A1026" s="10">
        <f ca="1">IFERROR(__xludf.DUMMYFUNCTION("""COMPUTED_VALUE"""),2014)</f>
        <v>2014</v>
      </c>
      <c r="B1026" s="50">
        <f ca="1">IFERROR(__xludf.DUMMYFUNCTION("""COMPUTED_VALUE"""),41904)</f>
        <v>41904</v>
      </c>
      <c r="C1026" s="41">
        <f ca="1">IFERROR(__xludf.DUMMYFUNCTION("""COMPUTED_VALUE"""),42250)</f>
        <v>42250</v>
      </c>
      <c r="D1026" s="42" t="str">
        <f ca="1">IFERROR(__xludf.DUMMYFUNCTION("""COMPUTED_VALUE"""),"Marsh Warbler")</f>
        <v>Marsh Warbler</v>
      </c>
      <c r="E1026" s="53">
        <f ca="1">IFERROR(__xludf.DUMMYFUNCTION("""COMPUTED_VALUE"""),1)</f>
        <v>1</v>
      </c>
      <c r="F1026" s="15" t="str">
        <f ca="1">IFERROR(__xludf.DUMMYFUNCTION("""COMPUTED_VALUE"""),"ad")</f>
        <v>ad</v>
      </c>
      <c r="G1026" s="44" t="str">
        <f ca="1">IFERROR(__xludf.DUMMYFUNCTION("""COMPUTED_VALUE"""),"Red Rocks, Hoylake")</f>
        <v>Red Rocks, Hoylake</v>
      </c>
      <c r="H1026" s="12">
        <f ca="1">IFERROR(__xludf.DUMMYFUNCTION("""COMPUTED_VALUE"""),41887)</f>
        <v>41887</v>
      </c>
      <c r="I1026" s="12"/>
      <c r="J1026" s="14" t="str">
        <f ca="1">IFERROR(__xludf.DUMMYFUNCTION("""COMPUTED_VALUE"""),"Turner, JE")</f>
        <v>Turner, JE</v>
      </c>
      <c r="K1026" s="15" t="str">
        <f ca="1">IFERROR(__xludf.DUMMYFUNCTION("""COMPUTED_VALUE"""),"Turner, JE")</f>
        <v>Turner, JE</v>
      </c>
      <c r="L1026" s="17" t="str">
        <f ca="1">IFERROR(__xludf.DUMMYFUNCTION("""COMPUTED_VALUE"""),"closed")</f>
        <v>closed</v>
      </c>
      <c r="M1026" s="17" t="str">
        <f ca="1">IFERROR(__xludf.DUMMYFUNCTION("""COMPUTED_VALUE"""),"2nd M")</f>
        <v>2nd M</v>
      </c>
      <c r="N1026" s="15" t="str">
        <f ca="1">IFERROR(__xludf.DUMMYFUNCTION("""COMPUTED_VALUE"""),"Accepted")</f>
        <v>Accepted</v>
      </c>
      <c r="O1026" s="18" t="str">
        <f ca="1">IFERROR(__xludf.DUMMYFUNCTION("""COMPUTED_VALUE"""),"Expert opinion sought - aged as adult on the basis of the mimicry")</f>
        <v>Expert opinion sought - aged as adult on the basis of the mimicry</v>
      </c>
      <c r="P1026" s="15"/>
      <c r="Q1026" s="15"/>
      <c r="R1026" s="58"/>
      <c r="S1026" s="15"/>
      <c r="T1026" s="15"/>
      <c r="U1026" s="15"/>
      <c r="V1026" s="15"/>
      <c r="W1026" s="15"/>
      <c r="X1026" s="15"/>
      <c r="Y1026" s="15"/>
      <c r="Z1026" s="15"/>
      <c r="AA1026" s="15"/>
      <c r="AB1026" s="15"/>
      <c r="AC1026" s="15"/>
      <c r="AD1026" s="15"/>
      <c r="AE1026" s="15"/>
      <c r="AF1026" s="15"/>
      <c r="AG1026" s="15"/>
      <c r="AH1026" s="15"/>
      <c r="AI1026" s="15"/>
      <c r="AJ1026" s="15"/>
      <c r="AK1026" s="15"/>
      <c r="AL1026" s="15"/>
      <c r="AM1026" s="15"/>
      <c r="AN1026" s="15"/>
      <c r="AO1026" s="15"/>
      <c r="AP1026" s="15"/>
      <c r="AQ1026" s="15"/>
      <c r="AR1026" s="15"/>
      <c r="AS1026" s="15"/>
      <c r="AT1026" s="15"/>
      <c r="AU1026" s="15"/>
      <c r="AV1026" s="15"/>
      <c r="AW1026" s="15"/>
      <c r="AX1026" s="15"/>
      <c r="AY1026" s="15"/>
      <c r="AZ1026" s="15"/>
      <c r="BA1026" s="15"/>
      <c r="BB1026" s="15"/>
      <c r="BC1026" s="15"/>
      <c r="BD1026" s="15"/>
      <c r="BE1026" s="15"/>
      <c r="BF1026" s="15"/>
      <c r="BG1026" s="15"/>
      <c r="BH1026" s="15"/>
      <c r="BI1026" s="15"/>
      <c r="BJ1026" s="15"/>
      <c r="BK1026" s="15"/>
      <c r="BL1026" s="15"/>
      <c r="BM1026" s="15"/>
      <c r="BN1026" s="15"/>
      <c r="BO1026" s="15"/>
      <c r="BP1026" s="15"/>
      <c r="BQ1026" s="15"/>
      <c r="BR1026" s="15"/>
      <c r="BS1026" s="15"/>
      <c r="BT1026" s="15"/>
      <c r="BU1026" s="15"/>
      <c r="BV1026" s="15"/>
      <c r="BW1026" s="15"/>
      <c r="BX1026" s="15"/>
      <c r="BY1026" s="15"/>
      <c r="BZ1026" s="15"/>
      <c r="CA1026" s="15"/>
      <c r="CB1026" s="15"/>
    </row>
    <row r="1027" spans="1:80" ht="12.75" hidden="1" customHeight="1">
      <c r="A1027" s="20">
        <f ca="1">IFERROR(__xludf.DUMMYFUNCTION("""COMPUTED_VALUE"""),2014)</f>
        <v>2014</v>
      </c>
      <c r="B1027" s="45">
        <f ca="1">IFERROR(__xludf.DUMMYFUNCTION("""COMPUTED_VALUE"""),41904)</f>
        <v>41904</v>
      </c>
      <c r="C1027" s="46">
        <f ca="1">IFERROR(__xludf.DUMMYFUNCTION("""COMPUTED_VALUE"""),42251)</f>
        <v>42251</v>
      </c>
      <c r="D1027" s="47" t="str">
        <f ca="1">IFERROR(__xludf.DUMMYFUNCTION("""COMPUTED_VALUE"""),"Barred Warbler")</f>
        <v>Barred Warbler</v>
      </c>
      <c r="E1027" s="52">
        <f ca="1">IFERROR(__xludf.DUMMYFUNCTION("""COMPUTED_VALUE"""),1)</f>
        <v>1</v>
      </c>
      <c r="F1027" s="25" t="str">
        <f ca="1">IFERROR(__xludf.DUMMYFUNCTION("""COMPUTED_VALUE"""),"1st W")</f>
        <v>1st W</v>
      </c>
      <c r="G1027" s="48" t="str">
        <f ca="1">IFERROR(__xludf.DUMMYFUNCTION("""COMPUTED_VALUE"""),"Red Rocks, Hoylake")</f>
        <v>Red Rocks, Hoylake</v>
      </c>
      <c r="H1027" s="22">
        <f ca="1">IFERROR(__xludf.DUMMYFUNCTION("""COMPUTED_VALUE"""),41898)</f>
        <v>41898</v>
      </c>
      <c r="I1027" s="22"/>
      <c r="J1027" s="24" t="str">
        <f ca="1">IFERROR(__xludf.DUMMYFUNCTION("""COMPUTED_VALUE"""),"Turner, JE")</f>
        <v>Turner, JE</v>
      </c>
      <c r="K1027" s="25" t="str">
        <f ca="1">IFERROR(__xludf.DUMMYFUNCTION("""COMPUTED_VALUE"""),"Turner, JE")</f>
        <v>Turner, JE</v>
      </c>
      <c r="L1027" s="27" t="str">
        <f ca="1">IFERROR(__xludf.DUMMYFUNCTION("""COMPUTED_VALUE"""),"closed")</f>
        <v>closed</v>
      </c>
      <c r="M1027" s="27" t="str">
        <f ca="1">IFERROR(__xludf.DUMMYFUNCTION("""COMPUTED_VALUE"""),"1st M")</f>
        <v>1st M</v>
      </c>
      <c r="N1027" s="25" t="str">
        <f ca="1">IFERROR(__xludf.DUMMYFUNCTION("""COMPUTED_VALUE"""),"accepted")</f>
        <v>accepted</v>
      </c>
      <c r="O1027" s="28" t="str">
        <f ca="1">IFERROR(__xludf.DUMMYFUNCTION("""COMPUTED_VALUE"""),"in the Point Buckthorn .  Seen badly, but sound recorded - two diagnostic calls.  Possibly present since last Saturday - when Eddie Williams who is not prone to hyperbole vaulted the fence to the golf club after a large grey-brown warlber!")</f>
        <v>in the Point Buckthorn .  Seen badly, but sound recorded - two diagnostic calls.  Possibly present since last Saturday - when Eddie Williams who is not prone to hyperbole vaulted the fence to the golf club after a large grey-brown warlber!</v>
      </c>
      <c r="P1027" s="25"/>
      <c r="Q1027" s="25"/>
      <c r="R1027" s="25"/>
      <c r="S1027" s="25"/>
      <c r="T1027" s="25"/>
      <c r="U1027" s="25"/>
      <c r="V1027" s="25"/>
      <c r="W1027" s="25"/>
      <c r="X1027" s="25"/>
      <c r="Y1027" s="25"/>
      <c r="Z1027" s="25"/>
      <c r="AA1027" s="25"/>
      <c r="AB1027" s="25"/>
      <c r="AC1027" s="25"/>
      <c r="AD1027" s="25"/>
      <c r="AE1027" s="25"/>
      <c r="AF1027" s="25"/>
      <c r="AG1027" s="25"/>
      <c r="AH1027" s="25"/>
      <c r="AI1027" s="25"/>
      <c r="AJ1027" s="25"/>
      <c r="AK1027" s="25"/>
      <c r="AL1027" s="25"/>
      <c r="AM1027" s="25"/>
      <c r="AN1027" s="25"/>
      <c r="AO1027" s="25"/>
      <c r="AP1027" s="25"/>
      <c r="AQ1027" s="25"/>
      <c r="AR1027" s="25"/>
      <c r="AS1027" s="25"/>
      <c r="AT1027" s="25"/>
      <c r="AU1027" s="25"/>
      <c r="AV1027" s="25"/>
      <c r="AW1027" s="25"/>
      <c r="AX1027" s="25"/>
      <c r="AY1027" s="25"/>
      <c r="AZ1027" s="25"/>
      <c r="BA1027" s="25"/>
      <c r="BB1027" s="25"/>
      <c r="BC1027" s="25"/>
      <c r="BD1027" s="25"/>
      <c r="BE1027" s="25"/>
      <c r="BF1027" s="25"/>
      <c r="BG1027" s="25"/>
      <c r="BH1027" s="25"/>
      <c r="BI1027" s="25"/>
      <c r="BJ1027" s="25"/>
      <c r="BK1027" s="25"/>
      <c r="BL1027" s="25"/>
      <c r="BM1027" s="25"/>
      <c r="BN1027" s="25"/>
      <c r="BO1027" s="25"/>
      <c r="BP1027" s="25"/>
      <c r="BQ1027" s="25"/>
      <c r="BR1027" s="25"/>
      <c r="BS1027" s="25"/>
      <c r="BT1027" s="25"/>
      <c r="BU1027" s="25"/>
      <c r="BV1027" s="25"/>
      <c r="BW1027" s="25"/>
      <c r="BX1027" s="25"/>
      <c r="BY1027" s="25"/>
      <c r="BZ1027" s="25"/>
      <c r="CA1027" s="25"/>
      <c r="CB1027" s="25"/>
    </row>
    <row r="1028" spans="1:80" ht="12.75" hidden="1" customHeight="1">
      <c r="A1028" s="10">
        <f ca="1">IFERROR(__xludf.DUMMYFUNCTION("""COMPUTED_VALUE"""),2014)</f>
        <v>2014</v>
      </c>
      <c r="B1028" s="50">
        <f ca="1">IFERROR(__xludf.DUMMYFUNCTION("""COMPUTED_VALUE"""),42219)</f>
        <v>42219</v>
      </c>
      <c r="C1028" s="41">
        <f ca="1">IFERROR(__xludf.DUMMYFUNCTION("""COMPUTED_VALUE"""),42251)</f>
        <v>42251</v>
      </c>
      <c r="D1028" s="42" t="str">
        <f ca="1">IFERROR(__xludf.DUMMYFUNCTION("""COMPUTED_VALUE"""),"Barred Warbler")</f>
        <v>Barred Warbler</v>
      </c>
      <c r="E1028" s="53">
        <f ca="1">IFERROR(__xludf.DUMMYFUNCTION("""COMPUTED_VALUE"""),1)</f>
        <v>1</v>
      </c>
      <c r="F1028" s="15"/>
      <c r="G1028" s="44" t="str">
        <f ca="1">IFERROR(__xludf.DUMMYFUNCTION("""COMPUTED_VALUE"""),"West Kirby")</f>
        <v>West Kirby</v>
      </c>
      <c r="H1028" s="12">
        <f ca="1">IFERROR(__xludf.DUMMYFUNCTION("""COMPUTED_VALUE"""),41952)</f>
        <v>41952</v>
      </c>
      <c r="I1028" s="12">
        <f ca="1">IFERROR(__xludf.DUMMYFUNCTION("""COMPUTED_VALUE"""),41952)</f>
        <v>41952</v>
      </c>
      <c r="J1028" s="14" t="str">
        <f ca="1">IFERROR(__xludf.DUMMYFUNCTION("""COMPUTED_VALUE"""),"Conlin, A")</f>
        <v>Conlin, A</v>
      </c>
      <c r="K1028" s="15" t="str">
        <f ca="1">IFERROR(__xludf.DUMMYFUNCTION("""COMPUTED_VALUE"""),"Bell, AA")</f>
        <v>Bell, AA</v>
      </c>
      <c r="L1028" s="17" t="str">
        <f ca="1">IFERROR(__xludf.DUMMYFUNCTION("""COMPUTED_VALUE"""),"closed")</f>
        <v>closed</v>
      </c>
      <c r="M1028" s="17" t="str">
        <f ca="1">IFERROR(__xludf.DUMMYFUNCTION("""COMPUTED_VALUE"""),"1st U")</f>
        <v>1st U</v>
      </c>
      <c r="N1028" s="15" t="str">
        <f ca="1">IFERROR(__xludf.DUMMYFUNCTION("""COMPUTED_VALUE"""),"accepted")</f>
        <v>accepted</v>
      </c>
      <c r="O1028" s="18"/>
      <c r="P1028" s="15"/>
      <c r="Q1028" s="15"/>
      <c r="R1028" s="15"/>
      <c r="S1028" s="15"/>
      <c r="T1028" s="15"/>
      <c r="U1028" s="15"/>
      <c r="V1028" s="15"/>
      <c r="W1028" s="15"/>
      <c r="X1028" s="15"/>
      <c r="Y1028" s="15"/>
      <c r="Z1028" s="15"/>
      <c r="AA1028" s="15"/>
      <c r="AB1028" s="15"/>
      <c r="AC1028" s="15"/>
      <c r="AD1028" s="15"/>
      <c r="AE1028" s="15"/>
      <c r="AF1028" s="15"/>
      <c r="AG1028" s="15"/>
      <c r="AH1028" s="15"/>
      <c r="AI1028" s="15"/>
      <c r="AJ1028" s="15"/>
      <c r="AK1028" s="15"/>
      <c r="AL1028" s="15"/>
      <c r="AM1028" s="15"/>
      <c r="AN1028" s="15"/>
      <c r="AO1028" s="15"/>
      <c r="AP1028" s="15"/>
      <c r="AQ1028" s="15"/>
      <c r="AR1028" s="15"/>
      <c r="AS1028" s="15"/>
      <c r="AT1028" s="15"/>
      <c r="AU1028" s="15"/>
      <c r="AV1028" s="15"/>
      <c r="AW1028" s="15"/>
      <c r="AX1028" s="15"/>
      <c r="AY1028" s="15"/>
      <c r="AZ1028" s="15"/>
      <c r="BA1028" s="15"/>
      <c r="BB1028" s="15"/>
      <c r="BC1028" s="15"/>
      <c r="BD1028" s="15"/>
      <c r="BE1028" s="15"/>
      <c r="BF1028" s="15"/>
      <c r="BG1028" s="15"/>
      <c r="BH1028" s="15"/>
      <c r="BI1028" s="15"/>
      <c r="BJ1028" s="15"/>
      <c r="BK1028" s="15"/>
      <c r="BL1028" s="15"/>
      <c r="BM1028" s="15"/>
      <c r="BN1028" s="15"/>
      <c r="BO1028" s="15"/>
      <c r="BP1028" s="15"/>
      <c r="BQ1028" s="15"/>
      <c r="BR1028" s="15"/>
      <c r="BS1028" s="15"/>
      <c r="BT1028" s="15"/>
      <c r="BU1028" s="15"/>
      <c r="BV1028" s="15"/>
      <c r="BW1028" s="15"/>
      <c r="BX1028" s="15"/>
      <c r="BY1028" s="15"/>
      <c r="BZ1028" s="15"/>
      <c r="CA1028" s="15"/>
      <c r="CB1028" s="15"/>
    </row>
    <row r="1029" spans="1:80" ht="12.75" hidden="1" customHeight="1">
      <c r="A1029" s="20">
        <f ca="1">IFERROR(__xludf.DUMMYFUNCTION("""COMPUTED_VALUE"""),2014)</f>
        <v>2014</v>
      </c>
      <c r="B1029" s="45">
        <f ca="1">IFERROR(__xludf.DUMMYFUNCTION("""COMPUTED_VALUE"""),41906)</f>
        <v>41906</v>
      </c>
      <c r="C1029" s="46">
        <f ca="1">IFERROR(__xludf.DUMMYFUNCTION("""COMPUTED_VALUE"""),42250)</f>
        <v>42250</v>
      </c>
      <c r="D1029" s="47" t="str">
        <f ca="1">IFERROR(__xludf.DUMMYFUNCTION("""COMPUTED_VALUE"""),"Yellow Wagtail [Blue-headed]")</f>
        <v>Yellow Wagtail [Blue-headed]</v>
      </c>
      <c r="E1029" s="52">
        <f ca="1">IFERROR(__xludf.DUMMYFUNCTION("""COMPUTED_VALUE"""),1)</f>
        <v>1</v>
      </c>
      <c r="F1029" s="25" t="str">
        <f ca="1">IFERROR(__xludf.DUMMYFUNCTION("""COMPUTED_VALUE"""),"m")</f>
        <v>m</v>
      </c>
      <c r="G1029" s="48" t="str">
        <f ca="1">IFERROR(__xludf.DUMMYFUNCTION("""COMPUTED_VALUE"""),"Leasowe")</f>
        <v>Leasowe</v>
      </c>
      <c r="H1029" s="22">
        <f ca="1">IFERROR(__xludf.DUMMYFUNCTION("""COMPUTED_VALUE"""),41760)</f>
        <v>41760</v>
      </c>
      <c r="I1029" s="22">
        <f ca="1">IFERROR(__xludf.DUMMYFUNCTION("""COMPUTED_VALUE"""),41761)</f>
        <v>41761</v>
      </c>
      <c r="J1029" s="24" t="str">
        <f ca="1">IFERROR(__xludf.DUMMYFUNCTION("""COMPUTED_VALUE"""),"Williams, E")</f>
        <v>Williams, E</v>
      </c>
      <c r="K1029" s="25" t="str">
        <f ca="1">IFERROR(__xludf.DUMMYFUNCTION("""COMPUTED_VALUE"""),"&amp; Turner, MG")</f>
        <v>&amp; Turner, MG</v>
      </c>
      <c r="L1029" s="27" t="str">
        <f ca="1">IFERROR(__xludf.DUMMYFUNCTION("""COMPUTED_VALUE"""),"closed")</f>
        <v>closed</v>
      </c>
      <c r="M1029" s="27" t="str">
        <f ca="1">IFERROR(__xludf.DUMMYFUNCTION("""COMPUTED_VALUE"""),"1st M")</f>
        <v>1st M</v>
      </c>
      <c r="N1029" s="25" t="str">
        <f ca="1">IFERROR(__xludf.DUMMYFUNCTION("""COMPUTED_VALUE"""),"accepted")</f>
        <v>accepted</v>
      </c>
      <c r="O1029" s="28"/>
      <c r="P1029" s="25"/>
      <c r="Q1029" s="40"/>
      <c r="R1029" s="40"/>
      <c r="S1029" s="25"/>
      <c r="T1029" s="25"/>
      <c r="U1029" s="25"/>
      <c r="V1029" s="25"/>
      <c r="W1029" s="25"/>
      <c r="X1029" s="25"/>
      <c r="Y1029" s="25"/>
      <c r="Z1029" s="25"/>
      <c r="AA1029" s="25"/>
      <c r="AB1029" s="25"/>
      <c r="AC1029" s="25"/>
      <c r="AD1029" s="25"/>
      <c r="AE1029" s="25"/>
      <c r="AF1029" s="25"/>
      <c r="AG1029" s="25"/>
      <c r="AH1029" s="25"/>
      <c r="AI1029" s="25"/>
      <c r="AJ1029" s="25"/>
      <c r="AK1029" s="25"/>
      <c r="AL1029" s="25"/>
      <c r="AM1029" s="25"/>
      <c r="AN1029" s="25"/>
      <c r="AO1029" s="25"/>
      <c r="AP1029" s="25"/>
      <c r="AQ1029" s="25"/>
      <c r="AR1029" s="25"/>
      <c r="AS1029" s="25"/>
      <c r="AT1029" s="25"/>
      <c r="AU1029" s="25"/>
      <c r="AV1029" s="25"/>
      <c r="AW1029" s="25"/>
      <c r="AX1029" s="25"/>
      <c r="AY1029" s="25"/>
      <c r="AZ1029" s="25"/>
      <c r="BA1029" s="25"/>
      <c r="BB1029" s="25"/>
      <c r="BC1029" s="25"/>
      <c r="BD1029" s="25"/>
      <c r="BE1029" s="25"/>
      <c r="BF1029" s="25"/>
      <c r="BG1029" s="25"/>
      <c r="BH1029" s="25"/>
      <c r="BI1029" s="25"/>
      <c r="BJ1029" s="25"/>
      <c r="BK1029" s="25"/>
      <c r="BL1029" s="25"/>
      <c r="BM1029" s="25"/>
      <c r="BN1029" s="25"/>
      <c r="BO1029" s="25"/>
      <c r="BP1029" s="25"/>
      <c r="BQ1029" s="25"/>
      <c r="BR1029" s="25"/>
      <c r="BS1029" s="25"/>
      <c r="BT1029" s="25"/>
      <c r="BU1029" s="25"/>
      <c r="BV1029" s="25"/>
      <c r="BW1029" s="25"/>
      <c r="BX1029" s="25"/>
      <c r="BY1029" s="25"/>
      <c r="BZ1029" s="25"/>
      <c r="CA1029" s="25"/>
      <c r="CB1029" s="25"/>
    </row>
    <row r="1030" spans="1:80" ht="12.75" hidden="1" customHeight="1">
      <c r="A1030" s="10">
        <f ca="1">IFERROR(__xludf.DUMMYFUNCTION("""COMPUTED_VALUE"""),2014)</f>
        <v>2014</v>
      </c>
      <c r="B1030" s="50">
        <f ca="1">IFERROR(__xludf.DUMMYFUNCTION("""COMPUTED_VALUE"""),42279)</f>
        <v>42279</v>
      </c>
      <c r="C1030" s="41">
        <f ca="1">IFERROR(__xludf.DUMMYFUNCTION("""COMPUTED_VALUE"""),42251)</f>
        <v>42251</v>
      </c>
      <c r="D1030" s="42" t="str">
        <f ca="1">IFERROR(__xludf.DUMMYFUNCTION("""COMPUTED_VALUE"""),"YellowxBlue-headed Wagtail [Channel]")</f>
        <v>YellowxBlue-headed Wagtail [Channel]</v>
      </c>
      <c r="E1030" s="53">
        <f ca="1">IFERROR(__xludf.DUMMYFUNCTION("""COMPUTED_VALUE"""),1)</f>
        <v>1</v>
      </c>
      <c r="F1030" s="15"/>
      <c r="G1030" s="44" t="str">
        <f ca="1">IFERROR(__xludf.DUMMYFUNCTION("""COMPUTED_VALUE"""),"Leasowe Lighthouse")</f>
        <v>Leasowe Lighthouse</v>
      </c>
      <c r="H1030" s="12">
        <f ca="1">IFERROR(__xludf.DUMMYFUNCTION("""COMPUTED_VALUE"""),41755)</f>
        <v>41755</v>
      </c>
      <c r="I1030" s="12">
        <f ca="1">IFERROR(__xludf.DUMMYFUNCTION("""COMPUTED_VALUE"""),41755)</f>
        <v>41755</v>
      </c>
      <c r="J1030" s="14" t="str">
        <f ca="1">IFERROR(__xludf.DUMMYFUNCTION("""COMPUTED_VALUE"""),"Conlin, A")</f>
        <v>Conlin, A</v>
      </c>
      <c r="K1030" s="15" t="str">
        <f ca="1">IFERROR(__xludf.DUMMYFUNCTION("""COMPUTED_VALUE"""),"Conlin, A")</f>
        <v>Conlin, A</v>
      </c>
      <c r="L1030" s="17" t="str">
        <f ca="1">IFERROR(__xludf.DUMMYFUNCTION("""COMPUTED_VALUE"""),"closed")</f>
        <v>closed</v>
      </c>
      <c r="M1030" s="17" t="str">
        <f ca="1">IFERROR(__xludf.DUMMYFUNCTION("""COMPUTED_VALUE"""),"1st U")</f>
        <v>1st U</v>
      </c>
      <c r="N1030" s="15" t="str">
        <f ca="1">IFERROR(__xludf.DUMMYFUNCTION("""COMPUTED_VALUE"""),"accepted")</f>
        <v>accepted</v>
      </c>
      <c r="O1030" s="18"/>
      <c r="P1030" s="15"/>
      <c r="Q1030" s="15"/>
      <c r="R1030" s="15"/>
      <c r="S1030" s="15"/>
      <c r="T1030" s="15"/>
      <c r="U1030" s="15"/>
      <c r="V1030" s="15"/>
      <c r="W1030" s="15"/>
      <c r="X1030" s="15"/>
      <c r="Y1030" s="15"/>
      <c r="Z1030" s="15"/>
      <c r="AA1030" s="15"/>
      <c r="AB1030" s="15"/>
      <c r="AC1030" s="15"/>
      <c r="AD1030" s="15"/>
      <c r="AE1030" s="15"/>
      <c r="AF1030" s="15"/>
      <c r="AG1030" s="15"/>
      <c r="AH1030" s="15"/>
      <c r="AI1030" s="15"/>
      <c r="AJ1030" s="15"/>
      <c r="AK1030" s="15"/>
      <c r="AL1030" s="15"/>
      <c r="AM1030" s="15"/>
      <c r="AN1030" s="15"/>
      <c r="AO1030" s="15"/>
      <c r="AP1030" s="15"/>
      <c r="AQ1030" s="15"/>
      <c r="AR1030" s="15"/>
      <c r="AS1030" s="15"/>
      <c r="AT1030" s="15"/>
      <c r="AU1030" s="15"/>
      <c r="AV1030" s="15"/>
      <c r="AW1030" s="15"/>
      <c r="AX1030" s="15"/>
      <c r="AY1030" s="15"/>
      <c r="AZ1030" s="15"/>
      <c r="BA1030" s="15"/>
      <c r="BB1030" s="15"/>
      <c r="BC1030" s="15"/>
      <c r="BD1030" s="15"/>
      <c r="BE1030" s="15"/>
      <c r="BF1030" s="15"/>
      <c r="BG1030" s="15"/>
      <c r="BH1030" s="15"/>
      <c r="BI1030" s="15"/>
      <c r="BJ1030" s="15"/>
      <c r="BK1030" s="15"/>
      <c r="BL1030" s="15"/>
      <c r="BM1030" s="15"/>
      <c r="BN1030" s="15"/>
      <c r="BO1030" s="15"/>
      <c r="BP1030" s="15"/>
      <c r="BQ1030" s="15"/>
      <c r="BR1030" s="15"/>
      <c r="BS1030" s="15"/>
      <c r="BT1030" s="15"/>
      <c r="BU1030" s="15"/>
      <c r="BV1030" s="15"/>
      <c r="BW1030" s="15"/>
      <c r="BX1030" s="15"/>
      <c r="BY1030" s="15"/>
      <c r="BZ1030" s="15"/>
      <c r="CA1030" s="15"/>
      <c r="CB1030" s="15"/>
    </row>
    <row r="1031" spans="1:80" ht="12.75" hidden="1" customHeight="1">
      <c r="A1031" s="20">
        <f ca="1">IFERROR(__xludf.DUMMYFUNCTION("""COMPUTED_VALUE"""),2014)</f>
        <v>2014</v>
      </c>
      <c r="B1031" s="45">
        <f ca="1">IFERROR(__xludf.DUMMYFUNCTION("""COMPUTED_VALUE"""),44568)</f>
        <v>44568</v>
      </c>
      <c r="C1031" s="46"/>
      <c r="D1031" s="47" t="str">
        <f ca="1">IFERROR(__xludf.DUMMYFUNCTION("""COMPUTED_VALUE"""),"Citrine Wagtail")</f>
        <v>Citrine Wagtail</v>
      </c>
      <c r="E1031" s="52">
        <f ca="1">IFERROR(__xludf.DUMMYFUNCTION("""COMPUTED_VALUE"""),1)</f>
        <v>1</v>
      </c>
      <c r="F1031" s="25" t="str">
        <f ca="1">IFERROR(__xludf.DUMMYFUNCTION("""COMPUTED_VALUE"""),"2nd Cal M")</f>
        <v>2nd Cal M</v>
      </c>
      <c r="G1031" s="48" t="str">
        <f ca="1">IFERROR(__xludf.DUMMYFUNCTION("""COMPUTED_VALUE"""),"Red Rocks, Hoylake")</f>
        <v>Red Rocks, Hoylake</v>
      </c>
      <c r="H1031" s="22">
        <f ca="1">IFERROR(__xludf.DUMMYFUNCTION("""COMPUTED_VALUE"""),41764)</f>
        <v>41764</v>
      </c>
      <c r="I1031" s="22"/>
      <c r="J1031" s="24"/>
      <c r="K1031" s="25"/>
      <c r="L1031" s="27" t="str">
        <f ca="1">IFERROR(__xludf.DUMMYFUNCTION("""COMPUTED_VALUE"""),"closed")</f>
        <v>closed</v>
      </c>
      <c r="M1031" s="27"/>
      <c r="N1031" s="25" t="str">
        <f ca="1">IFERROR(__xludf.DUMMYFUNCTION("""COMPUTED_VALUE"""),"BBRC-OK")</f>
        <v>BBRC-OK</v>
      </c>
      <c r="O1031" s="28" t="str">
        <f ca="1">IFERROR(__xludf.DUMMYFUNCTION("""COMPUTED_VALUE"""),"Briefly on the shore north of the Pinfold steps before flying south, Photo, sound recording")</f>
        <v>Briefly on the shore north of the Pinfold steps before flying south, Photo, sound recording</v>
      </c>
      <c r="P1031" s="25"/>
      <c r="Q1031" s="25"/>
      <c r="R1031" s="25"/>
      <c r="S1031" s="25"/>
      <c r="T1031" s="25"/>
      <c r="U1031" s="25"/>
      <c r="V1031" s="25"/>
      <c r="W1031" s="25"/>
      <c r="X1031" s="25"/>
      <c r="Y1031" s="25"/>
      <c r="Z1031" s="25"/>
      <c r="AA1031" s="25"/>
      <c r="AB1031" s="25"/>
      <c r="AC1031" s="25"/>
      <c r="AD1031" s="25"/>
      <c r="AE1031" s="25"/>
      <c r="AF1031" s="25"/>
      <c r="AG1031" s="25"/>
      <c r="AH1031" s="25"/>
      <c r="AI1031" s="25"/>
      <c r="AJ1031" s="25"/>
      <c r="AK1031" s="25"/>
      <c r="AL1031" s="25"/>
      <c r="AM1031" s="25"/>
      <c r="AN1031" s="25"/>
      <c r="AO1031" s="25"/>
      <c r="AP1031" s="25"/>
      <c r="AQ1031" s="25"/>
      <c r="AR1031" s="25"/>
      <c r="AS1031" s="25"/>
      <c r="AT1031" s="25"/>
      <c r="AU1031" s="25"/>
      <c r="AV1031" s="25"/>
      <c r="AW1031" s="25"/>
      <c r="AX1031" s="25"/>
      <c r="AY1031" s="25"/>
      <c r="AZ1031" s="25"/>
      <c r="BA1031" s="25"/>
      <c r="BB1031" s="25"/>
      <c r="BC1031" s="25"/>
      <c r="BD1031" s="25"/>
      <c r="BE1031" s="25"/>
      <c r="BF1031" s="25"/>
      <c r="BG1031" s="25"/>
      <c r="BH1031" s="25"/>
      <c r="BI1031" s="25"/>
      <c r="BJ1031" s="25"/>
      <c r="BK1031" s="25"/>
      <c r="BL1031" s="25"/>
      <c r="BM1031" s="25"/>
      <c r="BN1031" s="25"/>
      <c r="BO1031" s="25"/>
      <c r="BP1031" s="25"/>
      <c r="BQ1031" s="25"/>
      <c r="BR1031" s="25"/>
      <c r="BS1031" s="25"/>
      <c r="BT1031" s="25"/>
      <c r="BU1031" s="25"/>
      <c r="BV1031" s="25"/>
      <c r="BW1031" s="25"/>
      <c r="BX1031" s="25"/>
      <c r="BY1031" s="25"/>
      <c r="BZ1031" s="25"/>
      <c r="CA1031" s="25"/>
      <c r="CB1031" s="25"/>
    </row>
    <row r="1032" spans="1:80" ht="12.75" hidden="1" customHeight="1">
      <c r="A1032" s="10">
        <f ca="1">IFERROR(__xludf.DUMMYFUNCTION("""COMPUTED_VALUE"""),2014)</f>
        <v>2014</v>
      </c>
      <c r="B1032" s="50">
        <f ca="1">IFERROR(__xludf.DUMMYFUNCTION("""COMPUTED_VALUE"""),42248)</f>
        <v>42248</v>
      </c>
      <c r="C1032" s="41">
        <f ca="1">IFERROR(__xludf.DUMMYFUNCTION("""COMPUTED_VALUE"""),42248)</f>
        <v>42248</v>
      </c>
      <c r="D1032" s="42" t="str">
        <f ca="1">IFERROR(__xludf.DUMMYFUNCTION("""COMPUTED_VALUE"""),"Tawny Pipit")</f>
        <v>Tawny Pipit</v>
      </c>
      <c r="E1032" s="53">
        <f ca="1">IFERROR(__xludf.DUMMYFUNCTION("""COMPUTED_VALUE"""),1)</f>
        <v>1</v>
      </c>
      <c r="F1032" s="72"/>
      <c r="G1032" s="44" t="str">
        <f ca="1">IFERROR(__xludf.DUMMYFUNCTION("""COMPUTED_VALUE"""),"Red Rocks, Hoylake")</f>
        <v>Red Rocks, Hoylake</v>
      </c>
      <c r="H1032" s="12">
        <f ca="1">IFERROR(__xludf.DUMMYFUNCTION("""COMPUTED_VALUE"""),41759)</f>
        <v>41759</v>
      </c>
      <c r="I1032" s="12"/>
      <c r="J1032" s="14" t="str">
        <f ca="1">IFERROR(__xludf.DUMMYFUNCTION("""COMPUTED_VALUE"""),"Turner, MG")</f>
        <v>Turner, MG</v>
      </c>
      <c r="K1032" s="15" t="str">
        <f ca="1">IFERROR(__xludf.DUMMYFUNCTION("""COMPUTED_VALUE"""),"Turner, MG")</f>
        <v>Turner, MG</v>
      </c>
      <c r="L1032" s="17" t="str">
        <f ca="1">IFERROR(__xludf.DUMMYFUNCTION("""COMPUTED_VALUE"""),"closed")</f>
        <v>closed</v>
      </c>
      <c r="M1032" s="17" t="str">
        <f ca="1">IFERROR(__xludf.DUMMYFUNCTION("""COMPUTED_VALUE"""),"1st U")</f>
        <v>1st U</v>
      </c>
      <c r="N1032" s="15" t="str">
        <f ca="1">IFERROR(__xludf.DUMMYFUNCTION("""COMPUTED_VALUE"""),"accepted")</f>
        <v>accepted</v>
      </c>
      <c r="O1032" s="18"/>
      <c r="P1032" s="15"/>
      <c r="Q1032" s="15"/>
      <c r="R1032" s="15"/>
      <c r="S1032" s="15"/>
      <c r="T1032" s="15"/>
      <c r="U1032" s="15"/>
      <c r="V1032" s="15"/>
      <c r="W1032" s="15"/>
      <c r="X1032" s="15"/>
      <c r="Y1032" s="15"/>
      <c r="Z1032" s="15"/>
      <c r="AA1032" s="15"/>
      <c r="AB1032" s="15"/>
      <c r="AC1032" s="15"/>
      <c r="AD1032" s="15"/>
      <c r="AE1032" s="15"/>
      <c r="AF1032" s="15"/>
      <c r="AG1032" s="15"/>
      <c r="AH1032" s="15"/>
      <c r="AI1032" s="15"/>
      <c r="AJ1032" s="15"/>
      <c r="AK1032" s="15"/>
      <c r="AL1032" s="15"/>
      <c r="AM1032" s="15"/>
      <c r="AN1032" s="15"/>
      <c r="AO1032" s="15"/>
      <c r="AP1032" s="15"/>
      <c r="AQ1032" s="15"/>
      <c r="AR1032" s="15"/>
      <c r="AS1032" s="15"/>
      <c r="AT1032" s="15"/>
      <c r="AU1032" s="15"/>
      <c r="AV1032" s="15"/>
      <c r="AW1032" s="15"/>
      <c r="AX1032" s="15"/>
      <c r="AY1032" s="15"/>
      <c r="AZ1032" s="15"/>
      <c r="BA1032" s="15"/>
      <c r="BB1032" s="15"/>
      <c r="BC1032" s="15"/>
      <c r="BD1032" s="15"/>
      <c r="BE1032" s="15"/>
      <c r="BF1032" s="15"/>
      <c r="BG1032" s="15"/>
      <c r="BH1032" s="15"/>
      <c r="BI1032" s="15"/>
      <c r="BJ1032" s="15"/>
      <c r="BK1032" s="15"/>
      <c r="BL1032" s="15"/>
      <c r="BM1032" s="15"/>
      <c r="BN1032" s="15"/>
      <c r="BO1032" s="15"/>
      <c r="BP1032" s="15"/>
      <c r="BQ1032" s="15"/>
      <c r="BR1032" s="15"/>
      <c r="BS1032" s="15"/>
      <c r="BT1032" s="15"/>
      <c r="BU1032" s="15"/>
      <c r="BV1032" s="15"/>
      <c r="BW1032" s="15"/>
      <c r="BX1032" s="15"/>
      <c r="BY1032" s="15"/>
      <c r="BZ1032" s="15"/>
      <c r="CA1032" s="15"/>
      <c r="CB1032" s="15"/>
    </row>
    <row r="1033" spans="1:80" ht="12.75" hidden="1" customHeight="1">
      <c r="A1033" s="20">
        <f ca="1">IFERROR(__xludf.DUMMYFUNCTION("""COMPUTED_VALUE"""),2014)</f>
        <v>2014</v>
      </c>
      <c r="B1033" s="45">
        <f ca="1">IFERROR(__xludf.DUMMYFUNCTION("""COMPUTED_VALUE"""),42248)</f>
        <v>42248</v>
      </c>
      <c r="C1033" s="46">
        <f ca="1">IFERROR(__xludf.DUMMYFUNCTION("""COMPUTED_VALUE"""),42248)</f>
        <v>42248</v>
      </c>
      <c r="D1033" s="47" t="str">
        <f ca="1">IFERROR(__xludf.DUMMYFUNCTION("""COMPUTED_VALUE"""),"Tawny Pipit")</f>
        <v>Tawny Pipit</v>
      </c>
      <c r="E1033" s="52">
        <f ca="1">IFERROR(__xludf.DUMMYFUNCTION("""COMPUTED_VALUE"""),1)</f>
        <v>1</v>
      </c>
      <c r="F1033" s="25"/>
      <c r="G1033" s="48" t="str">
        <f ca="1">IFERROR(__xludf.DUMMYFUNCTION("""COMPUTED_VALUE"""),"Red Rocks, Hoylake")</f>
        <v>Red Rocks, Hoylake</v>
      </c>
      <c r="H1033" s="22">
        <f ca="1">IFERROR(__xludf.DUMMYFUNCTION("""COMPUTED_VALUE"""),41759)</f>
        <v>41759</v>
      </c>
      <c r="I1033" s="23"/>
      <c r="J1033" s="24" t="str">
        <f ca="1">IFERROR(__xludf.DUMMYFUNCTION("""COMPUTED_VALUE"""),"Turner, JE")</f>
        <v>Turner, JE</v>
      </c>
      <c r="K1033" s="25" t="str">
        <f ca="1">IFERROR(__xludf.DUMMYFUNCTION("""COMPUTED_VALUE"""),"Turner, MG")</f>
        <v>Turner, MG</v>
      </c>
      <c r="L1033" s="27" t="str">
        <f ca="1">IFERROR(__xludf.DUMMYFUNCTION("""COMPUTED_VALUE"""),"closed")</f>
        <v>closed</v>
      </c>
      <c r="M1033" s="27" t="str">
        <f ca="1">IFERROR(__xludf.DUMMYFUNCTION("""COMPUTED_VALUE"""),"1st U")</f>
        <v>1st U</v>
      </c>
      <c r="N1033" s="25" t="str">
        <f ca="1">IFERROR(__xludf.DUMMYFUNCTION("""COMPUTED_VALUE"""),"accepted")</f>
        <v>accepted</v>
      </c>
      <c r="O1033" s="28"/>
      <c r="P1033" s="25"/>
      <c r="Q1033" s="40"/>
      <c r="R1033" s="25"/>
      <c r="S1033" s="25"/>
      <c r="T1033" s="25"/>
      <c r="U1033" s="25"/>
      <c r="V1033" s="25"/>
      <c r="W1033" s="25"/>
      <c r="X1033" s="25"/>
      <c r="Y1033" s="25"/>
      <c r="Z1033" s="25"/>
      <c r="AA1033" s="25"/>
      <c r="AB1033" s="25"/>
      <c r="AC1033" s="25"/>
      <c r="AD1033" s="25"/>
      <c r="AE1033" s="25"/>
      <c r="AF1033" s="25"/>
      <c r="AG1033" s="25"/>
      <c r="AH1033" s="25"/>
      <c r="AI1033" s="25"/>
      <c r="AJ1033" s="25"/>
      <c r="AK1033" s="25"/>
      <c r="AL1033" s="25"/>
      <c r="AM1033" s="25"/>
      <c r="AN1033" s="25"/>
      <c r="AO1033" s="25"/>
      <c r="AP1033" s="25"/>
      <c r="AQ1033" s="25"/>
      <c r="AR1033" s="25"/>
      <c r="AS1033" s="25"/>
      <c r="AT1033" s="25"/>
      <c r="AU1033" s="25"/>
      <c r="AV1033" s="25"/>
      <c r="AW1033" s="25"/>
      <c r="AX1033" s="25"/>
      <c r="AY1033" s="25"/>
      <c r="AZ1033" s="25"/>
      <c r="BA1033" s="25"/>
      <c r="BB1033" s="25"/>
      <c r="BC1033" s="25"/>
      <c r="BD1033" s="25"/>
      <c r="BE1033" s="25"/>
      <c r="BF1033" s="25"/>
      <c r="BG1033" s="25"/>
      <c r="BH1033" s="25"/>
      <c r="BI1033" s="25"/>
      <c r="BJ1033" s="25"/>
      <c r="BK1033" s="25"/>
      <c r="BL1033" s="25"/>
      <c r="BM1033" s="25"/>
      <c r="BN1033" s="25"/>
      <c r="BO1033" s="25"/>
      <c r="BP1033" s="25"/>
      <c r="BQ1033" s="25"/>
      <c r="BR1033" s="25"/>
      <c r="BS1033" s="25"/>
      <c r="BT1033" s="25"/>
      <c r="BU1033" s="25"/>
      <c r="BV1033" s="25"/>
      <c r="BW1033" s="25"/>
      <c r="BX1033" s="25"/>
      <c r="BY1033" s="25"/>
      <c r="BZ1033" s="25"/>
      <c r="CA1033" s="25"/>
      <c r="CB1033" s="25"/>
    </row>
    <row r="1034" spans="1:80" ht="12.75" hidden="1" customHeight="1">
      <c r="A1034" s="10">
        <f ca="1">IFERROR(__xludf.DUMMYFUNCTION("""COMPUTED_VALUE"""),2014)</f>
        <v>2014</v>
      </c>
      <c r="B1034" s="50">
        <f ca="1">IFERROR(__xludf.DUMMYFUNCTION("""COMPUTED_VALUE"""),41904)</f>
        <v>41904</v>
      </c>
      <c r="C1034" s="41">
        <f ca="1">IFERROR(__xludf.DUMMYFUNCTION("""COMPUTED_VALUE"""),42310)</f>
        <v>42310</v>
      </c>
      <c r="D1034" s="42" t="str">
        <f ca="1">IFERROR(__xludf.DUMMYFUNCTION("""COMPUTED_VALUE"""),"Arctic Redpoll [European race]")</f>
        <v>Arctic Redpoll [European race]</v>
      </c>
      <c r="E1034" s="53">
        <f ca="1">IFERROR(__xludf.DUMMYFUNCTION("""COMPUTED_VALUE"""),1)</f>
        <v>1</v>
      </c>
      <c r="F1034" s="15"/>
      <c r="G1034" s="44" t="str">
        <f ca="1">IFERROR(__xludf.DUMMYFUNCTION("""COMPUTED_VALUE"""),"Backford Cross")</f>
        <v>Backford Cross</v>
      </c>
      <c r="H1034" s="12">
        <f ca="1">IFERROR(__xludf.DUMMYFUNCTION("""COMPUTED_VALUE"""),41651)</f>
        <v>41651</v>
      </c>
      <c r="I1034" s="12"/>
      <c r="J1034" s="14" t="str">
        <f ca="1">IFERROR(__xludf.DUMMYFUNCTION("""COMPUTED_VALUE"""),"Woollen, P")</f>
        <v>Woollen, P</v>
      </c>
      <c r="K1034" s="15" t="str">
        <f ca="1">IFERROR(__xludf.DUMMYFUNCTION("""COMPUTED_VALUE"""),"Woollen, P")</f>
        <v>Woollen, P</v>
      </c>
      <c r="L1034" s="17" t="str">
        <f ca="1">IFERROR(__xludf.DUMMYFUNCTION("""COMPUTED_VALUE"""),"closed")</f>
        <v>closed</v>
      </c>
      <c r="M1034" s="17" t="str">
        <f ca="1">IFERROR(__xludf.DUMMYFUNCTION("""COMPUTED_VALUE"""),"1st M")</f>
        <v>1st M</v>
      </c>
      <c r="N1034" s="15" t="str">
        <f ca="1">IFERROR(__xludf.DUMMYFUNCTION("""COMPUTED_VALUE"""),"Accepted")</f>
        <v>Accepted</v>
      </c>
      <c r="O1034" s="18" t="str">
        <f ca="1">IFERROR(__xludf.DUMMYFUNCTION("""COMPUTED_VALUE"""),"Possible in garden - photographed. Stayed for about 2 minutes then flew off with Lesser Redpolls. Submitted")</f>
        <v>Possible in garden - photographed. Stayed for about 2 minutes then flew off with Lesser Redpolls. Submitted</v>
      </c>
      <c r="P1034" s="15"/>
      <c r="Q1034" s="15"/>
      <c r="R1034" s="15"/>
      <c r="S1034" s="15"/>
      <c r="T1034" s="15"/>
      <c r="U1034" s="15"/>
      <c r="V1034" s="15"/>
      <c r="W1034" s="15"/>
      <c r="X1034" s="15"/>
      <c r="Y1034" s="15"/>
      <c r="Z1034" s="15"/>
      <c r="AA1034" s="15"/>
      <c r="AB1034" s="15"/>
      <c r="AC1034" s="15"/>
      <c r="AD1034" s="15"/>
      <c r="AE1034" s="15"/>
      <c r="AF1034" s="15"/>
      <c r="AG1034" s="15"/>
      <c r="AH1034" s="15"/>
      <c r="AI1034" s="15"/>
      <c r="AJ1034" s="15"/>
      <c r="AK1034" s="15"/>
      <c r="AL1034" s="15"/>
      <c r="AM1034" s="15"/>
      <c r="AN1034" s="15"/>
      <c r="AO1034" s="15"/>
      <c r="AP1034" s="15"/>
      <c r="AQ1034" s="15"/>
      <c r="AR1034" s="15"/>
      <c r="AS1034" s="15"/>
      <c r="AT1034" s="15"/>
      <c r="AU1034" s="15"/>
      <c r="AV1034" s="15"/>
      <c r="AW1034" s="15"/>
      <c r="AX1034" s="15"/>
      <c r="AY1034" s="15"/>
      <c r="AZ1034" s="15"/>
      <c r="BA1034" s="15"/>
      <c r="BB1034" s="15"/>
      <c r="BC1034" s="15"/>
      <c r="BD1034" s="15"/>
      <c r="BE1034" s="15"/>
      <c r="BF1034" s="15"/>
      <c r="BG1034" s="15"/>
      <c r="BH1034" s="15"/>
      <c r="BI1034" s="15"/>
      <c r="BJ1034" s="15"/>
      <c r="BK1034" s="15"/>
      <c r="BL1034" s="15"/>
      <c r="BM1034" s="15"/>
      <c r="BN1034" s="15"/>
      <c r="BO1034" s="15"/>
      <c r="BP1034" s="15"/>
      <c r="BQ1034" s="15"/>
      <c r="BR1034" s="15"/>
      <c r="BS1034" s="15"/>
      <c r="BT1034" s="15"/>
      <c r="BU1034" s="15"/>
      <c r="BV1034" s="15"/>
      <c r="BW1034" s="15"/>
      <c r="BX1034" s="15"/>
      <c r="BY1034" s="15"/>
      <c r="BZ1034" s="15"/>
      <c r="CA1034" s="15"/>
      <c r="CB1034" s="15"/>
    </row>
    <row r="1035" spans="1:80" ht="12.75" hidden="1" customHeight="1">
      <c r="A1035" s="20">
        <f ca="1">IFERROR(__xludf.DUMMYFUNCTION("""COMPUTED_VALUE"""),2014)</f>
        <v>2014</v>
      </c>
      <c r="B1035" s="45">
        <f ca="1">IFERROR(__xludf.DUMMYFUNCTION("""COMPUTED_VALUE"""),42219)</f>
        <v>42219</v>
      </c>
      <c r="C1035" s="46">
        <f ca="1">IFERROR(__xludf.DUMMYFUNCTION("""COMPUTED_VALUE"""),42318)</f>
        <v>42318</v>
      </c>
      <c r="D1035" s="47" t="str">
        <f ca="1">IFERROR(__xludf.DUMMYFUNCTION("""COMPUTED_VALUE"""),"Arctic Redpoll [European race]")</f>
        <v>Arctic Redpoll [European race]</v>
      </c>
      <c r="E1035" s="52">
        <f ca="1">IFERROR(__xludf.DUMMYFUNCTION("""COMPUTED_VALUE"""),1)</f>
        <v>1</v>
      </c>
      <c r="F1035" s="25"/>
      <c r="G1035" s="48" t="str">
        <f ca="1">IFERROR(__xludf.DUMMYFUNCTION("""COMPUTED_VALUE"""),"Broken Cross, Macclesfield")</f>
        <v>Broken Cross, Macclesfield</v>
      </c>
      <c r="H1035" s="22">
        <f ca="1">IFERROR(__xludf.DUMMYFUNCTION("""COMPUTED_VALUE"""),41699)</f>
        <v>41699</v>
      </c>
      <c r="I1035" s="22">
        <f ca="1">IFERROR(__xludf.DUMMYFUNCTION("""COMPUTED_VALUE"""),41728)</f>
        <v>41728</v>
      </c>
      <c r="J1035" s="24" t="str">
        <f ca="1">IFERROR(__xludf.DUMMYFUNCTION("""COMPUTED_VALUE"""),"Adshead, J")</f>
        <v>Adshead, J</v>
      </c>
      <c r="K1035" s="25" t="str">
        <f ca="1">IFERROR(__xludf.DUMMYFUNCTION("""COMPUTED_VALUE"""),"Adshead, J")</f>
        <v>Adshead, J</v>
      </c>
      <c r="L1035" s="27" t="str">
        <f ca="1">IFERROR(__xludf.DUMMYFUNCTION("""COMPUTED_VALUE"""),"closed")</f>
        <v>closed</v>
      </c>
      <c r="M1035" s="27" t="str">
        <f ca="1">IFERROR(__xludf.DUMMYFUNCTION("""COMPUTED_VALUE"""),"1st U")</f>
        <v>1st U</v>
      </c>
      <c r="N1035" s="25" t="str">
        <f ca="1">IFERROR(__xludf.DUMMYFUNCTION("""COMPUTED_VALUE"""),"accepted")</f>
        <v>accepted</v>
      </c>
      <c r="O1035" s="28"/>
      <c r="P1035" s="25"/>
      <c r="Q1035" s="25"/>
      <c r="R1035" s="25"/>
      <c r="S1035" s="25"/>
      <c r="T1035" s="25"/>
      <c r="U1035" s="25"/>
      <c r="V1035" s="25"/>
      <c r="W1035" s="25"/>
      <c r="X1035" s="25"/>
      <c r="Y1035" s="25"/>
      <c r="Z1035" s="25"/>
      <c r="AA1035" s="25"/>
      <c r="AB1035" s="25"/>
      <c r="AC1035" s="25"/>
      <c r="AD1035" s="25"/>
      <c r="AE1035" s="25"/>
      <c r="AF1035" s="25"/>
      <c r="AG1035" s="25"/>
      <c r="AH1035" s="25"/>
      <c r="AI1035" s="25"/>
      <c r="AJ1035" s="25"/>
      <c r="AK1035" s="25"/>
      <c r="AL1035" s="25"/>
      <c r="AM1035" s="25"/>
      <c r="AN1035" s="25"/>
      <c r="AO1035" s="25"/>
      <c r="AP1035" s="25"/>
      <c r="AQ1035" s="25"/>
      <c r="AR1035" s="25"/>
      <c r="AS1035" s="25"/>
      <c r="AT1035" s="25"/>
      <c r="AU1035" s="25"/>
      <c r="AV1035" s="25"/>
      <c r="AW1035" s="25"/>
      <c r="AX1035" s="25"/>
      <c r="AY1035" s="25"/>
      <c r="AZ1035" s="25"/>
      <c r="BA1035" s="25"/>
      <c r="BB1035" s="25"/>
      <c r="BC1035" s="25"/>
      <c r="BD1035" s="25"/>
      <c r="BE1035" s="25"/>
      <c r="BF1035" s="25"/>
      <c r="BG1035" s="25"/>
      <c r="BH1035" s="25"/>
      <c r="BI1035" s="25"/>
      <c r="BJ1035" s="25"/>
      <c r="BK1035" s="25"/>
      <c r="BL1035" s="25"/>
      <c r="BM1035" s="25"/>
      <c r="BN1035" s="25"/>
      <c r="BO1035" s="25"/>
      <c r="BP1035" s="25"/>
      <c r="BQ1035" s="25"/>
      <c r="BR1035" s="25"/>
      <c r="BS1035" s="25"/>
      <c r="BT1035" s="25"/>
      <c r="BU1035" s="25"/>
      <c r="BV1035" s="25"/>
      <c r="BW1035" s="25"/>
      <c r="BX1035" s="25"/>
      <c r="BY1035" s="25"/>
      <c r="BZ1035" s="25"/>
      <c r="CA1035" s="25"/>
      <c r="CB1035" s="25"/>
    </row>
    <row r="1036" spans="1:80" ht="12.75" hidden="1" customHeight="1">
      <c r="A1036" s="10">
        <f ca="1">IFERROR(__xludf.DUMMYFUNCTION("""COMPUTED_VALUE"""),2014)</f>
        <v>2014</v>
      </c>
      <c r="B1036" s="50">
        <f ca="1">IFERROR(__xludf.DUMMYFUNCTION("""COMPUTED_VALUE"""),41906)</f>
        <v>41906</v>
      </c>
      <c r="C1036" s="41">
        <f ca="1">IFERROR(__xludf.DUMMYFUNCTION("""COMPUTED_VALUE"""),42269)</f>
        <v>42269</v>
      </c>
      <c r="D1036" s="42" t="str">
        <f ca="1">IFERROR(__xludf.DUMMYFUNCTION("""COMPUTED_VALUE"""),"Lapland Bunting")</f>
        <v>Lapland Bunting</v>
      </c>
      <c r="E1036" s="53">
        <f ca="1">IFERROR(__xludf.DUMMYFUNCTION("""COMPUTED_VALUE"""),1)</f>
        <v>1</v>
      </c>
      <c r="F1036" s="15" t="str">
        <f ca="1">IFERROR(__xludf.DUMMYFUNCTION("""COMPUTED_VALUE"""),"1st w or fem")</f>
        <v>1st w or fem</v>
      </c>
      <c r="G1036" s="44" t="str">
        <f ca="1">IFERROR(__xludf.DUMMYFUNCTION("""COMPUTED_VALUE"""),"Neston Old Quay")</f>
        <v>Neston Old Quay</v>
      </c>
      <c r="H1036" s="12">
        <f ca="1">IFERROR(__xludf.DUMMYFUNCTION("""COMPUTED_VALUE"""),41642)</f>
        <v>41642</v>
      </c>
      <c r="I1036" s="12"/>
      <c r="J1036" s="14" t="str">
        <f ca="1">IFERROR(__xludf.DUMMYFUNCTION("""COMPUTED_VALUE"""),"Williams, E")</f>
        <v>Williams, E</v>
      </c>
      <c r="K1036" s="15" t="str">
        <f ca="1">IFERROR(__xludf.DUMMYFUNCTION("""COMPUTED_VALUE"""),"Williams, E")</f>
        <v>Williams, E</v>
      </c>
      <c r="L1036" s="17" t="str">
        <f ca="1">IFERROR(__xludf.DUMMYFUNCTION("""COMPUTED_VALUE"""),"closed")</f>
        <v>closed</v>
      </c>
      <c r="M1036" s="17" t="str">
        <f ca="1">IFERROR(__xludf.DUMMYFUNCTION("""COMPUTED_VALUE"""),"1st U")</f>
        <v>1st U</v>
      </c>
      <c r="N1036" s="15" t="str">
        <f ca="1">IFERROR(__xludf.DUMMYFUNCTION("""COMPUTED_VALUE"""),"accepted")</f>
        <v>accepted</v>
      </c>
      <c r="O1036" s="18"/>
      <c r="P1036" s="15"/>
      <c r="Q1036" s="15"/>
      <c r="R1036" s="15"/>
      <c r="S1036" s="15"/>
      <c r="T1036" s="15"/>
      <c r="U1036" s="15"/>
      <c r="V1036" s="15"/>
      <c r="W1036" s="15"/>
      <c r="X1036" s="15"/>
      <c r="Y1036" s="15"/>
      <c r="Z1036" s="15"/>
      <c r="AA1036" s="15"/>
      <c r="AB1036" s="15"/>
      <c r="AC1036" s="15"/>
      <c r="AD1036" s="15"/>
      <c r="AE1036" s="15"/>
      <c r="AF1036" s="15"/>
      <c r="AG1036" s="15"/>
      <c r="AH1036" s="15"/>
      <c r="AI1036" s="15"/>
      <c r="AJ1036" s="15"/>
      <c r="AK1036" s="15"/>
      <c r="AL1036" s="15"/>
      <c r="AM1036" s="15"/>
      <c r="AN1036" s="15"/>
      <c r="AO1036" s="15"/>
      <c r="AP1036" s="15"/>
      <c r="AQ1036" s="15"/>
      <c r="AR1036" s="15"/>
      <c r="AS1036" s="15"/>
      <c r="AT1036" s="15"/>
      <c r="AU1036" s="15"/>
      <c r="AV1036" s="15"/>
      <c r="AW1036" s="15"/>
      <c r="AX1036" s="15"/>
      <c r="AY1036" s="15"/>
      <c r="AZ1036" s="15"/>
      <c r="BA1036" s="15"/>
      <c r="BB1036" s="15"/>
      <c r="BC1036" s="15"/>
      <c r="BD1036" s="15"/>
      <c r="BE1036" s="15"/>
      <c r="BF1036" s="15"/>
      <c r="BG1036" s="15"/>
      <c r="BH1036" s="15"/>
      <c r="BI1036" s="15"/>
      <c r="BJ1036" s="15"/>
      <c r="BK1036" s="15"/>
      <c r="BL1036" s="15"/>
      <c r="BM1036" s="15"/>
      <c r="BN1036" s="15"/>
      <c r="BO1036" s="15"/>
      <c r="BP1036" s="15"/>
      <c r="BQ1036" s="15"/>
      <c r="BR1036" s="15"/>
      <c r="BS1036" s="15"/>
      <c r="BT1036" s="15"/>
      <c r="BU1036" s="15"/>
      <c r="BV1036" s="15"/>
      <c r="BW1036" s="15"/>
      <c r="BX1036" s="15"/>
      <c r="BY1036" s="15"/>
      <c r="BZ1036" s="15"/>
      <c r="CA1036" s="15"/>
      <c r="CB1036" s="15"/>
    </row>
    <row r="1037" spans="1:80" ht="12.75" hidden="1" customHeight="1">
      <c r="A1037" s="20">
        <f ca="1">IFERROR(__xludf.DUMMYFUNCTION("""COMPUTED_VALUE"""),2014)</f>
        <v>2014</v>
      </c>
      <c r="B1037" s="45">
        <f ca="1">IFERROR(__xludf.DUMMYFUNCTION("""COMPUTED_VALUE"""),42219)</f>
        <v>42219</v>
      </c>
      <c r="C1037" s="46"/>
      <c r="D1037" s="47" t="str">
        <f ca="1">IFERROR(__xludf.DUMMYFUNCTION("""COMPUTED_VALUE"""),"Lapland Bunting")</f>
        <v>Lapland Bunting</v>
      </c>
      <c r="E1037" s="52">
        <f ca="1">IFERROR(__xludf.DUMMYFUNCTION("""COMPUTED_VALUE"""),1)</f>
        <v>1</v>
      </c>
      <c r="F1037" s="25"/>
      <c r="G1037" s="48" t="str">
        <f ca="1">IFERROR(__xludf.DUMMYFUNCTION("""COMPUTED_VALUE"""),"Hilbre")</f>
        <v>Hilbre</v>
      </c>
      <c r="H1037" s="22">
        <f ca="1">IFERROR(__xludf.DUMMYFUNCTION("""COMPUTED_VALUE"""),41739)</f>
        <v>41739</v>
      </c>
      <c r="I1037" s="22">
        <f ca="1">IFERROR(__xludf.DUMMYFUNCTION("""COMPUTED_VALUE"""),41739)</f>
        <v>41739</v>
      </c>
      <c r="J1037" s="24"/>
      <c r="K1037" s="25"/>
      <c r="L1037" s="27" t="str">
        <f ca="1">IFERROR(__xludf.DUMMYFUNCTION("""COMPUTED_VALUE"""),"closed")</f>
        <v>closed</v>
      </c>
      <c r="M1037" s="27" t="str">
        <f ca="1">IFERROR(__xludf.DUMMYFUNCTION("""COMPUTED_VALUE"""),"proxy")</f>
        <v>proxy</v>
      </c>
      <c r="N1037" s="25" t="str">
        <f ca="1">IFERROR(__xludf.DUMMYFUNCTION("""COMPUTED_VALUE"""),"accepted")</f>
        <v>accepted</v>
      </c>
      <c r="O1037" s="28"/>
      <c r="P1037" s="25"/>
      <c r="Q1037" s="25"/>
      <c r="R1037" s="25"/>
      <c r="S1037" s="25"/>
      <c r="T1037" s="25"/>
      <c r="U1037" s="25"/>
      <c r="V1037" s="25"/>
      <c r="W1037" s="25"/>
      <c r="X1037" s="25"/>
      <c r="Y1037" s="25"/>
      <c r="Z1037" s="25"/>
      <c r="AA1037" s="25"/>
      <c r="AB1037" s="25"/>
      <c r="AC1037" s="25"/>
      <c r="AD1037" s="25"/>
      <c r="AE1037" s="25"/>
      <c r="AF1037" s="25"/>
      <c r="AG1037" s="25"/>
      <c r="AH1037" s="25"/>
      <c r="AI1037" s="25"/>
      <c r="AJ1037" s="25"/>
      <c r="AK1037" s="25"/>
      <c r="AL1037" s="25"/>
      <c r="AM1037" s="25"/>
      <c r="AN1037" s="25"/>
      <c r="AO1037" s="25"/>
      <c r="AP1037" s="25"/>
      <c r="AQ1037" s="25"/>
      <c r="AR1037" s="25"/>
      <c r="AS1037" s="25"/>
      <c r="AT1037" s="25"/>
      <c r="AU1037" s="25"/>
      <c r="AV1037" s="25"/>
      <c r="AW1037" s="25"/>
      <c r="AX1037" s="25"/>
      <c r="AY1037" s="25"/>
      <c r="AZ1037" s="25"/>
      <c r="BA1037" s="25"/>
      <c r="BB1037" s="25"/>
      <c r="BC1037" s="25"/>
      <c r="BD1037" s="25"/>
      <c r="BE1037" s="25"/>
      <c r="BF1037" s="25"/>
      <c r="BG1037" s="25"/>
      <c r="BH1037" s="25"/>
      <c r="BI1037" s="25"/>
      <c r="BJ1037" s="25"/>
      <c r="BK1037" s="25"/>
      <c r="BL1037" s="25"/>
      <c r="BM1037" s="25"/>
      <c r="BN1037" s="25"/>
      <c r="BO1037" s="25"/>
      <c r="BP1037" s="25"/>
      <c r="BQ1037" s="25"/>
      <c r="BR1037" s="25"/>
      <c r="BS1037" s="25"/>
      <c r="BT1037" s="25"/>
      <c r="BU1037" s="25"/>
      <c r="BV1037" s="25"/>
      <c r="BW1037" s="25"/>
      <c r="BX1037" s="25"/>
      <c r="BY1037" s="25"/>
      <c r="BZ1037" s="25"/>
      <c r="CA1037" s="25"/>
      <c r="CB1037" s="25"/>
    </row>
    <row r="1038" spans="1:80" ht="12.75" hidden="1" customHeight="1">
      <c r="A1038" s="10">
        <f ca="1">IFERROR(__xludf.DUMMYFUNCTION("""COMPUTED_VALUE"""),2014)</f>
        <v>2014</v>
      </c>
      <c r="B1038" s="50">
        <f ca="1">IFERROR(__xludf.DUMMYFUNCTION("""COMPUTED_VALUE"""),42219)</f>
        <v>42219</v>
      </c>
      <c r="C1038" s="41">
        <f ca="1">IFERROR(__xludf.DUMMYFUNCTION("""COMPUTED_VALUE"""),42320)</f>
        <v>42320</v>
      </c>
      <c r="D1038" s="42" t="str">
        <f ca="1">IFERROR(__xludf.DUMMYFUNCTION("""COMPUTED_VALUE"""),"Little Bunting")</f>
        <v>Little Bunting</v>
      </c>
      <c r="E1038" s="53">
        <f ca="1">IFERROR(__xludf.DUMMYFUNCTION("""COMPUTED_VALUE"""),1)</f>
        <v>1</v>
      </c>
      <c r="F1038" s="15"/>
      <c r="G1038" s="44" t="str">
        <f ca="1">IFERROR(__xludf.DUMMYFUNCTION("""COMPUTED_VALUE"""),"Hilbre")</f>
        <v>Hilbre</v>
      </c>
      <c r="H1038" s="12">
        <f ca="1">IFERROR(__xludf.DUMMYFUNCTION("""COMPUTED_VALUE"""),41757)</f>
        <v>41757</v>
      </c>
      <c r="I1038" s="12">
        <f ca="1">IFERROR(__xludf.DUMMYFUNCTION("""COMPUTED_VALUE"""),41757)</f>
        <v>41757</v>
      </c>
      <c r="J1038" s="14" t="str">
        <f ca="1">IFERROR(__xludf.DUMMYFUNCTION("""COMPUTED_VALUE"""),"HIBO")</f>
        <v>HIBO</v>
      </c>
      <c r="K1038" s="15" t="str">
        <f ca="1">IFERROR(__xludf.DUMMYFUNCTION("""COMPUTED_VALUE"""),"HIBO")</f>
        <v>HIBO</v>
      </c>
      <c r="L1038" s="17" t="str">
        <f ca="1">IFERROR(__xludf.DUMMYFUNCTION("""COMPUTED_VALUE"""),"closed")</f>
        <v>closed</v>
      </c>
      <c r="M1038" s="17" t="str">
        <f ca="1">IFERROR(__xludf.DUMMYFUNCTION("""COMPUTED_VALUE"""),"1st U")</f>
        <v>1st U</v>
      </c>
      <c r="N1038" s="15" t="str">
        <f ca="1">IFERROR(__xludf.DUMMYFUNCTION("""COMPUTED_VALUE"""),"accepted")</f>
        <v>accepted</v>
      </c>
      <c r="O1038" s="18"/>
      <c r="P1038" s="15"/>
      <c r="Q1038" s="58"/>
      <c r="R1038" s="58"/>
      <c r="S1038" s="15"/>
      <c r="T1038" s="15"/>
      <c r="U1038" s="15"/>
      <c r="V1038" s="15"/>
      <c r="W1038" s="15"/>
      <c r="X1038" s="15"/>
      <c r="Y1038" s="15"/>
      <c r="Z1038" s="15"/>
      <c r="AA1038" s="15"/>
      <c r="AB1038" s="15"/>
      <c r="AC1038" s="15"/>
      <c r="AD1038" s="15"/>
      <c r="AE1038" s="15"/>
      <c r="AF1038" s="15"/>
      <c r="AG1038" s="15"/>
      <c r="AH1038" s="15"/>
      <c r="AI1038" s="15"/>
      <c r="AJ1038" s="15"/>
      <c r="AK1038" s="15"/>
      <c r="AL1038" s="15"/>
      <c r="AM1038" s="15"/>
      <c r="AN1038" s="15"/>
      <c r="AO1038" s="15"/>
      <c r="AP1038" s="15"/>
      <c r="AQ1038" s="15"/>
      <c r="AR1038" s="15"/>
      <c r="AS1038" s="15"/>
      <c r="AT1038" s="15"/>
      <c r="AU1038" s="15"/>
      <c r="AV1038" s="15"/>
      <c r="AW1038" s="15"/>
      <c r="AX1038" s="15"/>
      <c r="AY1038" s="15"/>
      <c r="AZ1038" s="15"/>
      <c r="BA1038" s="15"/>
      <c r="BB1038" s="15"/>
      <c r="BC1038" s="15"/>
      <c r="BD1038" s="15"/>
      <c r="BE1038" s="15"/>
      <c r="BF1038" s="15"/>
      <c r="BG1038" s="15"/>
      <c r="BH1038" s="15"/>
      <c r="BI1038" s="15"/>
      <c r="BJ1038" s="15"/>
      <c r="BK1038" s="15"/>
      <c r="BL1038" s="15"/>
      <c r="BM1038" s="15"/>
      <c r="BN1038" s="15"/>
      <c r="BO1038" s="15"/>
      <c r="BP1038" s="15"/>
      <c r="BQ1038" s="15"/>
      <c r="BR1038" s="15"/>
      <c r="BS1038" s="15"/>
      <c r="BT1038" s="15"/>
      <c r="BU1038" s="15"/>
      <c r="BV1038" s="15"/>
      <c r="BW1038" s="15"/>
      <c r="BX1038" s="15"/>
      <c r="BY1038" s="15"/>
      <c r="BZ1038" s="15"/>
      <c r="CA1038" s="15"/>
      <c r="CB1038" s="15"/>
    </row>
    <row r="1039" spans="1:80" ht="12.75" hidden="1" customHeight="1">
      <c r="A1039" s="20">
        <f ca="1">IFERROR(__xludf.DUMMYFUNCTION("""COMPUTED_VALUE"""),2014)</f>
        <v>2014</v>
      </c>
      <c r="B1039" s="45">
        <f ca="1">IFERROR(__xludf.DUMMYFUNCTION("""COMPUTED_VALUE"""),44574)</f>
        <v>44574</v>
      </c>
      <c r="C1039" s="46"/>
      <c r="D1039" s="47" t="str">
        <f ca="1">IFERROR(__xludf.DUMMYFUNCTION("""COMPUTED_VALUE"""),"Little Bunting")</f>
        <v>Little Bunting</v>
      </c>
      <c r="E1039" s="52">
        <f ca="1">IFERROR(__xludf.DUMMYFUNCTION("""COMPUTED_VALUE"""),1)</f>
        <v>1</v>
      </c>
      <c r="F1039" s="25" t="str">
        <f ca="1">IFERROR(__xludf.DUMMYFUNCTION("""COMPUTED_VALUE"""),"1stM")</f>
        <v>1stM</v>
      </c>
      <c r="G1039" s="48" t="str">
        <f ca="1">IFERROR(__xludf.DUMMYFUNCTION("""COMPUTED_VALUE"""),"Woolston Eyes")</f>
        <v>Woolston Eyes</v>
      </c>
      <c r="H1039" s="22">
        <f ca="1">IFERROR(__xludf.DUMMYFUNCTION("""COMPUTED_VALUE"""),41757)</f>
        <v>41757</v>
      </c>
      <c r="I1039" s="22">
        <f ca="1">IFERROR(__xludf.DUMMYFUNCTION("""COMPUTED_VALUE"""),41757)</f>
        <v>41757</v>
      </c>
      <c r="J1039" s="24" t="str">
        <f ca="1">IFERROR(__xludf.DUMMYFUNCTION("""COMPUTED_VALUE"""),"MRG")</f>
        <v>MRG</v>
      </c>
      <c r="K1039" s="25" t="str">
        <f ca="1">IFERROR(__xludf.DUMMYFUNCTION("""COMPUTED_VALUE"""),"MRG")</f>
        <v>MRG</v>
      </c>
      <c r="L1039" s="27" t="str">
        <f ca="1">IFERROR(__xludf.DUMMYFUNCTION("""COMPUTED_VALUE"""),"closed")</f>
        <v>closed</v>
      </c>
      <c r="M1039" s="27"/>
      <c r="N1039" s="25" t="str">
        <f ca="1">IFERROR(__xludf.DUMMYFUNCTION("""COMPUTED_VALUE"""),"Accepted w/o circ")</f>
        <v>Accepted w/o circ</v>
      </c>
      <c r="O1039" s="28" t="str">
        <f ca="1">IFERROR(__xludf.DUMMYFUNCTION("""COMPUTED_VALUE"""),"caught and ringed")</f>
        <v>caught and ringed</v>
      </c>
      <c r="P1039" s="25"/>
      <c r="Q1039" s="40"/>
      <c r="R1039" s="40"/>
      <c r="S1039" s="25"/>
      <c r="T1039" s="25"/>
      <c r="U1039" s="25"/>
      <c r="V1039" s="25"/>
      <c r="W1039" s="25"/>
      <c r="X1039" s="25"/>
      <c r="Y1039" s="25"/>
      <c r="Z1039" s="25"/>
      <c r="AA1039" s="25"/>
      <c r="AB1039" s="25"/>
      <c r="AC1039" s="25"/>
      <c r="AD1039" s="25"/>
      <c r="AE1039" s="25"/>
      <c r="AF1039" s="25"/>
      <c r="AG1039" s="25"/>
      <c r="AH1039" s="25"/>
      <c r="AI1039" s="25"/>
      <c r="AJ1039" s="25"/>
      <c r="AK1039" s="25"/>
      <c r="AL1039" s="25"/>
      <c r="AM1039" s="25"/>
      <c r="AN1039" s="25"/>
      <c r="AO1039" s="25"/>
      <c r="AP1039" s="25"/>
      <c r="AQ1039" s="25"/>
      <c r="AR1039" s="25"/>
      <c r="AS1039" s="25"/>
      <c r="AT1039" s="25"/>
      <c r="AU1039" s="25"/>
      <c r="AV1039" s="25"/>
      <c r="AW1039" s="25"/>
      <c r="AX1039" s="25"/>
      <c r="AY1039" s="25"/>
      <c r="AZ1039" s="25"/>
      <c r="BA1039" s="25"/>
      <c r="BB1039" s="25"/>
      <c r="BC1039" s="25"/>
      <c r="BD1039" s="25"/>
      <c r="BE1039" s="25"/>
      <c r="BF1039" s="25"/>
      <c r="BG1039" s="25"/>
      <c r="BH1039" s="25"/>
      <c r="BI1039" s="25"/>
      <c r="BJ1039" s="25"/>
      <c r="BK1039" s="25"/>
      <c r="BL1039" s="25"/>
      <c r="BM1039" s="25"/>
      <c r="BN1039" s="25"/>
      <c r="BO1039" s="25"/>
      <c r="BP1039" s="25"/>
      <c r="BQ1039" s="25"/>
      <c r="BR1039" s="25"/>
      <c r="BS1039" s="25"/>
      <c r="BT1039" s="25"/>
      <c r="BU1039" s="25"/>
      <c r="BV1039" s="25"/>
      <c r="BW1039" s="25"/>
      <c r="BX1039" s="25"/>
      <c r="BY1039" s="25"/>
      <c r="BZ1039" s="25"/>
      <c r="CA1039" s="25"/>
      <c r="CB1039" s="25"/>
    </row>
    <row r="1040" spans="1:80" ht="12.75" hidden="1" customHeight="1">
      <c r="A1040" s="10">
        <f ca="1">IFERROR(__xludf.DUMMYFUNCTION("""COMPUTED_VALUE"""),2015)</f>
        <v>2015</v>
      </c>
      <c r="B1040" s="50">
        <f ca="1">IFERROR(__xludf.DUMMYFUNCTION("""COMPUTED_VALUE"""),42618)</f>
        <v>42618</v>
      </c>
      <c r="C1040" s="41">
        <f ca="1">IFERROR(__xludf.DUMMYFUNCTION("""COMPUTED_VALUE"""),43207)</f>
        <v>43207</v>
      </c>
      <c r="D1040" s="42" t="str">
        <f ca="1">IFERROR(__xludf.DUMMYFUNCTION("""COMPUTED_VALUE"""),"Bean Goose [Tundra]")</f>
        <v>Bean Goose [Tundra]</v>
      </c>
      <c r="E1040" s="53">
        <f ca="1">IFERROR(__xludf.DUMMYFUNCTION("""COMPUTED_VALUE"""),1)</f>
        <v>1</v>
      </c>
      <c r="F1040" s="15"/>
      <c r="G1040" s="44" t="str">
        <f ca="1">IFERROR(__xludf.DUMMYFUNCTION("""COMPUTED_VALUE"""),"Hale")</f>
        <v>Hale</v>
      </c>
      <c r="H1040" s="12">
        <f ca="1">IFERROR(__xludf.DUMMYFUNCTION("""COMPUTED_VALUE"""),42133)</f>
        <v>42133</v>
      </c>
      <c r="I1040" s="12">
        <f ca="1">IFERROR(__xludf.DUMMYFUNCTION("""COMPUTED_VALUE"""),42133)</f>
        <v>42133</v>
      </c>
      <c r="J1040" s="14" t="str">
        <f ca="1">IFERROR(__xludf.DUMMYFUNCTION("""COMPUTED_VALUE"""),"Craven, D")</f>
        <v>Craven, D</v>
      </c>
      <c r="K1040" s="15" t="str">
        <f ca="1">IFERROR(__xludf.DUMMYFUNCTION("""COMPUTED_VALUE"""),"Craven, D")</f>
        <v>Craven, D</v>
      </c>
      <c r="L1040" s="17" t="str">
        <f ca="1">IFERROR(__xludf.DUMMYFUNCTION("""COMPUTED_VALUE"""),"closed")</f>
        <v>closed</v>
      </c>
      <c r="M1040" s="17" t="str">
        <f ca="1">IFERROR(__xludf.DUMMYFUNCTION("""COMPUTED_VALUE"""),"1st U")</f>
        <v>1st U</v>
      </c>
      <c r="N1040" s="15" t="str">
        <f ca="1">IFERROR(__xludf.DUMMYFUNCTION("""COMPUTED_VALUE"""),"accepted")</f>
        <v>accepted</v>
      </c>
      <c r="O1040" s="18"/>
      <c r="P1040" s="15"/>
      <c r="Q1040" s="58"/>
      <c r="R1040" s="58"/>
      <c r="S1040" s="15"/>
      <c r="T1040" s="15"/>
      <c r="U1040" s="15"/>
      <c r="V1040" s="15"/>
      <c r="W1040" s="15"/>
      <c r="X1040" s="15"/>
      <c r="Y1040" s="15"/>
      <c r="Z1040" s="15"/>
      <c r="AA1040" s="15"/>
      <c r="AB1040" s="15"/>
      <c r="AC1040" s="15"/>
      <c r="AD1040" s="15"/>
      <c r="AE1040" s="15"/>
      <c r="AF1040" s="15"/>
      <c r="AG1040" s="15"/>
      <c r="AH1040" s="15"/>
      <c r="AI1040" s="15"/>
      <c r="AJ1040" s="15"/>
      <c r="AK1040" s="15"/>
      <c r="AL1040" s="15"/>
      <c r="AM1040" s="15"/>
      <c r="AN1040" s="15"/>
      <c r="AO1040" s="15"/>
      <c r="AP1040" s="15"/>
      <c r="AQ1040" s="15"/>
      <c r="AR1040" s="15"/>
      <c r="AS1040" s="15"/>
      <c r="AT1040" s="15"/>
      <c r="AU1040" s="15"/>
      <c r="AV1040" s="15"/>
      <c r="AW1040" s="15"/>
      <c r="AX1040" s="15"/>
      <c r="AY1040" s="15"/>
      <c r="AZ1040" s="15"/>
      <c r="BA1040" s="15"/>
      <c r="BB1040" s="15"/>
      <c r="BC1040" s="15"/>
      <c r="BD1040" s="15"/>
      <c r="BE1040" s="15"/>
      <c r="BF1040" s="15"/>
      <c r="BG1040" s="15"/>
      <c r="BH1040" s="15"/>
      <c r="BI1040" s="15"/>
      <c r="BJ1040" s="15"/>
      <c r="BK1040" s="15"/>
      <c r="BL1040" s="15"/>
      <c r="BM1040" s="15"/>
      <c r="BN1040" s="15"/>
      <c r="BO1040" s="15"/>
      <c r="BP1040" s="15"/>
      <c r="BQ1040" s="15"/>
      <c r="BR1040" s="15"/>
      <c r="BS1040" s="15"/>
      <c r="BT1040" s="15"/>
      <c r="BU1040" s="15"/>
      <c r="BV1040" s="15"/>
      <c r="BW1040" s="15"/>
      <c r="BX1040" s="15"/>
      <c r="BY1040" s="15"/>
      <c r="BZ1040" s="15"/>
      <c r="CA1040" s="15"/>
      <c r="CB1040" s="15"/>
    </row>
    <row r="1041" spans="1:80" ht="12.75" hidden="1" customHeight="1">
      <c r="A1041" s="20">
        <f ca="1">IFERROR(__xludf.DUMMYFUNCTION("""COMPUTED_VALUE"""),2015)</f>
        <v>2015</v>
      </c>
      <c r="B1041" s="45"/>
      <c r="C1041" s="46">
        <f ca="1">IFERROR(__xludf.DUMMYFUNCTION("""COMPUTED_VALUE"""),42683)</f>
        <v>42683</v>
      </c>
      <c r="D1041" s="47" t="str">
        <f ca="1">IFERROR(__xludf.DUMMYFUNCTION("""COMPUTED_VALUE"""),"Velvet Scoter")</f>
        <v>Velvet Scoter</v>
      </c>
      <c r="E1041" s="52">
        <f ca="1">IFERROR(__xludf.DUMMYFUNCTION("""COMPUTED_VALUE"""),1)</f>
        <v>1</v>
      </c>
      <c r="F1041" s="25" t="str">
        <f ca="1">IFERROR(__xludf.DUMMYFUNCTION("""COMPUTED_VALUE"""),"m")</f>
        <v>m</v>
      </c>
      <c r="G1041" s="48" t="str">
        <f ca="1">IFERROR(__xludf.DUMMYFUNCTION("""COMPUTED_VALUE"""),"Meols")</f>
        <v>Meols</v>
      </c>
      <c r="H1041" s="22">
        <f ca="1">IFERROR(__xludf.DUMMYFUNCTION("""COMPUTED_VALUE"""),42078)</f>
        <v>42078</v>
      </c>
      <c r="I1041" s="23"/>
      <c r="J1041" s="24" t="str">
        <f ca="1">IFERROR(__xludf.DUMMYFUNCTION("""COMPUTED_VALUE"""),"Turner, MG")</f>
        <v>Turner, MG</v>
      </c>
      <c r="K1041" s="25" t="str">
        <f ca="1">IFERROR(__xludf.DUMMYFUNCTION("""COMPUTED_VALUE"""),"Turner, MG")</f>
        <v>Turner, MG</v>
      </c>
      <c r="L1041" s="27" t="str">
        <f ca="1">IFERROR(__xludf.DUMMYFUNCTION("""COMPUTED_VALUE"""),"closed")</f>
        <v>closed</v>
      </c>
      <c r="M1041" s="27" t="str">
        <f ca="1">IFERROR(__xludf.DUMMYFUNCTION("""COMPUTED_VALUE"""),"1st U")</f>
        <v>1st U</v>
      </c>
      <c r="N1041" s="25" t="str">
        <f ca="1">IFERROR(__xludf.DUMMYFUNCTION("""COMPUTED_VALUE"""),"accepted")</f>
        <v>accepted</v>
      </c>
      <c r="O1041" s="28"/>
      <c r="P1041" s="25"/>
      <c r="Q1041" s="40"/>
      <c r="R1041" s="40"/>
      <c r="S1041" s="25"/>
      <c r="T1041" s="25"/>
      <c r="U1041" s="25"/>
      <c r="V1041" s="25"/>
      <c r="W1041" s="25"/>
      <c r="X1041" s="25"/>
      <c r="Y1041" s="25"/>
      <c r="Z1041" s="25"/>
      <c r="AA1041" s="25"/>
      <c r="AB1041" s="25"/>
      <c r="AC1041" s="25"/>
      <c r="AD1041" s="25"/>
      <c r="AE1041" s="25"/>
      <c r="AF1041" s="25"/>
      <c r="AG1041" s="25"/>
      <c r="AH1041" s="25"/>
      <c r="AI1041" s="25"/>
      <c r="AJ1041" s="25"/>
      <c r="AK1041" s="25"/>
      <c r="AL1041" s="25"/>
      <c r="AM1041" s="25"/>
      <c r="AN1041" s="25"/>
      <c r="AO1041" s="25"/>
      <c r="AP1041" s="25"/>
      <c r="AQ1041" s="25"/>
      <c r="AR1041" s="25"/>
      <c r="AS1041" s="25"/>
      <c r="AT1041" s="25"/>
      <c r="AU1041" s="25"/>
      <c r="AV1041" s="25"/>
      <c r="AW1041" s="25"/>
      <c r="AX1041" s="25"/>
      <c r="AY1041" s="25"/>
      <c r="AZ1041" s="25"/>
      <c r="BA1041" s="25"/>
      <c r="BB1041" s="25"/>
      <c r="BC1041" s="25"/>
      <c r="BD1041" s="25"/>
      <c r="BE1041" s="25"/>
      <c r="BF1041" s="25"/>
      <c r="BG1041" s="25"/>
      <c r="BH1041" s="25"/>
      <c r="BI1041" s="25"/>
      <c r="BJ1041" s="25"/>
      <c r="BK1041" s="25"/>
      <c r="BL1041" s="25"/>
      <c r="BM1041" s="25"/>
      <c r="BN1041" s="25"/>
      <c r="BO1041" s="25"/>
      <c r="BP1041" s="25"/>
      <c r="BQ1041" s="25"/>
      <c r="BR1041" s="25"/>
      <c r="BS1041" s="25"/>
      <c r="BT1041" s="25"/>
      <c r="BU1041" s="25"/>
      <c r="BV1041" s="25"/>
      <c r="BW1041" s="25"/>
      <c r="BX1041" s="25"/>
      <c r="BY1041" s="25"/>
      <c r="BZ1041" s="25"/>
      <c r="CA1041" s="25"/>
      <c r="CB1041" s="25"/>
    </row>
    <row r="1042" spans="1:80" ht="12.75" hidden="1" customHeight="1">
      <c r="A1042" s="10">
        <f ca="1">IFERROR(__xludf.DUMMYFUNCTION("""COMPUTED_VALUE"""),2015)</f>
        <v>2015</v>
      </c>
      <c r="B1042" s="50">
        <f ca="1">IFERROR(__xludf.DUMMYFUNCTION("""COMPUTED_VALUE"""),42618)</f>
        <v>42618</v>
      </c>
      <c r="C1042" s="41"/>
      <c r="D1042" s="42" t="str">
        <f ca="1">IFERROR(__xludf.DUMMYFUNCTION("""COMPUTED_VALUE"""),"Velvet Scoter")</f>
        <v>Velvet Scoter</v>
      </c>
      <c r="E1042" s="53">
        <f ca="1">IFERROR(__xludf.DUMMYFUNCTION("""COMPUTED_VALUE"""),2)</f>
        <v>2</v>
      </c>
      <c r="F1042" s="15" t="str">
        <f ca="1">IFERROR(__xludf.DUMMYFUNCTION("""COMPUTED_VALUE"""),"mm")</f>
        <v>mm</v>
      </c>
      <c r="G1042" s="44" t="str">
        <f ca="1">IFERROR(__xludf.DUMMYFUNCTION("""COMPUTED_VALUE"""),"Meols")</f>
        <v>Meols</v>
      </c>
      <c r="H1042" s="12">
        <f ca="1">IFERROR(__xludf.DUMMYFUNCTION("""COMPUTED_VALUE"""),42084)</f>
        <v>42084</v>
      </c>
      <c r="I1042" s="12">
        <f ca="1">IFERROR(__xludf.DUMMYFUNCTION("""COMPUTED_VALUE"""),42084)</f>
        <v>42084</v>
      </c>
      <c r="J1042" s="14" t="str">
        <f ca="1">IFERROR(__xludf.DUMMYFUNCTION("""COMPUTED_VALUE"""),"Turner, MG")</f>
        <v>Turner, MG</v>
      </c>
      <c r="K1042" s="15" t="str">
        <f ca="1">IFERROR(__xludf.DUMMYFUNCTION("""COMPUTED_VALUE"""),"Turner, MG")</f>
        <v>Turner, MG</v>
      </c>
      <c r="L1042" s="17" t="str">
        <f ca="1">IFERROR(__xludf.DUMMYFUNCTION("""COMPUTED_VALUE"""),"closed")</f>
        <v>closed</v>
      </c>
      <c r="M1042" s="17" t="str">
        <f ca="1">IFERROR(__xludf.DUMMYFUNCTION("""COMPUTED_VALUE"""),"1st U")</f>
        <v>1st U</v>
      </c>
      <c r="N1042" s="15" t="str">
        <f ca="1">IFERROR(__xludf.DUMMYFUNCTION("""COMPUTED_VALUE"""),"accepted")</f>
        <v>accepted</v>
      </c>
      <c r="O1042" s="18"/>
      <c r="P1042" s="15"/>
      <c r="Q1042" s="58"/>
      <c r="R1042" s="58"/>
      <c r="S1042" s="15"/>
      <c r="T1042" s="15"/>
      <c r="U1042" s="15"/>
      <c r="V1042" s="15"/>
      <c r="W1042" s="15"/>
      <c r="X1042" s="15"/>
      <c r="Y1042" s="15"/>
      <c r="Z1042" s="15"/>
      <c r="AA1042" s="15"/>
      <c r="AB1042" s="15"/>
      <c r="AC1042" s="15"/>
      <c r="AD1042" s="15"/>
      <c r="AE1042" s="15"/>
      <c r="AF1042" s="15"/>
      <c r="AG1042" s="15"/>
      <c r="AH1042" s="15"/>
      <c r="AI1042" s="15"/>
      <c r="AJ1042" s="15"/>
      <c r="AK1042" s="15"/>
      <c r="AL1042" s="15"/>
      <c r="AM1042" s="15"/>
      <c r="AN1042" s="15"/>
      <c r="AO1042" s="15"/>
      <c r="AP1042" s="15"/>
      <c r="AQ1042" s="15"/>
      <c r="AR1042" s="15"/>
      <c r="AS1042" s="15"/>
      <c r="AT1042" s="15"/>
      <c r="AU1042" s="15"/>
      <c r="AV1042" s="15"/>
      <c r="AW1042" s="15"/>
      <c r="AX1042" s="15"/>
      <c r="AY1042" s="15"/>
      <c r="AZ1042" s="15"/>
      <c r="BA1042" s="15"/>
      <c r="BB1042" s="15"/>
      <c r="BC1042" s="15"/>
      <c r="BD1042" s="15"/>
      <c r="BE1042" s="15"/>
      <c r="BF1042" s="15"/>
      <c r="BG1042" s="15"/>
      <c r="BH1042" s="15"/>
      <c r="BI1042" s="15"/>
      <c r="BJ1042" s="15"/>
      <c r="BK1042" s="15"/>
      <c r="BL1042" s="15"/>
      <c r="BM1042" s="15"/>
      <c r="BN1042" s="15"/>
      <c r="BO1042" s="15"/>
      <c r="BP1042" s="15"/>
      <c r="BQ1042" s="15"/>
      <c r="BR1042" s="15"/>
      <c r="BS1042" s="15"/>
      <c r="BT1042" s="15"/>
      <c r="BU1042" s="15"/>
      <c r="BV1042" s="15"/>
      <c r="BW1042" s="15"/>
      <c r="BX1042" s="15"/>
      <c r="BY1042" s="15"/>
      <c r="BZ1042" s="15"/>
      <c r="CA1042" s="15"/>
      <c r="CB1042" s="15"/>
    </row>
    <row r="1043" spans="1:80" ht="12.75" hidden="1" customHeight="1">
      <c r="A1043" s="20">
        <f ca="1">IFERROR(__xludf.DUMMYFUNCTION("""COMPUTED_VALUE"""),2015)</f>
        <v>2015</v>
      </c>
      <c r="B1043" s="45">
        <f ca="1">IFERROR(__xludf.DUMMYFUNCTION("""COMPUTED_VALUE"""),42683)</f>
        <v>42683</v>
      </c>
      <c r="C1043" s="46">
        <f ca="1">IFERROR(__xludf.DUMMYFUNCTION("""COMPUTED_VALUE"""),42674)</f>
        <v>42674</v>
      </c>
      <c r="D1043" s="47" t="str">
        <f ca="1">IFERROR(__xludf.DUMMYFUNCTION("""COMPUTED_VALUE"""),"Velvet Scoter")</f>
        <v>Velvet Scoter</v>
      </c>
      <c r="E1043" s="52">
        <f ca="1">IFERROR(__xludf.DUMMYFUNCTION("""COMPUTED_VALUE"""),2)</f>
        <v>2</v>
      </c>
      <c r="F1043" s="25" t="str">
        <f ca="1">IFERROR(__xludf.DUMMYFUNCTION("""COMPUTED_VALUE"""),"ad and sub a m")</f>
        <v>ad and sub a m</v>
      </c>
      <c r="G1043" s="48" t="str">
        <f ca="1">IFERROR(__xludf.DUMMYFUNCTION("""COMPUTED_VALUE"""),"Hoylake")</f>
        <v>Hoylake</v>
      </c>
      <c r="H1043" s="22">
        <f ca="1">IFERROR(__xludf.DUMMYFUNCTION("""COMPUTED_VALUE"""),42088)</f>
        <v>42088</v>
      </c>
      <c r="I1043" s="22">
        <f ca="1">IFERROR(__xludf.DUMMYFUNCTION("""COMPUTED_VALUE"""),42088)</f>
        <v>42088</v>
      </c>
      <c r="J1043" s="24" t="str">
        <f ca="1">IFERROR(__xludf.DUMMYFUNCTION("""COMPUTED_VALUE"""),"Turner, JE")</f>
        <v>Turner, JE</v>
      </c>
      <c r="K1043" s="25" t="str">
        <f ca="1">IFERROR(__xludf.DUMMYFUNCTION("""COMPUTED_VALUE"""),"Turner, JE")</f>
        <v>Turner, JE</v>
      </c>
      <c r="L1043" s="27" t="str">
        <f ca="1">IFERROR(__xludf.DUMMYFUNCTION("""COMPUTED_VALUE"""),"closed")</f>
        <v>closed</v>
      </c>
      <c r="M1043" s="27" t="str">
        <f ca="1">IFERROR(__xludf.DUMMYFUNCTION("""COMPUTED_VALUE"""),"1st U")</f>
        <v>1st U</v>
      </c>
      <c r="N1043" s="25" t="str">
        <f ca="1">IFERROR(__xludf.DUMMYFUNCTION("""COMPUTED_VALUE"""),"accepted")</f>
        <v>accepted</v>
      </c>
      <c r="O1043" s="28"/>
      <c r="P1043" s="25"/>
      <c r="Q1043" s="40"/>
      <c r="R1043" s="40"/>
      <c r="S1043" s="25"/>
      <c r="T1043" s="25"/>
      <c r="U1043" s="25"/>
      <c r="V1043" s="25"/>
      <c r="W1043" s="25"/>
      <c r="X1043" s="25"/>
      <c r="Y1043" s="25"/>
      <c r="Z1043" s="25"/>
      <c r="AA1043" s="25"/>
      <c r="AB1043" s="25"/>
      <c r="AC1043" s="25"/>
      <c r="AD1043" s="25"/>
      <c r="AE1043" s="25"/>
      <c r="AF1043" s="25"/>
      <c r="AG1043" s="25"/>
      <c r="AH1043" s="25"/>
      <c r="AI1043" s="25"/>
      <c r="AJ1043" s="25"/>
      <c r="AK1043" s="25"/>
      <c r="AL1043" s="25"/>
      <c r="AM1043" s="25"/>
      <c r="AN1043" s="25"/>
      <c r="AO1043" s="25"/>
      <c r="AP1043" s="25"/>
      <c r="AQ1043" s="25"/>
      <c r="AR1043" s="25"/>
      <c r="AS1043" s="25"/>
      <c r="AT1043" s="25"/>
      <c r="AU1043" s="25"/>
      <c r="AV1043" s="25"/>
      <c r="AW1043" s="25"/>
      <c r="AX1043" s="25"/>
      <c r="AY1043" s="25"/>
      <c r="AZ1043" s="25"/>
      <c r="BA1043" s="25"/>
      <c r="BB1043" s="25"/>
      <c r="BC1043" s="25"/>
      <c r="BD1043" s="25"/>
      <c r="BE1043" s="25"/>
      <c r="BF1043" s="25"/>
      <c r="BG1043" s="25"/>
      <c r="BH1043" s="25"/>
      <c r="BI1043" s="25"/>
      <c r="BJ1043" s="25"/>
      <c r="BK1043" s="25"/>
      <c r="BL1043" s="25"/>
      <c r="BM1043" s="25"/>
      <c r="BN1043" s="25"/>
      <c r="BO1043" s="25"/>
      <c r="BP1043" s="25"/>
      <c r="BQ1043" s="25"/>
      <c r="BR1043" s="25"/>
      <c r="BS1043" s="25"/>
      <c r="BT1043" s="25"/>
      <c r="BU1043" s="25"/>
      <c r="BV1043" s="25"/>
      <c r="BW1043" s="25"/>
      <c r="BX1043" s="25"/>
      <c r="BY1043" s="25"/>
      <c r="BZ1043" s="25"/>
      <c r="CA1043" s="25"/>
      <c r="CB1043" s="25"/>
    </row>
    <row r="1044" spans="1:80" ht="12.75" hidden="1" customHeight="1">
      <c r="A1044" s="10">
        <f ca="1">IFERROR(__xludf.DUMMYFUNCTION("""COMPUTED_VALUE"""),2015)</f>
        <v>2015</v>
      </c>
      <c r="B1044" s="50"/>
      <c r="C1044" s="41">
        <f ca="1">IFERROR(__xludf.DUMMYFUNCTION("""COMPUTED_VALUE"""),42683)</f>
        <v>42683</v>
      </c>
      <c r="D1044" s="42" t="str">
        <f ca="1">IFERROR(__xludf.DUMMYFUNCTION("""COMPUTED_VALUE"""),"Velvet Scoter")</f>
        <v>Velvet Scoter</v>
      </c>
      <c r="E1044" s="53">
        <f ca="1">IFERROR(__xludf.DUMMYFUNCTION("""COMPUTED_VALUE"""),5)</f>
        <v>5</v>
      </c>
      <c r="F1044" s="15" t="str">
        <f ca="1">IFERROR(__xludf.DUMMYFUNCTION("""COMPUTED_VALUE"""),"mmmff")</f>
        <v>mmmff</v>
      </c>
      <c r="G1044" s="44" t="str">
        <f ca="1">IFERROR(__xludf.DUMMYFUNCTION("""COMPUTED_VALUE"""),"Meols")</f>
        <v>Meols</v>
      </c>
      <c r="H1044" s="12">
        <f ca="1">IFERROR(__xludf.DUMMYFUNCTION("""COMPUTED_VALUE"""),42088)</f>
        <v>42088</v>
      </c>
      <c r="I1044" s="12"/>
      <c r="J1044" s="14" t="str">
        <f ca="1">IFERROR(__xludf.DUMMYFUNCTION("""COMPUTED_VALUE"""),"Turner, MG")</f>
        <v>Turner, MG</v>
      </c>
      <c r="K1044" s="15" t="str">
        <f ca="1">IFERROR(__xludf.DUMMYFUNCTION("""COMPUTED_VALUE"""),"Turner, MG")</f>
        <v>Turner, MG</v>
      </c>
      <c r="L1044" s="17" t="str">
        <f ca="1">IFERROR(__xludf.DUMMYFUNCTION("""COMPUTED_VALUE"""),"closed")</f>
        <v>closed</v>
      </c>
      <c r="M1044" s="17" t="str">
        <f ca="1">IFERROR(__xludf.DUMMYFUNCTION("""COMPUTED_VALUE"""),"1st U")</f>
        <v>1st U</v>
      </c>
      <c r="N1044" s="15" t="str">
        <f ca="1">IFERROR(__xludf.DUMMYFUNCTION("""COMPUTED_VALUE"""),"accepted")</f>
        <v>accepted</v>
      </c>
      <c r="O1044" s="18"/>
      <c r="P1044" s="15"/>
      <c r="Q1044" s="58"/>
      <c r="R1044" s="58"/>
      <c r="S1044" s="15"/>
      <c r="T1044" s="15"/>
      <c r="U1044" s="15"/>
      <c r="V1044" s="15"/>
      <c r="W1044" s="15"/>
      <c r="X1044" s="15"/>
      <c r="Y1044" s="15"/>
      <c r="Z1044" s="15"/>
      <c r="AA1044" s="15"/>
      <c r="AB1044" s="15"/>
      <c r="AC1044" s="15"/>
      <c r="AD1044" s="15"/>
      <c r="AE1044" s="15"/>
      <c r="AF1044" s="15"/>
      <c r="AG1044" s="15"/>
      <c r="AH1044" s="15"/>
      <c r="AI1044" s="15"/>
      <c r="AJ1044" s="15"/>
      <c r="AK1044" s="15"/>
      <c r="AL1044" s="15"/>
      <c r="AM1044" s="15"/>
      <c r="AN1044" s="15"/>
      <c r="AO1044" s="15"/>
      <c r="AP1044" s="15"/>
      <c r="AQ1044" s="15"/>
      <c r="AR1044" s="15"/>
      <c r="AS1044" s="15"/>
      <c r="AT1044" s="15"/>
      <c r="AU1044" s="15"/>
      <c r="AV1044" s="15"/>
      <c r="AW1044" s="15"/>
      <c r="AX1044" s="15"/>
      <c r="AY1044" s="15"/>
      <c r="AZ1044" s="15"/>
      <c r="BA1044" s="15"/>
      <c r="BB1044" s="15"/>
      <c r="BC1044" s="15"/>
      <c r="BD1044" s="15"/>
      <c r="BE1044" s="15"/>
      <c r="BF1044" s="15"/>
      <c r="BG1044" s="15"/>
      <c r="BH1044" s="15"/>
      <c r="BI1044" s="15"/>
      <c r="BJ1044" s="15"/>
      <c r="BK1044" s="15"/>
      <c r="BL1044" s="15"/>
      <c r="BM1044" s="15"/>
      <c r="BN1044" s="15"/>
      <c r="BO1044" s="15"/>
      <c r="BP1044" s="15"/>
      <c r="BQ1044" s="15"/>
      <c r="BR1044" s="15"/>
      <c r="BS1044" s="15"/>
      <c r="BT1044" s="15"/>
      <c r="BU1044" s="15"/>
      <c r="BV1044" s="15"/>
      <c r="BW1044" s="15"/>
      <c r="BX1044" s="15"/>
      <c r="BY1044" s="15"/>
      <c r="BZ1044" s="15"/>
      <c r="CA1044" s="15"/>
      <c r="CB1044" s="15"/>
    </row>
    <row r="1045" spans="1:80" ht="12.75" hidden="1" customHeight="1">
      <c r="A1045" s="20">
        <f ca="1">IFERROR(__xludf.DUMMYFUNCTION("""COMPUTED_VALUE"""),2015)</f>
        <v>2015</v>
      </c>
      <c r="B1045" s="45"/>
      <c r="C1045" s="46"/>
      <c r="D1045" s="47" t="str">
        <f ca="1">IFERROR(__xludf.DUMMYFUNCTION("""COMPUTED_VALUE"""),"Velvet Scoter")</f>
        <v>Velvet Scoter</v>
      </c>
      <c r="E1045" s="52">
        <f ca="1">IFERROR(__xludf.DUMMYFUNCTION("""COMPUTED_VALUE"""),5)</f>
        <v>5</v>
      </c>
      <c r="F1045" s="25"/>
      <c r="G1045" s="48" t="str">
        <f ca="1">IFERROR(__xludf.DUMMYFUNCTION("""COMPUTED_VALUE"""),"Meols")</f>
        <v>Meols</v>
      </c>
      <c r="H1045" s="22">
        <f ca="1">IFERROR(__xludf.DUMMYFUNCTION("""COMPUTED_VALUE"""),42088)</f>
        <v>42088</v>
      </c>
      <c r="I1045" s="23"/>
      <c r="J1045" s="24" t="str">
        <f ca="1">IFERROR(__xludf.DUMMYFUNCTION("""COMPUTED_VALUE"""),"Conlin, A")</f>
        <v>Conlin, A</v>
      </c>
      <c r="K1045" s="25" t="str">
        <f ca="1">IFERROR(__xludf.DUMMYFUNCTION("""COMPUTED_VALUE"""),"Kenny Dummigan")</f>
        <v>Kenny Dummigan</v>
      </c>
      <c r="L1045" s="27" t="str">
        <f ca="1">IFERROR(__xludf.DUMMYFUNCTION("""COMPUTED_VALUE"""),"closed")</f>
        <v>closed</v>
      </c>
      <c r="M1045" s="27" t="str">
        <f ca="1">IFERROR(__xludf.DUMMYFUNCTION("""COMPUTED_VALUE"""),"proxy")</f>
        <v>proxy</v>
      </c>
      <c r="N1045" s="25" t="str">
        <f ca="1">IFERROR(__xludf.DUMMYFUNCTION("""COMPUTED_VALUE"""),"accepted")</f>
        <v>accepted</v>
      </c>
      <c r="O1045" s="28"/>
      <c r="P1045" s="25"/>
      <c r="Q1045" s="40"/>
      <c r="R1045" s="40"/>
      <c r="S1045" s="25"/>
      <c r="T1045" s="25"/>
      <c r="U1045" s="25"/>
      <c r="V1045" s="25"/>
      <c r="W1045" s="25"/>
      <c r="X1045" s="25"/>
      <c r="Y1045" s="25"/>
      <c r="Z1045" s="25"/>
      <c r="AA1045" s="25"/>
      <c r="AB1045" s="25"/>
      <c r="AC1045" s="25"/>
      <c r="AD1045" s="25"/>
      <c r="AE1045" s="25"/>
      <c r="AF1045" s="25"/>
      <c r="AG1045" s="25"/>
      <c r="AH1045" s="25"/>
      <c r="AI1045" s="25"/>
      <c r="AJ1045" s="25"/>
      <c r="AK1045" s="25"/>
      <c r="AL1045" s="25"/>
      <c r="AM1045" s="25"/>
      <c r="AN1045" s="25"/>
      <c r="AO1045" s="25"/>
      <c r="AP1045" s="25"/>
      <c r="AQ1045" s="25"/>
      <c r="AR1045" s="25"/>
      <c r="AS1045" s="25"/>
      <c r="AT1045" s="25"/>
      <c r="AU1045" s="25"/>
      <c r="AV1045" s="25"/>
      <c r="AW1045" s="25"/>
      <c r="AX1045" s="25"/>
      <c r="AY1045" s="25"/>
      <c r="AZ1045" s="25"/>
      <c r="BA1045" s="25"/>
      <c r="BB1045" s="25"/>
      <c r="BC1045" s="25"/>
      <c r="BD1045" s="25"/>
      <c r="BE1045" s="25"/>
      <c r="BF1045" s="25"/>
      <c r="BG1045" s="25"/>
      <c r="BH1045" s="25"/>
      <c r="BI1045" s="25"/>
      <c r="BJ1045" s="25"/>
      <c r="BK1045" s="25"/>
      <c r="BL1045" s="25"/>
      <c r="BM1045" s="25"/>
      <c r="BN1045" s="25"/>
      <c r="BO1045" s="25"/>
      <c r="BP1045" s="25"/>
      <c r="BQ1045" s="25"/>
      <c r="BR1045" s="25"/>
      <c r="BS1045" s="25"/>
      <c r="BT1045" s="25"/>
      <c r="BU1045" s="25"/>
      <c r="BV1045" s="25"/>
      <c r="BW1045" s="25"/>
      <c r="BX1045" s="25"/>
      <c r="BY1045" s="25"/>
      <c r="BZ1045" s="25"/>
      <c r="CA1045" s="25"/>
      <c r="CB1045" s="25"/>
    </row>
    <row r="1046" spans="1:80" ht="12.75" hidden="1" customHeight="1">
      <c r="A1046" s="10">
        <f ca="1">IFERROR(__xludf.DUMMYFUNCTION("""COMPUTED_VALUE"""),2015)</f>
        <v>2015</v>
      </c>
      <c r="B1046" s="50">
        <f ca="1">IFERROR(__xludf.DUMMYFUNCTION("""COMPUTED_VALUE"""),42683)</f>
        <v>42683</v>
      </c>
      <c r="C1046" s="41">
        <f ca="1">IFERROR(__xludf.DUMMYFUNCTION("""COMPUTED_VALUE"""),42674)</f>
        <v>42674</v>
      </c>
      <c r="D1046" s="42" t="str">
        <f ca="1">IFERROR(__xludf.DUMMYFUNCTION("""COMPUTED_VALUE"""),"Velvet Scoter")</f>
        <v>Velvet Scoter</v>
      </c>
      <c r="E1046" s="53">
        <f ca="1">IFERROR(__xludf.DUMMYFUNCTION("""COMPUTED_VALUE"""),6)</f>
        <v>6</v>
      </c>
      <c r="F1046" s="15"/>
      <c r="G1046" s="44" t="str">
        <f ca="1">IFERROR(__xludf.DUMMYFUNCTION("""COMPUTED_VALUE"""),"Hoylake")</f>
        <v>Hoylake</v>
      </c>
      <c r="H1046" s="12">
        <f ca="1">IFERROR(__xludf.DUMMYFUNCTION("""COMPUTED_VALUE"""),42089)</f>
        <v>42089</v>
      </c>
      <c r="I1046" s="12">
        <f ca="1">IFERROR(__xludf.DUMMYFUNCTION("""COMPUTED_VALUE"""),42089)</f>
        <v>42089</v>
      </c>
      <c r="J1046" s="14" t="str">
        <f ca="1">IFERROR(__xludf.DUMMYFUNCTION("""COMPUTED_VALUE"""),"Turner, JE")</f>
        <v>Turner, JE</v>
      </c>
      <c r="K1046" s="15" t="str">
        <f ca="1">IFERROR(__xludf.DUMMYFUNCTION("""COMPUTED_VALUE"""),"Turner, JE")</f>
        <v>Turner, JE</v>
      </c>
      <c r="L1046" s="17" t="str">
        <f ca="1">IFERROR(__xludf.DUMMYFUNCTION("""COMPUTED_VALUE"""),"closed")</f>
        <v>closed</v>
      </c>
      <c r="M1046" s="17" t="str">
        <f ca="1">IFERROR(__xludf.DUMMYFUNCTION("""COMPUTED_VALUE"""),"1st U")</f>
        <v>1st U</v>
      </c>
      <c r="N1046" s="15" t="str">
        <f ca="1">IFERROR(__xludf.DUMMYFUNCTION("""COMPUTED_VALUE"""),"accepted")</f>
        <v>accepted</v>
      </c>
      <c r="O1046" s="18"/>
      <c r="P1046" s="15"/>
      <c r="Q1046" s="58"/>
      <c r="R1046" s="58"/>
      <c r="S1046" s="15"/>
      <c r="T1046" s="15"/>
      <c r="U1046" s="15"/>
      <c r="V1046" s="15"/>
      <c r="W1046" s="15"/>
      <c r="X1046" s="15"/>
      <c r="Y1046" s="15"/>
      <c r="Z1046" s="15"/>
      <c r="AA1046" s="15"/>
      <c r="AB1046" s="15"/>
      <c r="AC1046" s="15"/>
      <c r="AD1046" s="15"/>
      <c r="AE1046" s="15"/>
      <c r="AF1046" s="15"/>
      <c r="AG1046" s="15"/>
      <c r="AH1046" s="15"/>
      <c r="AI1046" s="15"/>
      <c r="AJ1046" s="15"/>
      <c r="AK1046" s="15"/>
      <c r="AL1046" s="15"/>
      <c r="AM1046" s="15"/>
      <c r="AN1046" s="15"/>
      <c r="AO1046" s="15"/>
      <c r="AP1046" s="15"/>
      <c r="AQ1046" s="15"/>
      <c r="AR1046" s="15"/>
      <c r="AS1046" s="15"/>
      <c r="AT1046" s="15"/>
      <c r="AU1046" s="15"/>
      <c r="AV1046" s="15"/>
      <c r="AW1046" s="15"/>
      <c r="AX1046" s="15"/>
      <c r="AY1046" s="15"/>
      <c r="AZ1046" s="15"/>
      <c r="BA1046" s="15"/>
      <c r="BB1046" s="15"/>
      <c r="BC1046" s="15"/>
      <c r="BD1046" s="15"/>
      <c r="BE1046" s="15"/>
      <c r="BF1046" s="15"/>
      <c r="BG1046" s="15"/>
      <c r="BH1046" s="15"/>
      <c r="BI1046" s="15"/>
      <c r="BJ1046" s="15"/>
      <c r="BK1046" s="15"/>
      <c r="BL1046" s="15"/>
      <c r="BM1046" s="15"/>
      <c r="BN1046" s="15"/>
      <c r="BO1046" s="15"/>
      <c r="BP1046" s="15"/>
      <c r="BQ1046" s="15"/>
      <c r="BR1046" s="15"/>
      <c r="BS1046" s="15"/>
      <c r="BT1046" s="15"/>
      <c r="BU1046" s="15"/>
      <c r="BV1046" s="15"/>
      <c r="BW1046" s="15"/>
      <c r="BX1046" s="15"/>
      <c r="BY1046" s="15"/>
      <c r="BZ1046" s="15"/>
      <c r="CA1046" s="15"/>
      <c r="CB1046" s="15"/>
    </row>
    <row r="1047" spans="1:80" ht="12.75" hidden="1" customHeight="1">
      <c r="A1047" s="20">
        <f ca="1">IFERROR(__xludf.DUMMYFUNCTION("""COMPUTED_VALUE"""),2015)</f>
        <v>2015</v>
      </c>
      <c r="B1047" s="45">
        <f ca="1">IFERROR(__xludf.DUMMYFUNCTION("""COMPUTED_VALUE"""),42683)</f>
        <v>42683</v>
      </c>
      <c r="C1047" s="46">
        <f ca="1">IFERROR(__xludf.DUMMYFUNCTION("""COMPUTED_VALUE"""),42674)</f>
        <v>42674</v>
      </c>
      <c r="D1047" s="47" t="str">
        <f ca="1">IFERROR(__xludf.DUMMYFUNCTION("""COMPUTED_VALUE"""),"Velvet Scoter")</f>
        <v>Velvet Scoter</v>
      </c>
      <c r="E1047" s="52">
        <f ca="1">IFERROR(__xludf.DUMMYFUNCTION("""COMPUTED_VALUE"""),6)</f>
        <v>6</v>
      </c>
      <c r="F1047" s="25"/>
      <c r="G1047" s="48" t="str">
        <f ca="1">IFERROR(__xludf.DUMMYFUNCTION("""COMPUTED_VALUE"""),"Hoylake")</f>
        <v>Hoylake</v>
      </c>
      <c r="H1047" s="22">
        <f ca="1">IFERROR(__xludf.DUMMYFUNCTION("""COMPUTED_VALUE"""),42090)</f>
        <v>42090</v>
      </c>
      <c r="I1047" s="22">
        <f ca="1">IFERROR(__xludf.DUMMYFUNCTION("""COMPUTED_VALUE"""),42090)</f>
        <v>42090</v>
      </c>
      <c r="J1047" s="24" t="str">
        <f ca="1">IFERROR(__xludf.DUMMYFUNCTION("""COMPUTED_VALUE"""),"Turner, JE")</f>
        <v>Turner, JE</v>
      </c>
      <c r="K1047" s="25" t="str">
        <f ca="1">IFERROR(__xludf.DUMMYFUNCTION("""COMPUTED_VALUE"""),"Turner, JE")</f>
        <v>Turner, JE</v>
      </c>
      <c r="L1047" s="27" t="str">
        <f ca="1">IFERROR(__xludf.DUMMYFUNCTION("""COMPUTED_VALUE"""),"closed")</f>
        <v>closed</v>
      </c>
      <c r="M1047" s="27" t="str">
        <f ca="1">IFERROR(__xludf.DUMMYFUNCTION("""COMPUTED_VALUE"""),"1st U")</f>
        <v>1st U</v>
      </c>
      <c r="N1047" s="25" t="str">
        <f ca="1">IFERROR(__xludf.DUMMYFUNCTION("""COMPUTED_VALUE"""),"accepted")</f>
        <v>accepted</v>
      </c>
      <c r="O1047" s="28"/>
      <c r="P1047" s="25"/>
      <c r="Q1047" s="40"/>
      <c r="R1047" s="40"/>
      <c r="S1047" s="25"/>
      <c r="T1047" s="25"/>
      <c r="U1047" s="25"/>
      <c r="V1047" s="25"/>
      <c r="W1047" s="25"/>
      <c r="X1047" s="25"/>
      <c r="Y1047" s="25"/>
      <c r="Z1047" s="25"/>
      <c r="AA1047" s="25"/>
      <c r="AB1047" s="25"/>
      <c r="AC1047" s="25"/>
      <c r="AD1047" s="25"/>
      <c r="AE1047" s="25"/>
      <c r="AF1047" s="25"/>
      <c r="AG1047" s="25"/>
      <c r="AH1047" s="25"/>
      <c r="AI1047" s="25"/>
      <c r="AJ1047" s="25"/>
      <c r="AK1047" s="25"/>
      <c r="AL1047" s="25"/>
      <c r="AM1047" s="25"/>
      <c r="AN1047" s="25"/>
      <c r="AO1047" s="25"/>
      <c r="AP1047" s="25"/>
      <c r="AQ1047" s="25"/>
      <c r="AR1047" s="25"/>
      <c r="AS1047" s="25"/>
      <c r="AT1047" s="25"/>
      <c r="AU1047" s="25"/>
      <c r="AV1047" s="25"/>
      <c r="AW1047" s="25"/>
      <c r="AX1047" s="25"/>
      <c r="AY1047" s="25"/>
      <c r="AZ1047" s="25"/>
      <c r="BA1047" s="25"/>
      <c r="BB1047" s="25"/>
      <c r="BC1047" s="25"/>
      <c r="BD1047" s="25"/>
      <c r="BE1047" s="25"/>
      <c r="BF1047" s="25"/>
      <c r="BG1047" s="25"/>
      <c r="BH1047" s="25"/>
      <c r="BI1047" s="25"/>
      <c r="BJ1047" s="25"/>
      <c r="BK1047" s="25"/>
      <c r="BL1047" s="25"/>
      <c r="BM1047" s="25"/>
      <c r="BN1047" s="25"/>
      <c r="BO1047" s="25"/>
      <c r="BP1047" s="25"/>
      <c r="BQ1047" s="25"/>
      <c r="BR1047" s="25"/>
      <c r="BS1047" s="25"/>
      <c r="BT1047" s="25"/>
      <c r="BU1047" s="25"/>
      <c r="BV1047" s="25"/>
      <c r="BW1047" s="25"/>
      <c r="BX1047" s="25"/>
      <c r="BY1047" s="25"/>
      <c r="BZ1047" s="25"/>
      <c r="CA1047" s="25"/>
      <c r="CB1047" s="25"/>
    </row>
    <row r="1048" spans="1:80" ht="12.75" hidden="1" customHeight="1">
      <c r="A1048" s="10">
        <f ca="1">IFERROR(__xludf.DUMMYFUNCTION("""COMPUTED_VALUE"""),2015)</f>
        <v>2015</v>
      </c>
      <c r="B1048" s="50">
        <f ca="1">IFERROR(__xludf.DUMMYFUNCTION("""COMPUTED_VALUE"""),42618)</f>
        <v>42618</v>
      </c>
      <c r="C1048" s="41">
        <f ca="1">IFERROR(__xludf.DUMMYFUNCTION("""COMPUTED_VALUE"""),42683)</f>
        <v>42683</v>
      </c>
      <c r="D1048" s="42" t="str">
        <f ca="1">IFERROR(__xludf.DUMMYFUNCTION("""COMPUTED_VALUE"""),"Velvet Scoter")</f>
        <v>Velvet Scoter</v>
      </c>
      <c r="E1048" s="53">
        <f ca="1">IFERROR(__xludf.DUMMYFUNCTION("""COMPUTED_VALUE"""),6)</f>
        <v>6</v>
      </c>
      <c r="F1048" s="15"/>
      <c r="G1048" s="44" t="str">
        <f ca="1">IFERROR(__xludf.DUMMYFUNCTION("""COMPUTED_VALUE"""),"Hoylake")</f>
        <v>Hoylake</v>
      </c>
      <c r="H1048" s="12">
        <f ca="1">IFERROR(__xludf.DUMMYFUNCTION("""COMPUTED_VALUE"""),42091)</f>
        <v>42091</v>
      </c>
      <c r="I1048" s="12">
        <f ca="1">IFERROR(__xludf.DUMMYFUNCTION("""COMPUTED_VALUE"""),42091)</f>
        <v>42091</v>
      </c>
      <c r="J1048" s="14" t="str">
        <f ca="1">IFERROR(__xludf.DUMMYFUNCTION("""COMPUTED_VALUE"""),"Turner, MG")</f>
        <v>Turner, MG</v>
      </c>
      <c r="K1048" s="15" t="str">
        <f ca="1">IFERROR(__xludf.DUMMYFUNCTION("""COMPUTED_VALUE"""),"Turner, MG")</f>
        <v>Turner, MG</v>
      </c>
      <c r="L1048" s="17" t="str">
        <f ca="1">IFERROR(__xludf.DUMMYFUNCTION("""COMPUTED_VALUE"""),"closed")</f>
        <v>closed</v>
      </c>
      <c r="M1048" s="17" t="str">
        <f ca="1">IFERROR(__xludf.DUMMYFUNCTION("""COMPUTED_VALUE"""),"1st U")</f>
        <v>1st U</v>
      </c>
      <c r="N1048" s="15" t="str">
        <f ca="1">IFERROR(__xludf.DUMMYFUNCTION("""COMPUTED_VALUE"""),"accepted")</f>
        <v>accepted</v>
      </c>
      <c r="O1048" s="18"/>
      <c r="P1048" s="15"/>
      <c r="Q1048" s="58"/>
      <c r="R1048" s="58"/>
      <c r="S1048" s="15"/>
      <c r="T1048" s="15"/>
      <c r="U1048" s="15"/>
      <c r="V1048" s="15"/>
      <c r="W1048" s="15"/>
      <c r="X1048" s="15"/>
      <c r="Y1048" s="15"/>
      <c r="Z1048" s="15"/>
      <c r="AA1048" s="15"/>
      <c r="AB1048" s="15"/>
      <c r="AC1048" s="15"/>
      <c r="AD1048" s="15"/>
      <c r="AE1048" s="15"/>
      <c r="AF1048" s="15"/>
      <c r="AG1048" s="15"/>
      <c r="AH1048" s="15"/>
      <c r="AI1048" s="15"/>
      <c r="AJ1048" s="15"/>
      <c r="AK1048" s="15"/>
      <c r="AL1048" s="15"/>
      <c r="AM1048" s="15"/>
      <c r="AN1048" s="15"/>
      <c r="AO1048" s="15"/>
      <c r="AP1048" s="15"/>
      <c r="AQ1048" s="15"/>
      <c r="AR1048" s="15"/>
      <c r="AS1048" s="15"/>
      <c r="AT1048" s="15"/>
      <c r="AU1048" s="15"/>
      <c r="AV1048" s="15"/>
      <c r="AW1048" s="15"/>
      <c r="AX1048" s="15"/>
      <c r="AY1048" s="15"/>
      <c r="AZ1048" s="15"/>
      <c r="BA1048" s="15"/>
      <c r="BB1048" s="15"/>
      <c r="BC1048" s="15"/>
      <c r="BD1048" s="15"/>
      <c r="BE1048" s="15"/>
      <c r="BF1048" s="15"/>
      <c r="BG1048" s="15"/>
      <c r="BH1048" s="15"/>
      <c r="BI1048" s="15"/>
      <c r="BJ1048" s="15"/>
      <c r="BK1048" s="15"/>
      <c r="BL1048" s="15"/>
      <c r="BM1048" s="15"/>
      <c r="BN1048" s="15"/>
      <c r="BO1048" s="15"/>
      <c r="BP1048" s="15"/>
      <c r="BQ1048" s="15"/>
      <c r="BR1048" s="15"/>
      <c r="BS1048" s="15"/>
      <c r="BT1048" s="15"/>
      <c r="BU1048" s="15"/>
      <c r="BV1048" s="15"/>
      <c r="BW1048" s="15"/>
      <c r="BX1048" s="15"/>
      <c r="BY1048" s="15"/>
      <c r="BZ1048" s="15"/>
      <c r="CA1048" s="15"/>
      <c r="CB1048" s="15"/>
    </row>
    <row r="1049" spans="1:80" ht="12.75" hidden="1" customHeight="1">
      <c r="A1049" s="20">
        <f ca="1">IFERROR(__xludf.DUMMYFUNCTION("""COMPUTED_VALUE"""),2015)</f>
        <v>2015</v>
      </c>
      <c r="B1049" s="45">
        <f ca="1">IFERROR(__xludf.DUMMYFUNCTION("""COMPUTED_VALUE"""),42683)</f>
        <v>42683</v>
      </c>
      <c r="C1049" s="46">
        <f ca="1">IFERROR(__xludf.DUMMYFUNCTION("""COMPUTED_VALUE"""),42674)</f>
        <v>42674</v>
      </c>
      <c r="D1049" s="47" t="str">
        <f ca="1">IFERROR(__xludf.DUMMYFUNCTION("""COMPUTED_VALUE"""),"Velvet Scoter")</f>
        <v>Velvet Scoter</v>
      </c>
      <c r="E1049" s="52">
        <f ca="1">IFERROR(__xludf.DUMMYFUNCTION("""COMPUTED_VALUE"""),4)</f>
        <v>4</v>
      </c>
      <c r="F1049" s="25"/>
      <c r="G1049" s="48" t="str">
        <f ca="1">IFERROR(__xludf.DUMMYFUNCTION("""COMPUTED_VALUE"""),"Hoylake")</f>
        <v>Hoylake</v>
      </c>
      <c r="H1049" s="22">
        <f ca="1">IFERROR(__xludf.DUMMYFUNCTION("""COMPUTED_VALUE"""),42095)</f>
        <v>42095</v>
      </c>
      <c r="I1049" s="22">
        <f ca="1">IFERROR(__xludf.DUMMYFUNCTION("""COMPUTED_VALUE"""),42095)</f>
        <v>42095</v>
      </c>
      <c r="J1049" s="24" t="str">
        <f ca="1">IFERROR(__xludf.DUMMYFUNCTION("""COMPUTED_VALUE"""),"Turner, JE")</f>
        <v>Turner, JE</v>
      </c>
      <c r="K1049" s="25" t="str">
        <f ca="1">IFERROR(__xludf.DUMMYFUNCTION("""COMPUTED_VALUE"""),"Turner, JE")</f>
        <v>Turner, JE</v>
      </c>
      <c r="L1049" s="27" t="str">
        <f ca="1">IFERROR(__xludf.DUMMYFUNCTION("""COMPUTED_VALUE"""),"closed")</f>
        <v>closed</v>
      </c>
      <c r="M1049" s="27" t="str">
        <f ca="1">IFERROR(__xludf.DUMMYFUNCTION("""COMPUTED_VALUE"""),"1st U")</f>
        <v>1st U</v>
      </c>
      <c r="N1049" s="25" t="str">
        <f ca="1">IFERROR(__xludf.DUMMYFUNCTION("""COMPUTED_VALUE"""),"accepted")</f>
        <v>accepted</v>
      </c>
      <c r="O1049" s="28"/>
      <c r="P1049" s="25"/>
      <c r="Q1049" s="40"/>
      <c r="R1049" s="40"/>
      <c r="S1049" s="25"/>
      <c r="T1049" s="25"/>
      <c r="U1049" s="25"/>
      <c r="V1049" s="25"/>
      <c r="W1049" s="25"/>
      <c r="X1049" s="25"/>
      <c r="Y1049" s="25"/>
      <c r="Z1049" s="25"/>
      <c r="AA1049" s="25"/>
      <c r="AB1049" s="25"/>
      <c r="AC1049" s="25"/>
      <c r="AD1049" s="25"/>
      <c r="AE1049" s="25"/>
      <c r="AF1049" s="25"/>
      <c r="AG1049" s="25"/>
      <c r="AH1049" s="25"/>
      <c r="AI1049" s="25"/>
      <c r="AJ1049" s="25"/>
      <c r="AK1049" s="25"/>
      <c r="AL1049" s="25"/>
      <c r="AM1049" s="25"/>
      <c r="AN1049" s="25"/>
      <c r="AO1049" s="25"/>
      <c r="AP1049" s="25"/>
      <c r="AQ1049" s="25"/>
      <c r="AR1049" s="25"/>
      <c r="AS1049" s="25"/>
      <c r="AT1049" s="25"/>
      <c r="AU1049" s="25"/>
      <c r="AV1049" s="25"/>
      <c r="AW1049" s="25"/>
      <c r="AX1049" s="25"/>
      <c r="AY1049" s="25"/>
      <c r="AZ1049" s="25"/>
      <c r="BA1049" s="25"/>
      <c r="BB1049" s="25"/>
      <c r="BC1049" s="25"/>
      <c r="BD1049" s="25"/>
      <c r="BE1049" s="25"/>
      <c r="BF1049" s="25"/>
      <c r="BG1049" s="25"/>
      <c r="BH1049" s="25"/>
      <c r="BI1049" s="25"/>
      <c r="BJ1049" s="25"/>
      <c r="BK1049" s="25"/>
      <c r="BL1049" s="25"/>
      <c r="BM1049" s="25"/>
      <c r="BN1049" s="25"/>
      <c r="BO1049" s="25"/>
      <c r="BP1049" s="25"/>
      <c r="BQ1049" s="25"/>
      <c r="BR1049" s="25"/>
      <c r="BS1049" s="25"/>
      <c r="BT1049" s="25"/>
      <c r="BU1049" s="25"/>
      <c r="BV1049" s="25"/>
      <c r="BW1049" s="25"/>
      <c r="BX1049" s="25"/>
      <c r="BY1049" s="25"/>
      <c r="BZ1049" s="25"/>
      <c r="CA1049" s="25"/>
      <c r="CB1049" s="25"/>
    </row>
    <row r="1050" spans="1:80" ht="12.75" hidden="1" customHeight="1">
      <c r="A1050" s="10">
        <f ca="1">IFERROR(__xludf.DUMMYFUNCTION("""COMPUTED_VALUE"""),2015)</f>
        <v>2015</v>
      </c>
      <c r="B1050" s="50">
        <f ca="1">IFERROR(__xludf.DUMMYFUNCTION("""COMPUTED_VALUE"""),42618)</f>
        <v>42618</v>
      </c>
      <c r="C1050" s="41">
        <f ca="1">IFERROR(__xludf.DUMMYFUNCTION("""COMPUTED_VALUE"""),42683)</f>
        <v>42683</v>
      </c>
      <c r="D1050" s="42" t="str">
        <f ca="1">IFERROR(__xludf.DUMMYFUNCTION("""COMPUTED_VALUE"""),"Velvet Scoter")</f>
        <v>Velvet Scoter</v>
      </c>
      <c r="E1050" s="53">
        <f ca="1">IFERROR(__xludf.DUMMYFUNCTION("""COMPUTED_VALUE"""),2)</f>
        <v>2</v>
      </c>
      <c r="F1050" s="15" t="str">
        <f ca="1">IFERROR(__xludf.DUMMYFUNCTION("""COMPUTED_VALUE"""),"mm")</f>
        <v>mm</v>
      </c>
      <c r="G1050" s="44" t="str">
        <f ca="1">IFERROR(__xludf.DUMMYFUNCTION("""COMPUTED_VALUE"""),"Hoylake")</f>
        <v>Hoylake</v>
      </c>
      <c r="H1050" s="12">
        <f ca="1">IFERROR(__xludf.DUMMYFUNCTION("""COMPUTED_VALUE"""),42095)</f>
        <v>42095</v>
      </c>
      <c r="I1050" s="12">
        <f ca="1">IFERROR(__xludf.DUMMYFUNCTION("""COMPUTED_VALUE"""),42095)</f>
        <v>42095</v>
      </c>
      <c r="J1050" s="14" t="str">
        <f ca="1">IFERROR(__xludf.DUMMYFUNCTION("""COMPUTED_VALUE"""),"Turner,JE")</f>
        <v>Turner,JE</v>
      </c>
      <c r="K1050" s="15" t="str">
        <f ca="1">IFERROR(__xludf.DUMMYFUNCTION("""COMPUTED_VALUE"""),"Turner, JE")</f>
        <v>Turner, JE</v>
      </c>
      <c r="L1050" s="17" t="str">
        <f ca="1">IFERROR(__xludf.DUMMYFUNCTION("""COMPUTED_VALUE"""),"closed")</f>
        <v>closed</v>
      </c>
      <c r="M1050" s="17" t="str">
        <f ca="1">IFERROR(__xludf.DUMMYFUNCTION("""COMPUTED_VALUE"""),"1st U")</f>
        <v>1st U</v>
      </c>
      <c r="N1050" s="15" t="str">
        <f ca="1">IFERROR(__xludf.DUMMYFUNCTION("""COMPUTED_VALUE"""),"accepted")</f>
        <v>accepted</v>
      </c>
      <c r="O1050" s="18"/>
      <c r="P1050" s="15"/>
      <c r="Q1050" s="15"/>
      <c r="R1050" s="15"/>
      <c r="S1050" s="15"/>
      <c r="T1050" s="15"/>
      <c r="U1050" s="15"/>
      <c r="V1050" s="15"/>
      <c r="W1050" s="15"/>
      <c r="X1050" s="15"/>
      <c r="Y1050" s="15"/>
      <c r="Z1050" s="15"/>
      <c r="AA1050" s="15"/>
      <c r="AB1050" s="15"/>
      <c r="AC1050" s="15"/>
      <c r="AD1050" s="15"/>
      <c r="AE1050" s="15"/>
      <c r="AF1050" s="15"/>
      <c r="AG1050" s="15"/>
      <c r="AH1050" s="15"/>
      <c r="AI1050" s="15"/>
      <c r="AJ1050" s="15"/>
      <c r="AK1050" s="15"/>
      <c r="AL1050" s="15"/>
      <c r="AM1050" s="15"/>
      <c r="AN1050" s="15"/>
      <c r="AO1050" s="15"/>
      <c r="AP1050" s="15"/>
      <c r="AQ1050" s="15"/>
      <c r="AR1050" s="15"/>
      <c r="AS1050" s="15"/>
      <c r="AT1050" s="15"/>
      <c r="AU1050" s="15"/>
      <c r="AV1050" s="15"/>
      <c r="AW1050" s="15"/>
      <c r="AX1050" s="15"/>
      <c r="AY1050" s="15"/>
      <c r="AZ1050" s="15"/>
      <c r="BA1050" s="15"/>
      <c r="BB1050" s="15"/>
      <c r="BC1050" s="15"/>
      <c r="BD1050" s="15"/>
      <c r="BE1050" s="15"/>
      <c r="BF1050" s="15"/>
      <c r="BG1050" s="15"/>
      <c r="BH1050" s="15"/>
      <c r="BI1050" s="15"/>
      <c r="BJ1050" s="15"/>
      <c r="BK1050" s="15"/>
      <c r="BL1050" s="15"/>
      <c r="BM1050" s="15"/>
      <c r="BN1050" s="15"/>
      <c r="BO1050" s="15"/>
      <c r="BP1050" s="15"/>
      <c r="BQ1050" s="15"/>
      <c r="BR1050" s="15"/>
      <c r="BS1050" s="15"/>
      <c r="BT1050" s="15"/>
      <c r="BU1050" s="15"/>
      <c r="BV1050" s="15"/>
      <c r="BW1050" s="15"/>
      <c r="BX1050" s="15"/>
      <c r="BY1050" s="15"/>
      <c r="BZ1050" s="15"/>
      <c r="CA1050" s="15"/>
      <c r="CB1050" s="15"/>
    </row>
    <row r="1051" spans="1:80" ht="12.75" hidden="1" customHeight="1">
      <c r="A1051" s="20">
        <f ca="1">IFERROR(__xludf.DUMMYFUNCTION("""COMPUTED_VALUE"""),2015)</f>
        <v>2015</v>
      </c>
      <c r="B1051" s="45">
        <f ca="1">IFERROR(__xludf.DUMMYFUNCTION("""COMPUTED_VALUE"""),42683)</f>
        <v>42683</v>
      </c>
      <c r="C1051" s="46">
        <f ca="1">IFERROR(__xludf.DUMMYFUNCTION("""COMPUTED_VALUE"""),42674)</f>
        <v>42674</v>
      </c>
      <c r="D1051" s="47" t="str">
        <f ca="1">IFERROR(__xludf.DUMMYFUNCTION("""COMPUTED_VALUE"""),"Velvet Scoter")</f>
        <v>Velvet Scoter</v>
      </c>
      <c r="E1051" s="52">
        <f ca="1">IFERROR(__xludf.DUMMYFUNCTION("""COMPUTED_VALUE"""),2)</f>
        <v>2</v>
      </c>
      <c r="F1051" s="25"/>
      <c r="G1051" s="48" t="str">
        <f ca="1">IFERROR(__xludf.DUMMYFUNCTION("""COMPUTED_VALUE"""),"Hoylake")</f>
        <v>Hoylake</v>
      </c>
      <c r="H1051" s="22">
        <f ca="1">IFERROR(__xludf.DUMMYFUNCTION("""COMPUTED_VALUE"""),42097)</f>
        <v>42097</v>
      </c>
      <c r="I1051" s="22">
        <f ca="1">IFERROR(__xludf.DUMMYFUNCTION("""COMPUTED_VALUE"""),42097)</f>
        <v>42097</v>
      </c>
      <c r="J1051" s="24" t="str">
        <f ca="1">IFERROR(__xludf.DUMMYFUNCTION("""COMPUTED_VALUE"""),"Turner, JE")</f>
        <v>Turner, JE</v>
      </c>
      <c r="K1051" s="25" t="str">
        <f ca="1">IFERROR(__xludf.DUMMYFUNCTION("""COMPUTED_VALUE"""),"Turner, JE")</f>
        <v>Turner, JE</v>
      </c>
      <c r="L1051" s="27" t="str">
        <f ca="1">IFERROR(__xludf.DUMMYFUNCTION("""COMPUTED_VALUE"""),"closed")</f>
        <v>closed</v>
      </c>
      <c r="M1051" s="27" t="str">
        <f ca="1">IFERROR(__xludf.DUMMYFUNCTION("""COMPUTED_VALUE"""),"1st U")</f>
        <v>1st U</v>
      </c>
      <c r="N1051" s="25" t="str">
        <f ca="1">IFERROR(__xludf.DUMMYFUNCTION("""COMPUTED_VALUE"""),"accepted")</f>
        <v>accepted</v>
      </c>
      <c r="O1051" s="28"/>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c r="AK1051" s="25"/>
      <c r="AL1051" s="25"/>
      <c r="AM1051" s="25"/>
      <c r="AN1051" s="25"/>
      <c r="AO1051" s="25"/>
      <c r="AP1051" s="25"/>
      <c r="AQ1051" s="25"/>
      <c r="AR1051" s="25"/>
      <c r="AS1051" s="25"/>
      <c r="AT1051" s="25"/>
      <c r="AU1051" s="25"/>
      <c r="AV1051" s="25"/>
      <c r="AW1051" s="25"/>
      <c r="AX1051" s="25"/>
      <c r="AY1051" s="25"/>
      <c r="AZ1051" s="25"/>
      <c r="BA1051" s="25"/>
      <c r="BB1051" s="25"/>
      <c r="BC1051" s="25"/>
      <c r="BD1051" s="25"/>
      <c r="BE1051" s="25"/>
      <c r="BF1051" s="25"/>
      <c r="BG1051" s="25"/>
      <c r="BH1051" s="25"/>
      <c r="BI1051" s="25"/>
      <c r="BJ1051" s="25"/>
      <c r="BK1051" s="25"/>
      <c r="BL1051" s="25"/>
      <c r="BM1051" s="25"/>
      <c r="BN1051" s="25"/>
      <c r="BO1051" s="25"/>
      <c r="BP1051" s="25"/>
      <c r="BQ1051" s="25"/>
      <c r="BR1051" s="25"/>
      <c r="BS1051" s="25"/>
      <c r="BT1051" s="25"/>
      <c r="BU1051" s="25"/>
      <c r="BV1051" s="25"/>
      <c r="BW1051" s="25"/>
      <c r="BX1051" s="25"/>
      <c r="BY1051" s="25"/>
      <c r="BZ1051" s="25"/>
      <c r="CA1051" s="25"/>
      <c r="CB1051" s="25"/>
    </row>
    <row r="1052" spans="1:80" ht="12.75" hidden="1" customHeight="1">
      <c r="A1052" s="10">
        <f ca="1">IFERROR(__xludf.DUMMYFUNCTION("""COMPUTED_VALUE"""),2015)</f>
        <v>2015</v>
      </c>
      <c r="B1052" s="50">
        <f ca="1">IFERROR(__xludf.DUMMYFUNCTION("""COMPUTED_VALUE"""),42683)</f>
        <v>42683</v>
      </c>
      <c r="C1052" s="41">
        <f ca="1">IFERROR(__xludf.DUMMYFUNCTION("""COMPUTED_VALUE"""),42674)</f>
        <v>42674</v>
      </c>
      <c r="D1052" s="42" t="str">
        <f ca="1">IFERROR(__xludf.DUMMYFUNCTION("""COMPUTED_VALUE"""),"Velvet Scoter")</f>
        <v>Velvet Scoter</v>
      </c>
      <c r="E1052" s="53">
        <f ca="1">IFERROR(__xludf.DUMMYFUNCTION("""COMPUTED_VALUE"""),4)</f>
        <v>4</v>
      </c>
      <c r="F1052" s="15" t="str">
        <f ca="1">IFERROR(__xludf.DUMMYFUNCTION("""COMPUTED_VALUE"""),"mmmm")</f>
        <v>mmmm</v>
      </c>
      <c r="G1052" s="44" t="str">
        <f ca="1">IFERROR(__xludf.DUMMYFUNCTION("""COMPUTED_VALUE"""),"Hoylake")</f>
        <v>Hoylake</v>
      </c>
      <c r="H1052" s="12">
        <f ca="1">IFERROR(__xludf.DUMMYFUNCTION("""COMPUTED_VALUE"""),42107)</f>
        <v>42107</v>
      </c>
      <c r="I1052" s="12">
        <f ca="1">IFERROR(__xludf.DUMMYFUNCTION("""COMPUTED_VALUE"""),42107)</f>
        <v>42107</v>
      </c>
      <c r="J1052" s="14" t="str">
        <f ca="1">IFERROR(__xludf.DUMMYFUNCTION("""COMPUTED_VALUE"""),"Turner, JE")</f>
        <v>Turner, JE</v>
      </c>
      <c r="K1052" s="15" t="str">
        <f ca="1">IFERROR(__xludf.DUMMYFUNCTION("""COMPUTED_VALUE"""),"Turner, JE")</f>
        <v>Turner, JE</v>
      </c>
      <c r="L1052" s="17" t="str">
        <f ca="1">IFERROR(__xludf.DUMMYFUNCTION("""COMPUTED_VALUE"""),"closed")</f>
        <v>closed</v>
      </c>
      <c r="M1052" s="17" t="str">
        <f ca="1">IFERROR(__xludf.DUMMYFUNCTION("""COMPUTED_VALUE"""),"1st U")</f>
        <v>1st U</v>
      </c>
      <c r="N1052" s="15" t="str">
        <f ca="1">IFERROR(__xludf.DUMMYFUNCTION("""COMPUTED_VALUE"""),"accepted")</f>
        <v>accepted</v>
      </c>
      <c r="O1052" s="18"/>
      <c r="P1052" s="15"/>
      <c r="Q1052" s="58"/>
      <c r="R1052" s="58"/>
      <c r="S1052" s="15"/>
      <c r="T1052" s="15"/>
      <c r="U1052" s="15"/>
      <c r="V1052" s="15"/>
      <c r="W1052" s="15"/>
      <c r="X1052" s="15"/>
      <c r="Y1052" s="15"/>
      <c r="Z1052" s="15"/>
      <c r="AA1052" s="15"/>
      <c r="AB1052" s="15"/>
      <c r="AC1052" s="15"/>
      <c r="AD1052" s="15"/>
      <c r="AE1052" s="15"/>
      <c r="AF1052" s="15"/>
      <c r="AG1052" s="15"/>
      <c r="AH1052" s="15"/>
      <c r="AI1052" s="15"/>
      <c r="AJ1052" s="15"/>
      <c r="AK1052" s="15"/>
      <c r="AL1052" s="15"/>
      <c r="AM1052" s="15"/>
      <c r="AN1052" s="15"/>
      <c r="AO1052" s="15"/>
      <c r="AP1052" s="15"/>
      <c r="AQ1052" s="15"/>
      <c r="AR1052" s="15"/>
      <c r="AS1052" s="15"/>
      <c r="AT1052" s="15"/>
      <c r="AU1052" s="15"/>
      <c r="AV1052" s="15"/>
      <c r="AW1052" s="15"/>
      <c r="AX1052" s="15"/>
      <c r="AY1052" s="15"/>
      <c r="AZ1052" s="15"/>
      <c r="BA1052" s="15"/>
      <c r="BB1052" s="15"/>
      <c r="BC1052" s="15"/>
      <c r="BD1052" s="15"/>
      <c r="BE1052" s="15"/>
      <c r="BF1052" s="15"/>
      <c r="BG1052" s="15"/>
      <c r="BH1052" s="15"/>
      <c r="BI1052" s="15"/>
      <c r="BJ1052" s="15"/>
      <c r="BK1052" s="15"/>
      <c r="BL1052" s="15"/>
      <c r="BM1052" s="15"/>
      <c r="BN1052" s="15"/>
      <c r="BO1052" s="15"/>
      <c r="BP1052" s="15"/>
      <c r="BQ1052" s="15"/>
      <c r="BR1052" s="15"/>
      <c r="BS1052" s="15"/>
      <c r="BT1052" s="15"/>
      <c r="BU1052" s="15"/>
      <c r="BV1052" s="15"/>
      <c r="BW1052" s="15"/>
      <c r="BX1052" s="15"/>
      <c r="BY1052" s="15"/>
      <c r="BZ1052" s="15"/>
      <c r="CA1052" s="15"/>
      <c r="CB1052" s="15"/>
    </row>
    <row r="1053" spans="1:80" ht="12.75" hidden="1" customHeight="1">
      <c r="A1053" s="20">
        <f ca="1">IFERROR(__xludf.DUMMYFUNCTION("""COMPUTED_VALUE"""),2015)</f>
        <v>2015</v>
      </c>
      <c r="B1053" s="45">
        <f ca="1">IFERROR(__xludf.DUMMYFUNCTION("""COMPUTED_VALUE"""),42683)</f>
        <v>42683</v>
      </c>
      <c r="C1053" s="46">
        <f ca="1">IFERROR(__xludf.DUMMYFUNCTION("""COMPUTED_VALUE"""),42674)</f>
        <v>42674</v>
      </c>
      <c r="D1053" s="47" t="str">
        <f ca="1">IFERROR(__xludf.DUMMYFUNCTION("""COMPUTED_VALUE"""),"Velvet Scoter")</f>
        <v>Velvet Scoter</v>
      </c>
      <c r="E1053" s="52">
        <f ca="1">IFERROR(__xludf.DUMMYFUNCTION("""COMPUTED_VALUE"""),2)</f>
        <v>2</v>
      </c>
      <c r="F1053" s="25" t="str">
        <f ca="1">IFERROR(__xludf.DUMMYFUNCTION("""COMPUTED_VALUE"""),"m/f")</f>
        <v>m/f</v>
      </c>
      <c r="G1053" s="48" t="str">
        <f ca="1">IFERROR(__xludf.DUMMYFUNCTION("""COMPUTED_VALUE"""),"Hoylake")</f>
        <v>Hoylake</v>
      </c>
      <c r="H1053" s="22">
        <f ca="1">IFERROR(__xludf.DUMMYFUNCTION("""COMPUTED_VALUE"""),42108)</f>
        <v>42108</v>
      </c>
      <c r="I1053" s="22">
        <f ca="1">IFERROR(__xludf.DUMMYFUNCTION("""COMPUTED_VALUE"""),42108)</f>
        <v>42108</v>
      </c>
      <c r="J1053" s="24" t="str">
        <f ca="1">IFERROR(__xludf.DUMMYFUNCTION("""COMPUTED_VALUE"""),"Turner, JE")</f>
        <v>Turner, JE</v>
      </c>
      <c r="K1053" s="25" t="str">
        <f ca="1">IFERROR(__xludf.DUMMYFUNCTION("""COMPUTED_VALUE"""),"Turner, JE")</f>
        <v>Turner, JE</v>
      </c>
      <c r="L1053" s="27" t="str">
        <f ca="1">IFERROR(__xludf.DUMMYFUNCTION("""COMPUTED_VALUE"""),"closed")</f>
        <v>closed</v>
      </c>
      <c r="M1053" s="27" t="str">
        <f ca="1">IFERROR(__xludf.DUMMYFUNCTION("""COMPUTED_VALUE"""),"1st U")</f>
        <v>1st U</v>
      </c>
      <c r="N1053" s="25" t="str">
        <f ca="1">IFERROR(__xludf.DUMMYFUNCTION("""COMPUTED_VALUE"""),"accepted")</f>
        <v>accepted</v>
      </c>
      <c r="O1053" s="28"/>
      <c r="P1053" s="25"/>
      <c r="Q1053" s="25"/>
      <c r="R1053" s="25"/>
      <c r="S1053" s="25"/>
      <c r="T1053" s="25"/>
      <c r="U1053" s="25"/>
      <c r="V1053" s="25"/>
      <c r="W1053" s="25"/>
      <c r="X1053" s="25"/>
      <c r="Y1053" s="25"/>
      <c r="Z1053" s="25"/>
      <c r="AA1053" s="25"/>
      <c r="AB1053" s="25"/>
      <c r="AC1053" s="25"/>
      <c r="AD1053" s="25"/>
      <c r="AE1053" s="25"/>
      <c r="AF1053" s="25"/>
      <c r="AG1053" s="25"/>
      <c r="AH1053" s="25"/>
      <c r="AI1053" s="25"/>
      <c r="AJ1053" s="25"/>
      <c r="AK1053" s="25"/>
      <c r="AL1053" s="25"/>
      <c r="AM1053" s="25"/>
      <c r="AN1053" s="25"/>
      <c r="AO1053" s="25"/>
      <c r="AP1053" s="25"/>
      <c r="AQ1053" s="25"/>
      <c r="AR1053" s="25"/>
      <c r="AS1053" s="25"/>
      <c r="AT1053" s="25"/>
      <c r="AU1053" s="25"/>
      <c r="AV1053" s="25"/>
      <c r="AW1053" s="25"/>
      <c r="AX1053" s="25"/>
      <c r="AY1053" s="25"/>
      <c r="AZ1053" s="25"/>
      <c r="BA1053" s="25"/>
      <c r="BB1053" s="25"/>
      <c r="BC1053" s="25"/>
      <c r="BD1053" s="25"/>
      <c r="BE1053" s="25"/>
      <c r="BF1053" s="25"/>
      <c r="BG1053" s="25"/>
      <c r="BH1053" s="25"/>
      <c r="BI1053" s="25"/>
      <c r="BJ1053" s="25"/>
      <c r="BK1053" s="25"/>
      <c r="BL1053" s="25"/>
      <c r="BM1053" s="25"/>
      <c r="BN1053" s="25"/>
      <c r="BO1053" s="25"/>
      <c r="BP1053" s="25"/>
      <c r="BQ1053" s="25"/>
      <c r="BR1053" s="25"/>
      <c r="BS1053" s="25"/>
      <c r="BT1053" s="25"/>
      <c r="BU1053" s="25"/>
      <c r="BV1053" s="25"/>
      <c r="BW1053" s="25"/>
      <c r="BX1053" s="25"/>
      <c r="BY1053" s="25"/>
      <c r="BZ1053" s="25"/>
      <c r="CA1053" s="25"/>
      <c r="CB1053" s="25"/>
    </row>
    <row r="1054" spans="1:80" ht="12.75" hidden="1" customHeight="1">
      <c r="A1054" s="10">
        <f ca="1">IFERROR(__xludf.DUMMYFUNCTION("""COMPUTED_VALUE"""),2015)</f>
        <v>2015</v>
      </c>
      <c r="B1054" s="50">
        <f ca="1">IFERROR(__xludf.DUMMYFUNCTION("""COMPUTED_VALUE"""),42683)</f>
        <v>42683</v>
      </c>
      <c r="C1054" s="41">
        <f ca="1">IFERROR(__xludf.DUMMYFUNCTION("""COMPUTED_VALUE"""),42674)</f>
        <v>42674</v>
      </c>
      <c r="D1054" s="42" t="str">
        <f ca="1">IFERROR(__xludf.DUMMYFUNCTION("""COMPUTED_VALUE"""),"Velvet Scoter")</f>
        <v>Velvet Scoter</v>
      </c>
      <c r="E1054" s="53">
        <f ca="1">IFERROR(__xludf.DUMMYFUNCTION("""COMPUTED_VALUE"""),4)</f>
        <v>4</v>
      </c>
      <c r="F1054" s="15"/>
      <c r="G1054" s="44" t="str">
        <f ca="1">IFERROR(__xludf.DUMMYFUNCTION("""COMPUTED_VALUE"""),"Hoylake")</f>
        <v>Hoylake</v>
      </c>
      <c r="H1054" s="12">
        <f ca="1">IFERROR(__xludf.DUMMYFUNCTION("""COMPUTED_VALUE"""),42112)</f>
        <v>42112</v>
      </c>
      <c r="I1054" s="12">
        <f ca="1">IFERROR(__xludf.DUMMYFUNCTION("""COMPUTED_VALUE"""),42112)</f>
        <v>42112</v>
      </c>
      <c r="J1054" s="14" t="str">
        <f ca="1">IFERROR(__xludf.DUMMYFUNCTION("""COMPUTED_VALUE"""),"Turner, JE")</f>
        <v>Turner, JE</v>
      </c>
      <c r="K1054" s="15" t="str">
        <f ca="1">IFERROR(__xludf.DUMMYFUNCTION("""COMPUTED_VALUE"""),"Turner, JE")</f>
        <v>Turner, JE</v>
      </c>
      <c r="L1054" s="17" t="str">
        <f ca="1">IFERROR(__xludf.DUMMYFUNCTION("""COMPUTED_VALUE"""),"closed")</f>
        <v>closed</v>
      </c>
      <c r="M1054" s="17" t="str">
        <f ca="1">IFERROR(__xludf.DUMMYFUNCTION("""COMPUTED_VALUE"""),"1st U")</f>
        <v>1st U</v>
      </c>
      <c r="N1054" s="15" t="str">
        <f ca="1">IFERROR(__xludf.DUMMYFUNCTION("""COMPUTED_VALUE"""),"accepted")</f>
        <v>accepted</v>
      </c>
      <c r="O1054" s="18"/>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c r="AM1054" s="15"/>
      <c r="AN1054" s="15"/>
      <c r="AO1054" s="15"/>
      <c r="AP1054" s="15"/>
      <c r="AQ1054" s="15"/>
      <c r="AR1054" s="15"/>
      <c r="AS1054" s="15"/>
      <c r="AT1054" s="15"/>
      <c r="AU1054" s="15"/>
      <c r="AV1054" s="15"/>
      <c r="AW1054" s="15"/>
      <c r="AX1054" s="15"/>
      <c r="AY1054" s="15"/>
      <c r="AZ1054" s="15"/>
      <c r="BA1054" s="15"/>
      <c r="BB1054" s="15"/>
      <c r="BC1054" s="15"/>
      <c r="BD1054" s="15"/>
      <c r="BE1054" s="15"/>
      <c r="BF1054" s="15"/>
      <c r="BG1054" s="15"/>
      <c r="BH1054" s="15"/>
      <c r="BI1054" s="15"/>
      <c r="BJ1054" s="15"/>
      <c r="BK1054" s="15"/>
      <c r="BL1054" s="15"/>
      <c r="BM1054" s="15"/>
      <c r="BN1054" s="15"/>
      <c r="BO1054" s="15"/>
      <c r="BP1054" s="15"/>
      <c r="BQ1054" s="15"/>
      <c r="BR1054" s="15"/>
      <c r="BS1054" s="15"/>
      <c r="BT1054" s="15"/>
      <c r="BU1054" s="15"/>
      <c r="BV1054" s="15"/>
      <c r="BW1054" s="15"/>
      <c r="BX1054" s="15"/>
      <c r="BY1054" s="15"/>
      <c r="BZ1054" s="15"/>
      <c r="CA1054" s="15"/>
      <c r="CB1054" s="15"/>
    </row>
    <row r="1055" spans="1:80" ht="12.75" hidden="1" customHeight="1">
      <c r="A1055" s="20">
        <f ca="1">IFERROR(__xludf.DUMMYFUNCTION("""COMPUTED_VALUE"""),2015)</f>
        <v>2015</v>
      </c>
      <c r="B1055" s="45">
        <f ca="1">IFERROR(__xludf.DUMMYFUNCTION("""COMPUTED_VALUE"""),42618)</f>
        <v>42618</v>
      </c>
      <c r="C1055" s="46">
        <f ca="1">IFERROR(__xludf.DUMMYFUNCTION("""COMPUTED_VALUE"""),42683)</f>
        <v>42683</v>
      </c>
      <c r="D1055" s="47" t="str">
        <f ca="1">IFERROR(__xludf.DUMMYFUNCTION("""COMPUTED_VALUE"""),"Velvet Scoter")</f>
        <v>Velvet Scoter</v>
      </c>
      <c r="E1055" s="52">
        <f ca="1">IFERROR(__xludf.DUMMYFUNCTION("""COMPUTED_VALUE"""),3)</f>
        <v>3</v>
      </c>
      <c r="F1055" s="25"/>
      <c r="G1055" s="48" t="str">
        <f ca="1">IFERROR(__xludf.DUMMYFUNCTION("""COMPUTED_VALUE"""),"Hoylake")</f>
        <v>Hoylake</v>
      </c>
      <c r="H1055" s="22">
        <f ca="1">IFERROR(__xludf.DUMMYFUNCTION("""COMPUTED_VALUE"""),42112)</f>
        <v>42112</v>
      </c>
      <c r="I1055" s="22">
        <f ca="1">IFERROR(__xludf.DUMMYFUNCTION("""COMPUTED_VALUE"""),42112)</f>
        <v>42112</v>
      </c>
      <c r="J1055" s="24" t="str">
        <f ca="1">IFERROR(__xludf.DUMMYFUNCTION("""COMPUTED_VALUE"""),"Turner, MG")</f>
        <v>Turner, MG</v>
      </c>
      <c r="K1055" s="25" t="str">
        <f ca="1">IFERROR(__xludf.DUMMYFUNCTION("""COMPUTED_VALUE"""),"Turner, MG")</f>
        <v>Turner, MG</v>
      </c>
      <c r="L1055" s="27" t="str">
        <f ca="1">IFERROR(__xludf.DUMMYFUNCTION("""COMPUTED_VALUE"""),"closed")</f>
        <v>closed</v>
      </c>
      <c r="M1055" s="27" t="str">
        <f ca="1">IFERROR(__xludf.DUMMYFUNCTION("""COMPUTED_VALUE"""),"1st U")</f>
        <v>1st U</v>
      </c>
      <c r="N1055" s="25" t="str">
        <f ca="1">IFERROR(__xludf.DUMMYFUNCTION("""COMPUTED_VALUE"""),"accepted")</f>
        <v>accepted</v>
      </c>
      <c r="O1055" s="28"/>
      <c r="P1055" s="25"/>
      <c r="Q1055" s="25"/>
      <c r="R1055" s="25"/>
      <c r="S1055" s="25"/>
      <c r="T1055" s="25"/>
      <c r="U1055" s="25"/>
      <c r="V1055" s="25"/>
      <c r="W1055" s="25"/>
      <c r="X1055" s="25"/>
      <c r="Y1055" s="25"/>
      <c r="Z1055" s="25"/>
      <c r="AA1055" s="25"/>
      <c r="AB1055" s="25"/>
      <c r="AC1055" s="25"/>
      <c r="AD1055" s="25"/>
      <c r="AE1055" s="25"/>
      <c r="AF1055" s="25"/>
      <c r="AG1055" s="25"/>
      <c r="AH1055" s="25"/>
      <c r="AI1055" s="25"/>
      <c r="AJ1055" s="25"/>
      <c r="AK1055" s="25"/>
      <c r="AL1055" s="25"/>
      <c r="AM1055" s="25"/>
      <c r="AN1055" s="25"/>
      <c r="AO1055" s="25"/>
      <c r="AP1055" s="25"/>
      <c r="AQ1055" s="25"/>
      <c r="AR1055" s="25"/>
      <c r="AS1055" s="25"/>
      <c r="AT1055" s="25"/>
      <c r="AU1055" s="25"/>
      <c r="AV1055" s="25"/>
      <c r="AW1055" s="25"/>
      <c r="AX1055" s="25"/>
      <c r="AY1055" s="25"/>
      <c r="AZ1055" s="25"/>
      <c r="BA1055" s="25"/>
      <c r="BB1055" s="25"/>
      <c r="BC1055" s="25"/>
      <c r="BD1055" s="25"/>
      <c r="BE1055" s="25"/>
      <c r="BF1055" s="25"/>
      <c r="BG1055" s="25"/>
      <c r="BH1055" s="25"/>
      <c r="BI1055" s="25"/>
      <c r="BJ1055" s="25"/>
      <c r="BK1055" s="25"/>
      <c r="BL1055" s="25"/>
      <c r="BM1055" s="25"/>
      <c r="BN1055" s="25"/>
      <c r="BO1055" s="25"/>
      <c r="BP1055" s="25"/>
      <c r="BQ1055" s="25"/>
      <c r="BR1055" s="25"/>
      <c r="BS1055" s="25"/>
      <c r="BT1055" s="25"/>
      <c r="BU1055" s="25"/>
      <c r="BV1055" s="25"/>
      <c r="BW1055" s="25"/>
      <c r="BX1055" s="25"/>
      <c r="BY1055" s="25"/>
      <c r="BZ1055" s="25"/>
      <c r="CA1055" s="25"/>
      <c r="CB1055" s="25"/>
    </row>
    <row r="1056" spans="1:80" ht="12.75" hidden="1" customHeight="1">
      <c r="A1056" s="10">
        <f ca="1">IFERROR(__xludf.DUMMYFUNCTION("""COMPUTED_VALUE"""),2015)</f>
        <v>2015</v>
      </c>
      <c r="B1056" s="50">
        <f ca="1">IFERROR(__xludf.DUMMYFUNCTION("""COMPUTED_VALUE"""),42683)</f>
        <v>42683</v>
      </c>
      <c r="C1056" s="41">
        <f ca="1">IFERROR(__xludf.DUMMYFUNCTION("""COMPUTED_VALUE"""),42674)</f>
        <v>42674</v>
      </c>
      <c r="D1056" s="42" t="str">
        <f ca="1">IFERROR(__xludf.DUMMYFUNCTION("""COMPUTED_VALUE"""),"Surf Scoter")</f>
        <v>Surf Scoter</v>
      </c>
      <c r="E1056" s="53">
        <f ca="1">IFERROR(__xludf.DUMMYFUNCTION("""COMPUTED_VALUE"""),1)</f>
        <v>1</v>
      </c>
      <c r="F1056" s="15" t="str">
        <f ca="1">IFERROR(__xludf.DUMMYFUNCTION("""COMPUTED_VALUE"""),"ad male")</f>
        <v>ad male</v>
      </c>
      <c r="G1056" s="44" t="str">
        <f ca="1">IFERROR(__xludf.DUMMYFUNCTION("""COMPUTED_VALUE"""),"Hoylake")</f>
        <v>Hoylake</v>
      </c>
      <c r="H1056" s="12">
        <f ca="1">IFERROR(__xludf.DUMMYFUNCTION("""COMPUTED_VALUE"""),42089)</f>
        <v>42089</v>
      </c>
      <c r="I1056" s="12">
        <f ca="1">IFERROR(__xludf.DUMMYFUNCTION("""COMPUTED_VALUE"""),42089)</f>
        <v>42089</v>
      </c>
      <c r="J1056" s="14" t="str">
        <f ca="1">IFERROR(__xludf.DUMMYFUNCTION("""COMPUTED_VALUE"""),"Turner, JE")</f>
        <v>Turner, JE</v>
      </c>
      <c r="K1056" s="15" t="str">
        <f ca="1">IFERROR(__xludf.DUMMYFUNCTION("""COMPUTED_VALUE"""),"Turner, JE")</f>
        <v>Turner, JE</v>
      </c>
      <c r="L1056" s="17" t="str">
        <f ca="1">IFERROR(__xludf.DUMMYFUNCTION("""COMPUTED_VALUE"""),"closed")</f>
        <v>closed</v>
      </c>
      <c r="M1056" s="17" t="str">
        <f ca="1">IFERROR(__xludf.DUMMYFUNCTION("""COMPUTED_VALUE"""),"1st U")</f>
        <v>1st U</v>
      </c>
      <c r="N1056" s="15" t="str">
        <f ca="1">IFERROR(__xludf.DUMMYFUNCTION("""COMPUTED_VALUE"""),"accepted")</f>
        <v>accepted</v>
      </c>
      <c r="O1056" s="18" t="str">
        <f ca="1">IFERROR(__xludf.DUMMYFUNCTION("""COMPUTED_VALUE"""),"Adult male over the tide inside HE2/3 - asleep mostly but showing bright orange bill head on which I 1st thought might be Black Scoter as it brought its bill out then tucked back in - helped that it looked chunky with a stiff"" tail -  till it turned and")</f>
        <v>Adult male over the tide inside HE2/3 - asleep mostly but showing bright orange bill head on which I 1st thought might be Black Scoter as it brought its bill out then tucked back in - helped that it looked chunky with a stiff" tail -  till it turned and</v>
      </c>
      <c r="P1056" s="15"/>
      <c r="Q1056" s="15"/>
      <c r="R1056" s="15"/>
      <c r="S1056" s="15"/>
      <c r="T1056" s="15"/>
      <c r="U1056" s="15"/>
      <c r="V1056" s="15"/>
      <c r="W1056" s="15"/>
      <c r="X1056" s="15"/>
      <c r="Y1056" s="15"/>
      <c r="Z1056" s="15"/>
      <c r="AA1056" s="15"/>
      <c r="AB1056" s="15"/>
      <c r="AC1056" s="15"/>
      <c r="AD1056" s="15"/>
      <c r="AE1056" s="15"/>
      <c r="AF1056" s="15"/>
      <c r="AG1056" s="15"/>
      <c r="AH1056" s="15"/>
      <c r="AI1056" s="15"/>
      <c r="AJ1056" s="15"/>
      <c r="AK1056" s="15"/>
      <c r="AL1056" s="15"/>
      <c r="AM1056" s="15"/>
      <c r="AN1056" s="15"/>
      <c r="AO1056" s="15"/>
      <c r="AP1056" s="15"/>
      <c r="AQ1056" s="15"/>
      <c r="AR1056" s="15"/>
      <c r="AS1056" s="15"/>
      <c r="AT1056" s="15"/>
      <c r="AU1056" s="15"/>
      <c r="AV1056" s="15"/>
      <c r="AW1056" s="15"/>
      <c r="AX1056" s="15"/>
      <c r="AY1056" s="15"/>
      <c r="AZ1056" s="15"/>
      <c r="BA1056" s="15"/>
      <c r="BB1056" s="15"/>
      <c r="BC1056" s="15"/>
      <c r="BD1056" s="15"/>
      <c r="BE1056" s="15"/>
      <c r="BF1056" s="15"/>
      <c r="BG1056" s="15"/>
      <c r="BH1056" s="15"/>
      <c r="BI1056" s="15"/>
      <c r="BJ1056" s="15"/>
      <c r="BK1056" s="15"/>
      <c r="BL1056" s="15"/>
      <c r="BM1056" s="15"/>
      <c r="BN1056" s="15"/>
      <c r="BO1056" s="15"/>
      <c r="BP1056" s="15"/>
      <c r="BQ1056" s="15"/>
      <c r="BR1056" s="15"/>
      <c r="BS1056" s="15"/>
      <c r="BT1056" s="15"/>
      <c r="BU1056" s="15"/>
      <c r="BV1056" s="15"/>
      <c r="BW1056" s="15"/>
      <c r="BX1056" s="15"/>
      <c r="BY1056" s="15"/>
      <c r="BZ1056" s="15"/>
      <c r="CA1056" s="15"/>
      <c r="CB1056" s="15"/>
    </row>
    <row r="1057" spans="1:80" ht="12.75" hidden="1" customHeight="1">
      <c r="A1057" s="20">
        <f ca="1">IFERROR(__xludf.DUMMYFUNCTION("""COMPUTED_VALUE"""),2015)</f>
        <v>2015</v>
      </c>
      <c r="B1057" s="45">
        <f ca="1">IFERROR(__xludf.DUMMYFUNCTION("""COMPUTED_VALUE"""),42683)</f>
        <v>42683</v>
      </c>
      <c r="C1057" s="46">
        <f ca="1">IFERROR(__xludf.DUMMYFUNCTION("""COMPUTED_VALUE"""),42674)</f>
        <v>42674</v>
      </c>
      <c r="D1057" s="47" t="str">
        <f ca="1">IFERROR(__xludf.DUMMYFUNCTION("""COMPUTED_VALUE"""),"Surf Scoter")</f>
        <v>Surf Scoter</v>
      </c>
      <c r="E1057" s="52">
        <f ca="1">IFERROR(__xludf.DUMMYFUNCTION("""COMPUTED_VALUE"""),1)</f>
        <v>1</v>
      </c>
      <c r="F1057" s="25"/>
      <c r="G1057" s="48" t="str">
        <f ca="1">IFERROR(__xludf.DUMMYFUNCTION("""COMPUTED_VALUE"""),"Hoylake")</f>
        <v>Hoylake</v>
      </c>
      <c r="H1057" s="22">
        <f ca="1">IFERROR(__xludf.DUMMYFUNCTION("""COMPUTED_VALUE"""),42090)</f>
        <v>42090</v>
      </c>
      <c r="I1057" s="22">
        <f ca="1">IFERROR(__xludf.DUMMYFUNCTION("""COMPUTED_VALUE"""),42090)</f>
        <v>42090</v>
      </c>
      <c r="J1057" s="24" t="str">
        <f ca="1">IFERROR(__xludf.DUMMYFUNCTION("""COMPUTED_VALUE"""),"Turner, JE")</f>
        <v>Turner, JE</v>
      </c>
      <c r="K1057" s="25" t="str">
        <f ca="1">IFERROR(__xludf.DUMMYFUNCTION("""COMPUTED_VALUE"""),"Turner, JE")</f>
        <v>Turner, JE</v>
      </c>
      <c r="L1057" s="27" t="str">
        <f ca="1">IFERROR(__xludf.DUMMYFUNCTION("""COMPUTED_VALUE"""),"closed")</f>
        <v>closed</v>
      </c>
      <c r="M1057" s="27" t="str">
        <f ca="1">IFERROR(__xludf.DUMMYFUNCTION("""COMPUTED_VALUE"""),"1st U")</f>
        <v>1st U</v>
      </c>
      <c r="N1057" s="25" t="str">
        <f ca="1">IFERROR(__xludf.DUMMYFUNCTION("""COMPUTED_VALUE"""),"accepted")</f>
        <v>accepted</v>
      </c>
      <c r="O1057" s="28"/>
      <c r="P1057" s="25"/>
      <c r="Q1057" s="25"/>
      <c r="R1057" s="25"/>
      <c r="S1057" s="25"/>
      <c r="T1057" s="25"/>
      <c r="U1057" s="25"/>
      <c r="V1057" s="25"/>
      <c r="W1057" s="25"/>
      <c r="X1057" s="25"/>
      <c r="Y1057" s="25"/>
      <c r="Z1057" s="25"/>
      <c r="AA1057" s="25"/>
      <c r="AB1057" s="25"/>
      <c r="AC1057" s="25"/>
      <c r="AD1057" s="25"/>
      <c r="AE1057" s="25"/>
      <c r="AF1057" s="25"/>
      <c r="AG1057" s="25"/>
      <c r="AH1057" s="25"/>
      <c r="AI1057" s="25"/>
      <c r="AJ1057" s="25"/>
      <c r="AK1057" s="25"/>
      <c r="AL1057" s="25"/>
      <c r="AM1057" s="25"/>
      <c r="AN1057" s="25"/>
      <c r="AO1057" s="25"/>
      <c r="AP1057" s="25"/>
      <c r="AQ1057" s="25"/>
      <c r="AR1057" s="25"/>
      <c r="AS1057" s="25"/>
      <c r="AT1057" s="25"/>
      <c r="AU1057" s="25"/>
      <c r="AV1057" s="25"/>
      <c r="AW1057" s="25"/>
      <c r="AX1057" s="25"/>
      <c r="AY1057" s="25"/>
      <c r="AZ1057" s="25"/>
      <c r="BA1057" s="25"/>
      <c r="BB1057" s="25"/>
      <c r="BC1057" s="25"/>
      <c r="BD1057" s="25"/>
      <c r="BE1057" s="25"/>
      <c r="BF1057" s="25"/>
      <c r="BG1057" s="25"/>
      <c r="BH1057" s="25"/>
      <c r="BI1057" s="25"/>
      <c r="BJ1057" s="25"/>
      <c r="BK1057" s="25"/>
      <c r="BL1057" s="25"/>
      <c r="BM1057" s="25"/>
      <c r="BN1057" s="25"/>
      <c r="BO1057" s="25"/>
      <c r="BP1057" s="25"/>
      <c r="BQ1057" s="25"/>
      <c r="BR1057" s="25"/>
      <c r="BS1057" s="25"/>
      <c r="BT1057" s="25"/>
      <c r="BU1057" s="25"/>
      <c r="BV1057" s="25"/>
      <c r="BW1057" s="25"/>
      <c r="BX1057" s="25"/>
      <c r="BY1057" s="25"/>
      <c r="BZ1057" s="25"/>
      <c r="CA1057" s="25"/>
      <c r="CB1057" s="25"/>
    </row>
    <row r="1058" spans="1:80" ht="12.75" hidden="1" customHeight="1">
      <c r="A1058" s="10">
        <f ca="1">IFERROR(__xludf.DUMMYFUNCTION("""COMPUTED_VALUE"""),2015)</f>
        <v>2015</v>
      </c>
      <c r="B1058" s="50">
        <f ca="1">IFERROR(__xludf.DUMMYFUNCTION("""COMPUTED_VALUE"""),42683)</f>
        <v>42683</v>
      </c>
      <c r="C1058" s="41">
        <f ca="1">IFERROR(__xludf.DUMMYFUNCTION("""COMPUTED_VALUE"""),42674)</f>
        <v>42674</v>
      </c>
      <c r="D1058" s="42" t="str">
        <f ca="1">IFERROR(__xludf.DUMMYFUNCTION("""COMPUTED_VALUE"""),"Surf Scoter")</f>
        <v>Surf Scoter</v>
      </c>
      <c r="E1058" s="53">
        <f ca="1">IFERROR(__xludf.DUMMYFUNCTION("""COMPUTED_VALUE"""),1)</f>
        <v>1</v>
      </c>
      <c r="F1058" s="15"/>
      <c r="G1058" s="44" t="str">
        <f ca="1">IFERROR(__xludf.DUMMYFUNCTION("""COMPUTED_VALUE"""),"Hoylake")</f>
        <v>Hoylake</v>
      </c>
      <c r="H1058" s="12">
        <f ca="1">IFERROR(__xludf.DUMMYFUNCTION("""COMPUTED_VALUE"""),42095)</f>
        <v>42095</v>
      </c>
      <c r="I1058" s="12">
        <f ca="1">IFERROR(__xludf.DUMMYFUNCTION("""COMPUTED_VALUE"""),42095)</f>
        <v>42095</v>
      </c>
      <c r="J1058" s="14" t="str">
        <f ca="1">IFERROR(__xludf.DUMMYFUNCTION("""COMPUTED_VALUE"""),"Turner, JE")</f>
        <v>Turner, JE</v>
      </c>
      <c r="K1058" s="15" t="str">
        <f ca="1">IFERROR(__xludf.DUMMYFUNCTION("""COMPUTED_VALUE"""),"Turner, JE")</f>
        <v>Turner, JE</v>
      </c>
      <c r="L1058" s="17" t="str">
        <f ca="1">IFERROR(__xludf.DUMMYFUNCTION("""COMPUTED_VALUE"""),"closed")</f>
        <v>closed</v>
      </c>
      <c r="M1058" s="17" t="str">
        <f ca="1">IFERROR(__xludf.DUMMYFUNCTION("""COMPUTED_VALUE"""),"1st U")</f>
        <v>1st U</v>
      </c>
      <c r="N1058" s="15" t="str">
        <f ca="1">IFERROR(__xludf.DUMMYFUNCTION("""COMPUTED_VALUE"""),"accepted")</f>
        <v>accepted</v>
      </c>
      <c r="O1058" s="18"/>
      <c r="P1058" s="15"/>
      <c r="Q1058" s="15"/>
      <c r="R1058" s="15"/>
      <c r="S1058" s="15"/>
      <c r="T1058" s="15"/>
      <c r="U1058" s="15"/>
      <c r="V1058" s="15"/>
      <c r="W1058" s="15"/>
      <c r="X1058" s="15"/>
      <c r="Y1058" s="15"/>
      <c r="Z1058" s="15"/>
      <c r="AA1058" s="15"/>
      <c r="AB1058" s="15"/>
      <c r="AC1058" s="15"/>
      <c r="AD1058" s="15"/>
      <c r="AE1058" s="15"/>
      <c r="AF1058" s="15"/>
      <c r="AG1058" s="15"/>
      <c r="AH1058" s="15"/>
      <c r="AI1058" s="15"/>
      <c r="AJ1058" s="15"/>
      <c r="AK1058" s="15"/>
      <c r="AL1058" s="15"/>
      <c r="AM1058" s="15"/>
      <c r="AN1058" s="15"/>
      <c r="AO1058" s="15"/>
      <c r="AP1058" s="15"/>
      <c r="AQ1058" s="15"/>
      <c r="AR1058" s="15"/>
      <c r="AS1058" s="15"/>
      <c r="AT1058" s="15"/>
      <c r="AU1058" s="15"/>
      <c r="AV1058" s="15"/>
      <c r="AW1058" s="15"/>
      <c r="AX1058" s="15"/>
      <c r="AY1058" s="15"/>
      <c r="AZ1058" s="15"/>
      <c r="BA1058" s="15"/>
      <c r="BB1058" s="15"/>
      <c r="BC1058" s="15"/>
      <c r="BD1058" s="15"/>
      <c r="BE1058" s="15"/>
      <c r="BF1058" s="15"/>
      <c r="BG1058" s="15"/>
      <c r="BH1058" s="15"/>
      <c r="BI1058" s="15"/>
      <c r="BJ1058" s="15"/>
      <c r="BK1058" s="15"/>
      <c r="BL1058" s="15"/>
      <c r="BM1058" s="15"/>
      <c r="BN1058" s="15"/>
      <c r="BO1058" s="15"/>
      <c r="BP1058" s="15"/>
      <c r="BQ1058" s="15"/>
      <c r="BR1058" s="15"/>
      <c r="BS1058" s="15"/>
      <c r="BT1058" s="15"/>
      <c r="BU1058" s="15"/>
      <c r="BV1058" s="15"/>
      <c r="BW1058" s="15"/>
      <c r="BX1058" s="15"/>
      <c r="BY1058" s="15"/>
      <c r="BZ1058" s="15"/>
      <c r="CA1058" s="15"/>
      <c r="CB1058" s="15"/>
    </row>
    <row r="1059" spans="1:80" ht="12.75" hidden="1" customHeight="1">
      <c r="A1059" s="20">
        <f ca="1">IFERROR(__xludf.DUMMYFUNCTION("""COMPUTED_VALUE"""),2015)</f>
        <v>2015</v>
      </c>
      <c r="B1059" s="45">
        <f ca="1">IFERROR(__xludf.DUMMYFUNCTION("""COMPUTED_VALUE"""),42618)</f>
        <v>42618</v>
      </c>
      <c r="C1059" s="46">
        <f ca="1">IFERROR(__xludf.DUMMYFUNCTION("""COMPUTED_VALUE"""),42683)</f>
        <v>42683</v>
      </c>
      <c r="D1059" s="47" t="str">
        <f ca="1">IFERROR(__xludf.DUMMYFUNCTION("""COMPUTED_VALUE"""),"Surf Scoter")</f>
        <v>Surf Scoter</v>
      </c>
      <c r="E1059" s="52">
        <f ca="1">IFERROR(__xludf.DUMMYFUNCTION("""COMPUTED_VALUE"""),1)</f>
        <v>1</v>
      </c>
      <c r="F1059" s="25"/>
      <c r="G1059" s="48" t="str">
        <f ca="1">IFERROR(__xludf.DUMMYFUNCTION("""COMPUTED_VALUE"""),"Hoylake")</f>
        <v>Hoylake</v>
      </c>
      <c r="H1059" s="22">
        <f ca="1">IFERROR(__xludf.DUMMYFUNCTION("""COMPUTED_VALUE"""),42096)</f>
        <v>42096</v>
      </c>
      <c r="I1059" s="22">
        <f ca="1">IFERROR(__xludf.DUMMYFUNCTION("""COMPUTED_VALUE"""),42096)</f>
        <v>42096</v>
      </c>
      <c r="J1059" s="24" t="str">
        <f ca="1">IFERROR(__xludf.DUMMYFUNCTION("""COMPUTED_VALUE"""),"Turner, MG")</f>
        <v>Turner, MG</v>
      </c>
      <c r="K1059" s="25" t="str">
        <f ca="1">IFERROR(__xludf.DUMMYFUNCTION("""COMPUTED_VALUE"""),"Turner, MG")</f>
        <v>Turner, MG</v>
      </c>
      <c r="L1059" s="27" t="str">
        <f ca="1">IFERROR(__xludf.DUMMYFUNCTION("""COMPUTED_VALUE"""),"closed")</f>
        <v>closed</v>
      </c>
      <c r="M1059" s="27"/>
      <c r="N1059" s="25" t="str">
        <f ca="1">IFERROR(__xludf.DUMMYFUNCTION("""COMPUTED_VALUE"""),"accepted")</f>
        <v>accepted</v>
      </c>
      <c r="O1059" s="28"/>
      <c r="P1059" s="25"/>
      <c r="Q1059" s="40"/>
      <c r="R1059" s="40"/>
      <c r="S1059" s="25"/>
      <c r="T1059" s="25"/>
      <c r="U1059" s="25"/>
      <c r="V1059" s="25"/>
      <c r="W1059" s="25"/>
      <c r="X1059" s="25"/>
      <c r="Y1059" s="25"/>
      <c r="Z1059" s="25"/>
      <c r="AA1059" s="25"/>
      <c r="AB1059" s="25"/>
      <c r="AC1059" s="25"/>
      <c r="AD1059" s="25"/>
      <c r="AE1059" s="25"/>
      <c r="AF1059" s="25"/>
      <c r="AG1059" s="25"/>
      <c r="AH1059" s="25"/>
      <c r="AI1059" s="25"/>
      <c r="AJ1059" s="25"/>
      <c r="AK1059" s="25"/>
      <c r="AL1059" s="25"/>
      <c r="AM1059" s="25"/>
      <c r="AN1059" s="25"/>
      <c r="AO1059" s="25"/>
      <c r="AP1059" s="25"/>
      <c r="AQ1059" s="25"/>
      <c r="AR1059" s="25"/>
      <c r="AS1059" s="25"/>
      <c r="AT1059" s="25"/>
      <c r="AU1059" s="25"/>
      <c r="AV1059" s="25"/>
      <c r="AW1059" s="25"/>
      <c r="AX1059" s="25"/>
      <c r="AY1059" s="25"/>
      <c r="AZ1059" s="25"/>
      <c r="BA1059" s="25"/>
      <c r="BB1059" s="25"/>
      <c r="BC1059" s="25"/>
      <c r="BD1059" s="25"/>
      <c r="BE1059" s="25"/>
      <c r="BF1059" s="25"/>
      <c r="BG1059" s="25"/>
      <c r="BH1059" s="25"/>
      <c r="BI1059" s="25"/>
      <c r="BJ1059" s="25"/>
      <c r="BK1059" s="25"/>
      <c r="BL1059" s="25"/>
      <c r="BM1059" s="25"/>
      <c r="BN1059" s="25"/>
      <c r="BO1059" s="25"/>
      <c r="BP1059" s="25"/>
      <c r="BQ1059" s="25"/>
      <c r="BR1059" s="25"/>
      <c r="BS1059" s="25"/>
      <c r="BT1059" s="25"/>
      <c r="BU1059" s="25"/>
      <c r="BV1059" s="25"/>
      <c r="BW1059" s="25"/>
      <c r="BX1059" s="25"/>
      <c r="BY1059" s="25"/>
      <c r="BZ1059" s="25"/>
      <c r="CA1059" s="25"/>
      <c r="CB1059" s="25"/>
    </row>
    <row r="1060" spans="1:80" ht="12.75" hidden="1" customHeight="1">
      <c r="A1060" s="10">
        <f ca="1">IFERROR(__xludf.DUMMYFUNCTION("""COMPUTED_VALUE"""),2015)</f>
        <v>2015</v>
      </c>
      <c r="B1060" s="50">
        <f ca="1">IFERROR(__xludf.DUMMYFUNCTION("""COMPUTED_VALUE"""),42618)</f>
        <v>42618</v>
      </c>
      <c r="C1060" s="41">
        <f ca="1">IFERROR(__xludf.DUMMYFUNCTION("""COMPUTED_VALUE"""),42683)</f>
        <v>42683</v>
      </c>
      <c r="D1060" s="42" t="str">
        <f ca="1">IFERROR(__xludf.DUMMYFUNCTION("""COMPUTED_VALUE"""),"Surf Scoter")</f>
        <v>Surf Scoter</v>
      </c>
      <c r="E1060" s="53">
        <f ca="1">IFERROR(__xludf.DUMMYFUNCTION("""COMPUTED_VALUE"""),4)</f>
        <v>4</v>
      </c>
      <c r="F1060" s="15" t="str">
        <f ca="1">IFERROR(__xludf.DUMMYFUNCTION("""COMPUTED_VALUE"""),"ad males")</f>
        <v>ad males</v>
      </c>
      <c r="G1060" s="44" t="str">
        <f ca="1">IFERROR(__xludf.DUMMYFUNCTION("""COMPUTED_VALUE"""),"Hoylake")</f>
        <v>Hoylake</v>
      </c>
      <c r="H1060" s="12">
        <f ca="1">IFERROR(__xludf.DUMMYFUNCTION("""COMPUTED_VALUE"""),42098)</f>
        <v>42098</v>
      </c>
      <c r="I1060" s="12">
        <f ca="1">IFERROR(__xludf.DUMMYFUNCTION("""COMPUTED_VALUE"""),42098)</f>
        <v>42098</v>
      </c>
      <c r="J1060" s="14" t="str">
        <f ca="1">IFERROR(__xludf.DUMMYFUNCTION("""COMPUTED_VALUE"""),"Sean O'Hara")</f>
        <v>Sean O'Hara</v>
      </c>
      <c r="K1060" s="15"/>
      <c r="L1060" s="17" t="str">
        <f ca="1">IFERROR(__xludf.DUMMYFUNCTION("""COMPUTED_VALUE"""),"closed")</f>
        <v>closed</v>
      </c>
      <c r="M1060" s="17" t="str">
        <f ca="1">IFERROR(__xludf.DUMMYFUNCTION("""COMPUTED_VALUE"""),"1st U")</f>
        <v>1st U</v>
      </c>
      <c r="N1060" s="15" t="str">
        <f ca="1">IFERROR(__xludf.DUMMYFUNCTION("""COMPUTED_VALUE"""),"accepted")</f>
        <v>accepted</v>
      </c>
      <c r="O1060" s="18"/>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c r="AO1060" s="15"/>
      <c r="AP1060" s="15"/>
      <c r="AQ1060" s="15"/>
      <c r="AR1060" s="15"/>
      <c r="AS1060" s="15"/>
      <c r="AT1060" s="15"/>
      <c r="AU1060" s="15"/>
      <c r="AV1060" s="15"/>
      <c r="AW1060" s="15"/>
      <c r="AX1060" s="15"/>
      <c r="AY1060" s="15"/>
      <c r="AZ1060" s="15"/>
      <c r="BA1060" s="15"/>
      <c r="BB1060" s="15"/>
      <c r="BC1060" s="15"/>
      <c r="BD1060" s="15"/>
      <c r="BE1060" s="15"/>
      <c r="BF1060" s="15"/>
      <c r="BG1060" s="15"/>
      <c r="BH1060" s="15"/>
      <c r="BI1060" s="15"/>
      <c r="BJ1060" s="15"/>
      <c r="BK1060" s="15"/>
      <c r="BL1060" s="15"/>
      <c r="BM1060" s="15"/>
      <c r="BN1060" s="15"/>
      <c r="BO1060" s="15"/>
      <c r="BP1060" s="15"/>
      <c r="BQ1060" s="15"/>
      <c r="BR1060" s="15"/>
      <c r="BS1060" s="15"/>
      <c r="BT1060" s="15"/>
      <c r="BU1060" s="15"/>
      <c r="BV1060" s="15"/>
      <c r="BW1060" s="15"/>
      <c r="BX1060" s="15"/>
      <c r="BY1060" s="15"/>
      <c r="BZ1060" s="15"/>
      <c r="CA1060" s="15"/>
      <c r="CB1060" s="15"/>
    </row>
    <row r="1061" spans="1:80" ht="12.75" hidden="1" customHeight="1">
      <c r="A1061" s="20">
        <f ca="1">IFERROR(__xludf.DUMMYFUNCTION("""COMPUTED_VALUE"""),2015)</f>
        <v>2015</v>
      </c>
      <c r="B1061" s="45">
        <f ca="1">IFERROR(__xludf.DUMMYFUNCTION("""COMPUTED_VALUE"""),42683)</f>
        <v>42683</v>
      </c>
      <c r="C1061" s="46">
        <f ca="1">IFERROR(__xludf.DUMMYFUNCTION("""COMPUTED_VALUE"""),42674)</f>
        <v>42674</v>
      </c>
      <c r="D1061" s="47" t="str">
        <f ca="1">IFERROR(__xludf.DUMMYFUNCTION("""COMPUTED_VALUE"""),"Surf Scoter")</f>
        <v>Surf Scoter</v>
      </c>
      <c r="E1061" s="52">
        <f ca="1">IFERROR(__xludf.DUMMYFUNCTION("""COMPUTED_VALUE"""),3)</f>
        <v>3</v>
      </c>
      <c r="F1061" s="25" t="str">
        <f ca="1">IFERROR(__xludf.DUMMYFUNCTION("""COMPUTED_VALUE"""),"1sm ff")</f>
        <v>1sm ff</v>
      </c>
      <c r="G1061" s="48" t="str">
        <f ca="1">IFERROR(__xludf.DUMMYFUNCTION("""COMPUTED_VALUE"""),"Hoylake")</f>
        <v>Hoylake</v>
      </c>
      <c r="H1061" s="22">
        <f ca="1">IFERROR(__xludf.DUMMYFUNCTION("""COMPUTED_VALUE"""),42102)</f>
        <v>42102</v>
      </c>
      <c r="I1061" s="22">
        <f ca="1">IFERROR(__xludf.DUMMYFUNCTION("""COMPUTED_VALUE"""),42102)</f>
        <v>42102</v>
      </c>
      <c r="J1061" s="24" t="str">
        <f ca="1">IFERROR(__xludf.DUMMYFUNCTION("""COMPUTED_VALUE"""),"Turner, JE")</f>
        <v>Turner, JE</v>
      </c>
      <c r="K1061" s="25" t="str">
        <f ca="1">IFERROR(__xludf.DUMMYFUNCTION("""COMPUTED_VALUE"""),"Turner, JE")</f>
        <v>Turner, JE</v>
      </c>
      <c r="L1061" s="27" t="str">
        <f ca="1">IFERROR(__xludf.DUMMYFUNCTION("""COMPUTED_VALUE"""),"closed")</f>
        <v>closed</v>
      </c>
      <c r="M1061" s="27" t="str">
        <f ca="1">IFERROR(__xludf.DUMMYFUNCTION("""COMPUTED_VALUE"""),"1st U")</f>
        <v>1st U</v>
      </c>
      <c r="N1061" s="25" t="str">
        <f ca="1">IFERROR(__xludf.DUMMYFUNCTION("""COMPUTED_VALUE"""),"accepted")</f>
        <v>accepted</v>
      </c>
      <c r="O1061" s="28" t="str">
        <f ca="1">IFERROR(__xludf.DUMMYFUNCTION("""COMPUTED_VALUE"""),"1st summ male and 2 apparent females  -")</f>
        <v>1st summ male and 2 apparent females  -</v>
      </c>
      <c r="P1061" s="25"/>
      <c r="Q1061" s="25"/>
      <c r="R1061" s="25"/>
      <c r="S1061" s="25"/>
      <c r="T1061" s="25"/>
      <c r="U1061" s="25"/>
      <c r="V1061" s="25"/>
      <c r="W1061" s="25"/>
      <c r="X1061" s="25"/>
      <c r="Y1061" s="25"/>
      <c r="Z1061" s="25"/>
      <c r="AA1061" s="25"/>
      <c r="AB1061" s="25"/>
      <c r="AC1061" s="25"/>
      <c r="AD1061" s="25"/>
      <c r="AE1061" s="25"/>
      <c r="AF1061" s="25"/>
      <c r="AG1061" s="25"/>
      <c r="AH1061" s="25"/>
      <c r="AI1061" s="25"/>
      <c r="AJ1061" s="25"/>
      <c r="AK1061" s="25"/>
      <c r="AL1061" s="25"/>
      <c r="AM1061" s="25"/>
      <c r="AN1061" s="25"/>
      <c r="AO1061" s="25"/>
      <c r="AP1061" s="25"/>
      <c r="AQ1061" s="25"/>
      <c r="AR1061" s="25"/>
      <c r="AS1061" s="25"/>
      <c r="AT1061" s="25"/>
      <c r="AU1061" s="25"/>
      <c r="AV1061" s="25"/>
      <c r="AW1061" s="25"/>
      <c r="AX1061" s="25"/>
      <c r="AY1061" s="25"/>
      <c r="AZ1061" s="25"/>
      <c r="BA1061" s="25"/>
      <c r="BB1061" s="25"/>
      <c r="BC1061" s="25"/>
      <c r="BD1061" s="25"/>
      <c r="BE1061" s="25"/>
      <c r="BF1061" s="25"/>
      <c r="BG1061" s="25"/>
      <c r="BH1061" s="25"/>
      <c r="BI1061" s="25"/>
      <c r="BJ1061" s="25"/>
      <c r="BK1061" s="25"/>
      <c r="BL1061" s="25"/>
      <c r="BM1061" s="25"/>
      <c r="BN1061" s="25"/>
      <c r="BO1061" s="25"/>
      <c r="BP1061" s="25"/>
      <c r="BQ1061" s="25"/>
      <c r="BR1061" s="25"/>
      <c r="BS1061" s="25"/>
      <c r="BT1061" s="25"/>
      <c r="BU1061" s="25"/>
      <c r="BV1061" s="25"/>
      <c r="BW1061" s="25"/>
      <c r="BX1061" s="25"/>
      <c r="BY1061" s="25"/>
      <c r="BZ1061" s="25"/>
      <c r="CA1061" s="25"/>
      <c r="CB1061" s="25"/>
    </row>
    <row r="1062" spans="1:80" ht="12.75" hidden="1" customHeight="1">
      <c r="A1062" s="10">
        <f ca="1">IFERROR(__xludf.DUMMYFUNCTION("""COMPUTED_VALUE"""),2015)</f>
        <v>2015</v>
      </c>
      <c r="B1062" s="50">
        <f ca="1">IFERROR(__xludf.DUMMYFUNCTION("""COMPUTED_VALUE"""),42683)</f>
        <v>42683</v>
      </c>
      <c r="C1062" s="41">
        <f ca="1">IFERROR(__xludf.DUMMYFUNCTION("""COMPUTED_VALUE"""),42674)</f>
        <v>42674</v>
      </c>
      <c r="D1062" s="42" t="str">
        <f ca="1">IFERROR(__xludf.DUMMYFUNCTION("""COMPUTED_VALUE"""),"Surf Scoter")</f>
        <v>Surf Scoter</v>
      </c>
      <c r="E1062" s="53">
        <f ca="1">IFERROR(__xludf.DUMMYFUNCTION("""COMPUTED_VALUE"""),5)</f>
        <v>5</v>
      </c>
      <c r="F1062" s="15" t="str">
        <f ca="1">IFERROR(__xludf.DUMMYFUNCTION("""COMPUTED_VALUE"""),"2f 1sub Am 2m")</f>
        <v>2f 1sub Am 2m</v>
      </c>
      <c r="G1062" s="44" t="str">
        <f ca="1">IFERROR(__xludf.DUMMYFUNCTION("""COMPUTED_VALUE"""),"Hoylake")</f>
        <v>Hoylake</v>
      </c>
      <c r="H1062" s="12">
        <f ca="1">IFERROR(__xludf.DUMMYFUNCTION("""COMPUTED_VALUE"""),42107)</f>
        <v>42107</v>
      </c>
      <c r="I1062" s="12">
        <f ca="1">IFERROR(__xludf.DUMMYFUNCTION("""COMPUTED_VALUE"""),42107)</f>
        <v>42107</v>
      </c>
      <c r="J1062" s="14" t="str">
        <f ca="1">IFERROR(__xludf.DUMMYFUNCTION("""COMPUTED_VALUE"""),"Turner, JE")</f>
        <v>Turner, JE</v>
      </c>
      <c r="K1062" s="15" t="str">
        <f ca="1">IFERROR(__xludf.DUMMYFUNCTION("""COMPUTED_VALUE"""),"Turner, JE")</f>
        <v>Turner, JE</v>
      </c>
      <c r="L1062" s="17" t="str">
        <f ca="1">IFERROR(__xludf.DUMMYFUNCTION("""COMPUTED_VALUE"""),"closed")</f>
        <v>closed</v>
      </c>
      <c r="M1062" s="17" t="str">
        <f ca="1">IFERROR(__xludf.DUMMYFUNCTION("""COMPUTED_VALUE"""),"1st U")</f>
        <v>1st U</v>
      </c>
      <c r="N1062" s="15" t="str">
        <f ca="1">IFERROR(__xludf.DUMMYFUNCTION("""COMPUTED_VALUE"""),"accepted")</f>
        <v>accepted</v>
      </c>
      <c r="O1062" s="18" t="str">
        <f ca="1">IFERROR(__xludf.DUMMYFUNCTION("""COMPUTED_VALUE""")," sub ad male and 2 fems between and well inside HE2&amp;3, 2 Ad males further out and further East")</f>
        <v xml:space="preserve"> sub ad male and 2 fems between and well inside HE2&amp;3, 2 Ad males further out and further East</v>
      </c>
      <c r="P1062" s="15"/>
      <c r="Q1062" s="15"/>
      <c r="R1062" s="15"/>
      <c r="S1062" s="15"/>
      <c r="T1062" s="15"/>
      <c r="U1062" s="15"/>
      <c r="V1062" s="15"/>
      <c r="W1062" s="15"/>
      <c r="X1062" s="15"/>
      <c r="Y1062" s="15"/>
      <c r="Z1062" s="15"/>
      <c r="AA1062" s="15"/>
      <c r="AB1062" s="15"/>
      <c r="AC1062" s="15"/>
      <c r="AD1062" s="15"/>
      <c r="AE1062" s="15"/>
      <c r="AF1062" s="15"/>
      <c r="AG1062" s="15"/>
      <c r="AH1062" s="15"/>
      <c r="AI1062" s="15"/>
      <c r="AJ1062" s="15"/>
      <c r="AK1062" s="15"/>
      <c r="AL1062" s="15"/>
      <c r="AM1062" s="15"/>
      <c r="AN1062" s="15"/>
      <c r="AO1062" s="15"/>
      <c r="AP1062" s="15"/>
      <c r="AQ1062" s="15"/>
      <c r="AR1062" s="15"/>
      <c r="AS1062" s="15"/>
      <c r="AT1062" s="15"/>
      <c r="AU1062" s="15"/>
      <c r="AV1062" s="15"/>
      <c r="AW1062" s="15"/>
      <c r="AX1062" s="15"/>
      <c r="AY1062" s="15"/>
      <c r="AZ1062" s="15"/>
      <c r="BA1062" s="15"/>
      <c r="BB1062" s="15"/>
      <c r="BC1062" s="15"/>
      <c r="BD1062" s="15"/>
      <c r="BE1062" s="15"/>
      <c r="BF1062" s="15"/>
      <c r="BG1062" s="15"/>
      <c r="BH1062" s="15"/>
      <c r="BI1062" s="15"/>
      <c r="BJ1062" s="15"/>
      <c r="BK1062" s="15"/>
      <c r="BL1062" s="15"/>
      <c r="BM1062" s="15"/>
      <c r="BN1062" s="15"/>
      <c r="BO1062" s="15"/>
      <c r="BP1062" s="15"/>
      <c r="BQ1062" s="15"/>
      <c r="BR1062" s="15"/>
      <c r="BS1062" s="15"/>
      <c r="BT1062" s="15"/>
      <c r="BU1062" s="15"/>
      <c r="BV1062" s="15"/>
      <c r="BW1062" s="15"/>
      <c r="BX1062" s="15"/>
      <c r="BY1062" s="15"/>
      <c r="BZ1062" s="15"/>
      <c r="CA1062" s="15"/>
      <c r="CB1062" s="15"/>
    </row>
    <row r="1063" spans="1:80" ht="12.75" hidden="1" customHeight="1">
      <c r="A1063" s="20">
        <f ca="1">IFERROR(__xludf.DUMMYFUNCTION("""COMPUTED_VALUE"""),2015)</f>
        <v>2015</v>
      </c>
      <c r="B1063" s="45">
        <f ca="1">IFERROR(__xludf.DUMMYFUNCTION("""COMPUTED_VALUE"""),42683)</f>
        <v>42683</v>
      </c>
      <c r="C1063" s="46">
        <f ca="1">IFERROR(__xludf.DUMMYFUNCTION("""COMPUTED_VALUE"""),42674)</f>
        <v>42674</v>
      </c>
      <c r="D1063" s="47" t="str">
        <f ca="1">IFERROR(__xludf.DUMMYFUNCTION("""COMPUTED_VALUE"""),"Surf Scoter")</f>
        <v>Surf Scoter</v>
      </c>
      <c r="E1063" s="52">
        <f ca="1">IFERROR(__xludf.DUMMYFUNCTION("""COMPUTED_VALUE"""),2)</f>
        <v>2</v>
      </c>
      <c r="F1063" s="25"/>
      <c r="G1063" s="48" t="str">
        <f ca="1">IFERROR(__xludf.DUMMYFUNCTION("""COMPUTED_VALUE"""),"Hoylake")</f>
        <v>Hoylake</v>
      </c>
      <c r="H1063" s="22">
        <f ca="1">IFERROR(__xludf.DUMMYFUNCTION("""COMPUTED_VALUE"""),42108)</f>
        <v>42108</v>
      </c>
      <c r="I1063" s="22">
        <f ca="1">IFERROR(__xludf.DUMMYFUNCTION("""COMPUTED_VALUE"""),42108)</f>
        <v>42108</v>
      </c>
      <c r="J1063" s="24" t="str">
        <f ca="1">IFERROR(__xludf.DUMMYFUNCTION("""COMPUTED_VALUE"""),"Turner, JE")</f>
        <v>Turner, JE</v>
      </c>
      <c r="K1063" s="25" t="str">
        <f ca="1">IFERROR(__xludf.DUMMYFUNCTION("""COMPUTED_VALUE"""),"Turner, JE")</f>
        <v>Turner, JE</v>
      </c>
      <c r="L1063" s="27" t="str">
        <f ca="1">IFERROR(__xludf.DUMMYFUNCTION("""COMPUTED_VALUE"""),"closed")</f>
        <v>closed</v>
      </c>
      <c r="M1063" s="27" t="str">
        <f ca="1">IFERROR(__xludf.DUMMYFUNCTION("""COMPUTED_VALUE"""),"1st U")</f>
        <v>1st U</v>
      </c>
      <c r="N1063" s="25" t="str">
        <f ca="1">IFERROR(__xludf.DUMMYFUNCTION("""COMPUTED_VALUE"""),"accepted")</f>
        <v>accepted</v>
      </c>
      <c r="O1063" s="28"/>
      <c r="P1063" s="25"/>
      <c r="Q1063" s="25"/>
      <c r="R1063" s="25"/>
      <c r="S1063" s="25"/>
      <c r="T1063" s="25"/>
      <c r="U1063" s="25"/>
      <c r="V1063" s="25"/>
      <c r="W1063" s="25"/>
      <c r="X1063" s="25"/>
      <c r="Y1063" s="25"/>
      <c r="Z1063" s="25"/>
      <c r="AA1063" s="25"/>
      <c r="AB1063" s="25"/>
      <c r="AC1063" s="25"/>
      <c r="AD1063" s="25"/>
      <c r="AE1063" s="25"/>
      <c r="AF1063" s="25"/>
      <c r="AG1063" s="25"/>
      <c r="AH1063" s="25"/>
      <c r="AI1063" s="25"/>
      <c r="AJ1063" s="25"/>
      <c r="AK1063" s="25"/>
      <c r="AL1063" s="25"/>
      <c r="AM1063" s="25"/>
      <c r="AN1063" s="25"/>
      <c r="AO1063" s="25"/>
      <c r="AP1063" s="25"/>
      <c r="AQ1063" s="25"/>
      <c r="AR1063" s="25"/>
      <c r="AS1063" s="25"/>
      <c r="AT1063" s="25"/>
      <c r="AU1063" s="25"/>
      <c r="AV1063" s="25"/>
      <c r="AW1063" s="25"/>
      <c r="AX1063" s="25"/>
      <c r="AY1063" s="25"/>
      <c r="AZ1063" s="25"/>
      <c r="BA1063" s="25"/>
      <c r="BB1063" s="25"/>
      <c r="BC1063" s="25"/>
      <c r="BD1063" s="25"/>
      <c r="BE1063" s="25"/>
      <c r="BF1063" s="25"/>
      <c r="BG1063" s="25"/>
      <c r="BH1063" s="25"/>
      <c r="BI1063" s="25"/>
      <c r="BJ1063" s="25"/>
      <c r="BK1063" s="25"/>
      <c r="BL1063" s="25"/>
      <c r="BM1063" s="25"/>
      <c r="BN1063" s="25"/>
      <c r="BO1063" s="25"/>
      <c r="BP1063" s="25"/>
      <c r="BQ1063" s="25"/>
      <c r="BR1063" s="25"/>
      <c r="BS1063" s="25"/>
      <c r="BT1063" s="25"/>
      <c r="BU1063" s="25"/>
      <c r="BV1063" s="25"/>
      <c r="BW1063" s="25"/>
      <c r="BX1063" s="25"/>
      <c r="BY1063" s="25"/>
      <c r="BZ1063" s="25"/>
      <c r="CA1063" s="25"/>
      <c r="CB1063" s="25"/>
    </row>
    <row r="1064" spans="1:80" ht="12.75" hidden="1" customHeight="1">
      <c r="A1064" s="10">
        <f ca="1">IFERROR(__xludf.DUMMYFUNCTION("""COMPUTED_VALUE"""),2015)</f>
        <v>2015</v>
      </c>
      <c r="B1064" s="50">
        <f ca="1">IFERROR(__xludf.DUMMYFUNCTION("""COMPUTED_VALUE"""),42683)</f>
        <v>42683</v>
      </c>
      <c r="C1064" s="41">
        <f ca="1">IFERROR(__xludf.DUMMYFUNCTION("""COMPUTED_VALUE"""),42674)</f>
        <v>42674</v>
      </c>
      <c r="D1064" s="42" t="str">
        <f ca="1">IFERROR(__xludf.DUMMYFUNCTION("""COMPUTED_VALUE"""),"Surf Scoter")</f>
        <v>Surf Scoter</v>
      </c>
      <c r="E1064" s="53">
        <f ca="1">IFERROR(__xludf.DUMMYFUNCTION("""COMPUTED_VALUE"""),4)</f>
        <v>4</v>
      </c>
      <c r="F1064" s="15" t="str">
        <f ca="1">IFERROR(__xludf.DUMMYFUNCTION("""COMPUTED_VALUE"""),"mm/ff")</f>
        <v>mm/ff</v>
      </c>
      <c r="G1064" s="44" t="str">
        <f ca="1">IFERROR(__xludf.DUMMYFUNCTION("""COMPUTED_VALUE"""),"Hoylake")</f>
        <v>Hoylake</v>
      </c>
      <c r="H1064" s="12">
        <f ca="1">IFERROR(__xludf.DUMMYFUNCTION("""COMPUTED_VALUE"""),42112)</f>
        <v>42112</v>
      </c>
      <c r="I1064" s="12">
        <f ca="1">IFERROR(__xludf.DUMMYFUNCTION("""COMPUTED_VALUE"""),42112)</f>
        <v>42112</v>
      </c>
      <c r="J1064" s="14" t="str">
        <f ca="1">IFERROR(__xludf.DUMMYFUNCTION("""COMPUTED_VALUE"""),"Turner, JE")</f>
        <v>Turner, JE</v>
      </c>
      <c r="K1064" s="15" t="str">
        <f ca="1">IFERROR(__xludf.DUMMYFUNCTION("""COMPUTED_VALUE"""),"Turner, JE")</f>
        <v>Turner, JE</v>
      </c>
      <c r="L1064" s="17" t="str">
        <f ca="1">IFERROR(__xludf.DUMMYFUNCTION("""COMPUTED_VALUE"""),"closed")</f>
        <v>closed</v>
      </c>
      <c r="M1064" s="17" t="str">
        <f ca="1">IFERROR(__xludf.DUMMYFUNCTION("""COMPUTED_VALUE"""),"1st U")</f>
        <v>1st U</v>
      </c>
      <c r="N1064" s="15" t="str">
        <f ca="1">IFERROR(__xludf.DUMMYFUNCTION("""COMPUTED_VALUE"""),"accepted")</f>
        <v>accepted</v>
      </c>
      <c r="O1064" s="18" t="str">
        <f ca="1">IFERROR(__xludf.DUMMYFUNCTION("""COMPUTED_VALUE"""),"2 ad males with 2 females... then 2 ad males.  So either I lost the fems or there were 6")</f>
        <v>2 ad males with 2 females... then 2 ad males.  So either I lost the fems or there were 6</v>
      </c>
      <c r="P1064" s="15"/>
      <c r="Q1064" s="15"/>
      <c r="R1064" s="15"/>
      <c r="S1064" s="15"/>
      <c r="T1064" s="15"/>
      <c r="U1064" s="15"/>
      <c r="V1064" s="15"/>
      <c r="W1064" s="15"/>
      <c r="X1064" s="15"/>
      <c r="Y1064" s="15"/>
      <c r="Z1064" s="15"/>
      <c r="AA1064" s="15"/>
      <c r="AB1064" s="15"/>
      <c r="AC1064" s="15"/>
      <c r="AD1064" s="15"/>
      <c r="AE1064" s="15"/>
      <c r="AF1064" s="15"/>
      <c r="AG1064" s="15"/>
      <c r="AH1064" s="15"/>
      <c r="AI1064" s="15"/>
      <c r="AJ1064" s="15"/>
      <c r="AK1064" s="15"/>
      <c r="AL1064" s="15"/>
      <c r="AM1064" s="15"/>
      <c r="AN1064" s="15"/>
      <c r="AO1064" s="15"/>
      <c r="AP1064" s="15"/>
      <c r="AQ1064" s="15"/>
      <c r="AR1064" s="15"/>
      <c r="AS1064" s="15"/>
      <c r="AT1064" s="15"/>
      <c r="AU1064" s="15"/>
      <c r="AV1064" s="15"/>
      <c r="AW1064" s="15"/>
      <c r="AX1064" s="15"/>
      <c r="AY1064" s="15"/>
      <c r="AZ1064" s="15"/>
      <c r="BA1064" s="15"/>
      <c r="BB1064" s="15"/>
      <c r="BC1064" s="15"/>
      <c r="BD1064" s="15"/>
      <c r="BE1064" s="15"/>
      <c r="BF1064" s="15"/>
      <c r="BG1064" s="15"/>
      <c r="BH1064" s="15"/>
      <c r="BI1064" s="15"/>
      <c r="BJ1064" s="15"/>
      <c r="BK1064" s="15"/>
      <c r="BL1064" s="15"/>
      <c r="BM1064" s="15"/>
      <c r="BN1064" s="15"/>
      <c r="BO1064" s="15"/>
      <c r="BP1064" s="15"/>
      <c r="BQ1064" s="15"/>
      <c r="BR1064" s="15"/>
      <c r="BS1064" s="15"/>
      <c r="BT1064" s="15"/>
      <c r="BU1064" s="15"/>
      <c r="BV1064" s="15"/>
      <c r="BW1064" s="15"/>
      <c r="BX1064" s="15"/>
      <c r="BY1064" s="15"/>
      <c r="BZ1064" s="15"/>
      <c r="CA1064" s="15"/>
      <c r="CB1064" s="15"/>
    </row>
    <row r="1065" spans="1:80" ht="12.75" hidden="1" customHeight="1">
      <c r="A1065" s="20">
        <f ca="1">IFERROR(__xludf.DUMMYFUNCTION("""COMPUTED_VALUE"""),2015)</f>
        <v>2015</v>
      </c>
      <c r="B1065" s="45">
        <f ca="1">IFERROR(__xludf.DUMMYFUNCTION("""COMPUTED_VALUE"""),42618)</f>
        <v>42618</v>
      </c>
      <c r="C1065" s="46"/>
      <c r="D1065" s="47" t="str">
        <f ca="1">IFERROR(__xludf.DUMMYFUNCTION("""COMPUTED_VALUE"""),"Nightjar")</f>
        <v>Nightjar</v>
      </c>
      <c r="E1065" s="52">
        <f ca="1">IFERROR(__xludf.DUMMYFUNCTION("""COMPUTED_VALUE"""),1)</f>
        <v>1</v>
      </c>
      <c r="F1065" s="25"/>
      <c r="G1065" s="48" t="str">
        <f ca="1">IFERROR(__xludf.DUMMYFUNCTION("""COMPUTED_VALUE"""),"Primrose Hill, Delamere")</f>
        <v>Primrose Hill, Delamere</v>
      </c>
      <c r="H1065" s="22">
        <f ca="1">IFERROR(__xludf.DUMMYFUNCTION("""COMPUTED_VALUE"""),42147)</f>
        <v>42147</v>
      </c>
      <c r="I1065" s="22">
        <f ca="1">IFERROR(__xludf.DUMMYFUNCTION("""COMPUTED_VALUE"""),42147)</f>
        <v>42147</v>
      </c>
      <c r="J1065" s="24" t="str">
        <f ca="1">IFERROR(__xludf.DUMMYFUNCTION("""COMPUTED_VALUE"""),"DE Wright")</f>
        <v>DE Wright</v>
      </c>
      <c r="K1065" s="25"/>
      <c r="L1065" s="27" t="str">
        <f ca="1">IFERROR(__xludf.DUMMYFUNCTION("""COMPUTED_VALUE"""),"closed")</f>
        <v>closed</v>
      </c>
      <c r="M1065" s="27" t="str">
        <f ca="1">IFERROR(__xludf.DUMMYFUNCTION("""COMPUTED_VALUE"""),"proxy")</f>
        <v>proxy</v>
      </c>
      <c r="N1065" s="25" t="str">
        <f ca="1">IFERROR(__xludf.DUMMYFUNCTION("""COMPUTED_VALUE"""),"accepted")</f>
        <v>accepted</v>
      </c>
      <c r="O1065" s="28" t="str">
        <f ca="1">IFERROR(__xludf.DUMMYFUNCTION("""COMPUTED_VALUE"""),"Calling 9.50-10.15pm")</f>
        <v>Calling 9.50-10.15pm</v>
      </c>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c r="AK1065" s="25"/>
      <c r="AL1065" s="25"/>
      <c r="AM1065" s="25"/>
      <c r="AN1065" s="25"/>
      <c r="AO1065" s="25"/>
      <c r="AP1065" s="25"/>
      <c r="AQ1065" s="25"/>
      <c r="AR1065" s="25"/>
      <c r="AS1065" s="25"/>
      <c r="AT1065" s="25"/>
      <c r="AU1065" s="25"/>
      <c r="AV1065" s="25"/>
      <c r="AW1065" s="25"/>
      <c r="AX1065" s="25"/>
      <c r="AY1065" s="25"/>
      <c r="AZ1065" s="25"/>
      <c r="BA1065" s="25"/>
      <c r="BB1065" s="25"/>
      <c r="BC1065" s="25"/>
      <c r="BD1065" s="25"/>
      <c r="BE1065" s="25"/>
      <c r="BF1065" s="25"/>
      <c r="BG1065" s="25"/>
      <c r="BH1065" s="25"/>
      <c r="BI1065" s="25"/>
      <c r="BJ1065" s="25"/>
      <c r="BK1065" s="25"/>
      <c r="BL1065" s="25"/>
      <c r="BM1065" s="25"/>
      <c r="BN1065" s="25"/>
      <c r="BO1065" s="25"/>
      <c r="BP1065" s="25"/>
      <c r="BQ1065" s="25"/>
      <c r="BR1065" s="25"/>
      <c r="BS1065" s="25"/>
      <c r="BT1065" s="25"/>
      <c r="BU1065" s="25"/>
      <c r="BV1065" s="25"/>
      <c r="BW1065" s="25"/>
      <c r="BX1065" s="25"/>
      <c r="BY1065" s="25"/>
      <c r="BZ1065" s="25"/>
      <c r="CA1065" s="25"/>
      <c r="CB1065" s="25"/>
    </row>
    <row r="1066" spans="1:80" ht="12.75" hidden="1" customHeight="1">
      <c r="A1066" s="10">
        <f ca="1">IFERROR(__xludf.DUMMYFUNCTION("""COMPUTED_VALUE"""),2015)</f>
        <v>2015</v>
      </c>
      <c r="B1066" s="50">
        <f ca="1">IFERROR(__xludf.DUMMYFUNCTION("""COMPUTED_VALUE"""),42618)</f>
        <v>42618</v>
      </c>
      <c r="C1066" s="41"/>
      <c r="D1066" s="42" t="str">
        <f ca="1">IFERROR(__xludf.DUMMYFUNCTION("""COMPUTED_VALUE"""),"Nightjar")</f>
        <v>Nightjar</v>
      </c>
      <c r="E1066" s="53">
        <f ca="1">IFERROR(__xludf.DUMMYFUNCTION("""COMPUTED_VALUE"""),1)</f>
        <v>1</v>
      </c>
      <c r="F1066" s="15"/>
      <c r="G1066" s="44" t="str">
        <f ca="1">IFERROR(__xludf.DUMMYFUNCTION("""COMPUTED_VALUE"""),"Primrose Hill, Delamere")</f>
        <v>Primrose Hill, Delamere</v>
      </c>
      <c r="H1066" s="12">
        <f ca="1">IFERROR(__xludf.DUMMYFUNCTION("""COMPUTED_VALUE"""),42159)</f>
        <v>42159</v>
      </c>
      <c r="I1066" s="12">
        <f ca="1">IFERROR(__xludf.DUMMYFUNCTION("""COMPUTED_VALUE"""),42159)</f>
        <v>42159</v>
      </c>
      <c r="J1066" s="14" t="str">
        <f ca="1">IFERROR(__xludf.DUMMYFUNCTION("""COMPUTED_VALUE"""),"F Duff")</f>
        <v>F Duff</v>
      </c>
      <c r="K1066" s="15"/>
      <c r="L1066" s="17" t="str">
        <f ca="1">IFERROR(__xludf.DUMMYFUNCTION("""COMPUTED_VALUE"""),"closed")</f>
        <v>closed</v>
      </c>
      <c r="M1066" s="17" t="str">
        <f ca="1">IFERROR(__xludf.DUMMYFUNCTION("""COMPUTED_VALUE"""),"proxy")</f>
        <v>proxy</v>
      </c>
      <c r="N1066" s="15" t="str">
        <f ca="1">IFERROR(__xludf.DUMMYFUNCTION("""COMPUTED_VALUE"""),"accepted")</f>
        <v>accepted</v>
      </c>
      <c r="O1066" s="18" t="str">
        <f ca="1">IFERROR(__xludf.DUMMYFUNCTION("""COMPUTED_VALUE"""),"singing male")</f>
        <v>singing male</v>
      </c>
      <c r="P1066" s="15"/>
      <c r="Q1066" s="15"/>
      <c r="R1066" s="15"/>
      <c r="S1066" s="15"/>
      <c r="T1066" s="15"/>
      <c r="U1066" s="15"/>
      <c r="V1066" s="15"/>
      <c r="W1066" s="15"/>
      <c r="X1066" s="15"/>
      <c r="Y1066" s="15"/>
      <c r="Z1066" s="15"/>
      <c r="AA1066" s="15"/>
      <c r="AB1066" s="15"/>
      <c r="AC1066" s="15"/>
      <c r="AD1066" s="15"/>
      <c r="AE1066" s="15"/>
      <c r="AF1066" s="15"/>
      <c r="AG1066" s="15"/>
      <c r="AH1066" s="15"/>
      <c r="AI1066" s="15"/>
      <c r="AJ1066" s="15"/>
      <c r="AK1066" s="15"/>
      <c r="AL1066" s="15"/>
      <c r="AM1066" s="15"/>
      <c r="AN1066" s="15"/>
      <c r="AO1066" s="15"/>
      <c r="AP1066" s="15"/>
      <c r="AQ1066" s="15"/>
      <c r="AR1066" s="15"/>
      <c r="AS1066" s="15"/>
      <c r="AT1066" s="15"/>
      <c r="AU1066" s="15"/>
      <c r="AV1066" s="15"/>
      <c r="AW1066" s="15"/>
      <c r="AX1066" s="15"/>
      <c r="AY1066" s="15"/>
      <c r="AZ1066" s="15"/>
      <c r="BA1066" s="15"/>
      <c r="BB1066" s="15"/>
      <c r="BC1066" s="15"/>
      <c r="BD1066" s="15"/>
      <c r="BE1066" s="15"/>
      <c r="BF1066" s="15"/>
      <c r="BG1066" s="15"/>
      <c r="BH1066" s="15"/>
      <c r="BI1066" s="15"/>
      <c r="BJ1066" s="15"/>
      <c r="BK1066" s="15"/>
      <c r="BL1066" s="15"/>
      <c r="BM1066" s="15"/>
      <c r="BN1066" s="15"/>
      <c r="BO1066" s="15"/>
      <c r="BP1066" s="15"/>
      <c r="BQ1066" s="15"/>
      <c r="BR1066" s="15"/>
      <c r="BS1066" s="15"/>
      <c r="BT1066" s="15"/>
      <c r="BU1066" s="15"/>
      <c r="BV1066" s="15"/>
      <c r="BW1066" s="15"/>
      <c r="BX1066" s="15"/>
      <c r="BY1066" s="15"/>
      <c r="BZ1066" s="15"/>
      <c r="CA1066" s="15"/>
      <c r="CB1066" s="15"/>
    </row>
    <row r="1067" spans="1:80" ht="12.75" hidden="1" customHeight="1">
      <c r="A1067" s="20">
        <f ca="1">IFERROR(__xludf.DUMMYFUNCTION("""COMPUTED_VALUE"""),2015)</f>
        <v>2015</v>
      </c>
      <c r="B1067" s="45">
        <f ca="1">IFERROR(__xludf.DUMMYFUNCTION("""COMPUTED_VALUE"""),42618)</f>
        <v>42618</v>
      </c>
      <c r="C1067" s="46"/>
      <c r="D1067" s="47" t="str">
        <f ca="1">IFERROR(__xludf.DUMMYFUNCTION("""COMPUTED_VALUE"""),"Nightjar")</f>
        <v>Nightjar</v>
      </c>
      <c r="E1067" s="52">
        <f ca="1">IFERROR(__xludf.DUMMYFUNCTION("""COMPUTED_VALUE"""),1)</f>
        <v>1</v>
      </c>
      <c r="F1067" s="25"/>
      <c r="G1067" s="48" t="str">
        <f ca="1">IFERROR(__xludf.DUMMYFUNCTION("""COMPUTED_VALUE"""),"Delamere Forest")</f>
        <v>Delamere Forest</v>
      </c>
      <c r="H1067" s="22">
        <f ca="1">IFERROR(__xludf.DUMMYFUNCTION("""COMPUTED_VALUE"""),42166)</f>
        <v>42166</v>
      </c>
      <c r="I1067" s="22">
        <f ca="1">IFERROR(__xludf.DUMMYFUNCTION("""COMPUTED_VALUE"""),42166)</f>
        <v>42166</v>
      </c>
      <c r="J1067" s="24" t="str">
        <f ca="1">IFERROR(__xludf.DUMMYFUNCTION("""COMPUTED_VALUE"""),"R Wilkinson")</f>
        <v>R Wilkinson</v>
      </c>
      <c r="K1067" s="25"/>
      <c r="L1067" s="27" t="str">
        <f ca="1">IFERROR(__xludf.DUMMYFUNCTION("""COMPUTED_VALUE"""),"closed")</f>
        <v>closed</v>
      </c>
      <c r="M1067" s="27" t="str">
        <f ca="1">IFERROR(__xludf.DUMMYFUNCTION("""COMPUTED_VALUE"""),"proxy")</f>
        <v>proxy</v>
      </c>
      <c r="N1067" s="25" t="str">
        <f ca="1">IFERROR(__xludf.DUMMYFUNCTION("""COMPUTED_VALUE"""),"accepted")</f>
        <v>accepted</v>
      </c>
      <c r="O1067" s="28"/>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c r="AK1067" s="25"/>
      <c r="AL1067" s="25"/>
      <c r="AM1067" s="25"/>
      <c r="AN1067" s="25"/>
      <c r="AO1067" s="25"/>
      <c r="AP1067" s="25"/>
      <c r="AQ1067" s="25"/>
      <c r="AR1067" s="25"/>
      <c r="AS1067" s="25"/>
      <c r="AT1067" s="25"/>
      <c r="AU1067" s="25"/>
      <c r="AV1067" s="25"/>
      <c r="AW1067" s="25"/>
      <c r="AX1067" s="25"/>
      <c r="AY1067" s="25"/>
      <c r="AZ1067" s="25"/>
      <c r="BA1067" s="25"/>
      <c r="BB1067" s="25"/>
      <c r="BC1067" s="25"/>
      <c r="BD1067" s="25"/>
      <c r="BE1067" s="25"/>
      <c r="BF1067" s="25"/>
      <c r="BG1067" s="25"/>
      <c r="BH1067" s="25"/>
      <c r="BI1067" s="25"/>
      <c r="BJ1067" s="25"/>
      <c r="BK1067" s="25"/>
      <c r="BL1067" s="25"/>
      <c r="BM1067" s="25"/>
      <c r="BN1067" s="25"/>
      <c r="BO1067" s="25"/>
      <c r="BP1067" s="25"/>
      <c r="BQ1067" s="25"/>
      <c r="BR1067" s="25"/>
      <c r="BS1067" s="25"/>
      <c r="BT1067" s="25"/>
      <c r="BU1067" s="25"/>
      <c r="BV1067" s="25"/>
      <c r="BW1067" s="25"/>
      <c r="BX1067" s="25"/>
      <c r="BY1067" s="25"/>
      <c r="BZ1067" s="25"/>
      <c r="CA1067" s="25"/>
      <c r="CB1067" s="25"/>
    </row>
    <row r="1068" spans="1:80" ht="12.75" hidden="1" customHeight="1">
      <c r="A1068" s="10">
        <f ca="1">IFERROR(__xludf.DUMMYFUNCTION("""COMPUTED_VALUE"""),2015)</f>
        <v>2015</v>
      </c>
      <c r="B1068" s="50">
        <f ca="1">IFERROR(__xludf.DUMMYFUNCTION("""COMPUTED_VALUE"""),42618)</f>
        <v>42618</v>
      </c>
      <c r="C1068" s="41"/>
      <c r="D1068" s="42" t="str">
        <f ca="1">IFERROR(__xludf.DUMMYFUNCTION("""COMPUTED_VALUE"""),"Nightjar")</f>
        <v>Nightjar</v>
      </c>
      <c r="E1068" s="53">
        <f ca="1">IFERROR(__xludf.DUMMYFUNCTION("""COMPUTED_VALUE"""),1)</f>
        <v>1</v>
      </c>
      <c r="F1068" s="15"/>
      <c r="G1068" s="44" t="str">
        <f ca="1">IFERROR(__xludf.DUMMYFUNCTION("""COMPUTED_VALUE"""),"Primrose Wood, Delamere")</f>
        <v>Primrose Wood, Delamere</v>
      </c>
      <c r="H1068" s="12">
        <f ca="1">IFERROR(__xludf.DUMMYFUNCTION("""COMPUTED_VALUE"""),42166)</f>
        <v>42166</v>
      </c>
      <c r="I1068" s="12">
        <f ca="1">IFERROR(__xludf.DUMMYFUNCTION("""COMPUTED_VALUE"""),42166)</f>
        <v>42166</v>
      </c>
      <c r="J1068" s="14" t="str">
        <f ca="1">IFERROR(__xludf.DUMMYFUNCTION("""COMPUTED_VALUE"""),"R Wilkinson")</f>
        <v>R Wilkinson</v>
      </c>
      <c r="K1068" s="15"/>
      <c r="L1068" s="17" t="str">
        <f ca="1">IFERROR(__xludf.DUMMYFUNCTION("""COMPUTED_VALUE"""),"closed")</f>
        <v>closed</v>
      </c>
      <c r="M1068" s="17" t="str">
        <f ca="1">IFERROR(__xludf.DUMMYFUNCTION("""COMPUTED_VALUE"""),"proxy")</f>
        <v>proxy</v>
      </c>
      <c r="N1068" s="15" t="str">
        <f ca="1">IFERROR(__xludf.DUMMYFUNCTION("""COMPUTED_VALUE"""),"accepted")</f>
        <v>accepted</v>
      </c>
      <c r="O1068" s="18"/>
      <c r="P1068" s="15"/>
      <c r="Q1068" s="15"/>
      <c r="R1068" s="15"/>
      <c r="S1068" s="15"/>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c r="AO1068" s="15"/>
      <c r="AP1068" s="15"/>
      <c r="AQ1068" s="15"/>
      <c r="AR1068" s="15"/>
      <c r="AS1068" s="15"/>
      <c r="AT1068" s="15"/>
      <c r="AU1068" s="15"/>
      <c r="AV1068" s="15"/>
      <c r="AW1068" s="15"/>
      <c r="AX1068" s="15"/>
      <c r="AY1068" s="15"/>
      <c r="AZ1068" s="15"/>
      <c r="BA1068" s="15"/>
      <c r="BB1068" s="15"/>
      <c r="BC1068" s="15"/>
      <c r="BD1068" s="15"/>
      <c r="BE1068" s="15"/>
      <c r="BF1068" s="15"/>
      <c r="BG1068" s="15"/>
      <c r="BH1068" s="15"/>
      <c r="BI1068" s="15"/>
      <c r="BJ1068" s="15"/>
      <c r="BK1068" s="15"/>
      <c r="BL1068" s="15"/>
      <c r="BM1068" s="15"/>
      <c r="BN1068" s="15"/>
      <c r="BO1068" s="15"/>
      <c r="BP1068" s="15"/>
      <c r="BQ1068" s="15"/>
      <c r="BR1068" s="15"/>
      <c r="BS1068" s="15"/>
      <c r="BT1068" s="15"/>
      <c r="BU1068" s="15"/>
      <c r="BV1068" s="15"/>
      <c r="BW1068" s="15"/>
      <c r="BX1068" s="15"/>
      <c r="BY1068" s="15"/>
      <c r="BZ1068" s="15"/>
      <c r="CA1068" s="15"/>
      <c r="CB1068" s="15"/>
    </row>
    <row r="1069" spans="1:80" ht="12.75" hidden="1" customHeight="1">
      <c r="A1069" s="20">
        <f ca="1">IFERROR(__xludf.DUMMYFUNCTION("""COMPUTED_VALUE"""),2015)</f>
        <v>2015</v>
      </c>
      <c r="B1069" s="45">
        <f ca="1">IFERROR(__xludf.DUMMYFUNCTION("""COMPUTED_VALUE"""),42618)</f>
        <v>42618</v>
      </c>
      <c r="C1069" s="46"/>
      <c r="D1069" s="47" t="str">
        <f ca="1">IFERROR(__xludf.DUMMYFUNCTION("""COMPUTED_VALUE"""),"Nightjar")</f>
        <v>Nightjar</v>
      </c>
      <c r="E1069" s="52">
        <f ca="1">IFERROR(__xludf.DUMMYFUNCTION("""COMPUTED_VALUE"""),2)</f>
        <v>2</v>
      </c>
      <c r="F1069" s="25"/>
      <c r="G1069" s="48" t="str">
        <f ca="1">IFERROR(__xludf.DUMMYFUNCTION("""COMPUTED_VALUE"""),"Primrose Hill, Delamere")</f>
        <v>Primrose Hill, Delamere</v>
      </c>
      <c r="H1069" s="22">
        <f ca="1">IFERROR(__xludf.DUMMYFUNCTION("""COMPUTED_VALUE"""),42172)</f>
        <v>42172</v>
      </c>
      <c r="I1069" s="22">
        <f ca="1">IFERROR(__xludf.DUMMYFUNCTION("""COMPUTED_VALUE"""),42172)</f>
        <v>42172</v>
      </c>
      <c r="J1069" s="24" t="str">
        <f ca="1">IFERROR(__xludf.DUMMYFUNCTION("""COMPUTED_VALUE"""),"DE Wright")</f>
        <v>DE Wright</v>
      </c>
      <c r="K1069" s="25"/>
      <c r="L1069" s="27" t="str">
        <f ca="1">IFERROR(__xludf.DUMMYFUNCTION("""COMPUTED_VALUE"""),"closed")</f>
        <v>closed</v>
      </c>
      <c r="M1069" s="27" t="str">
        <f ca="1">IFERROR(__xludf.DUMMYFUNCTION("""COMPUTED_VALUE"""),"proxy")</f>
        <v>proxy</v>
      </c>
      <c r="N1069" s="25" t="str">
        <f ca="1">IFERROR(__xludf.DUMMYFUNCTION("""COMPUTED_VALUE"""),"accepted")</f>
        <v>accepted</v>
      </c>
      <c r="O1069" s="28" t="str">
        <f ca="1">IFERROR(__xludf.DUMMYFUNCTION("""COMPUTED_VALUE"""),"Calling 9.30 - 10.20pm")</f>
        <v>Calling 9.30 - 10.20pm</v>
      </c>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c r="AK1069" s="25"/>
      <c r="AL1069" s="25"/>
      <c r="AM1069" s="25"/>
      <c r="AN1069" s="25"/>
      <c r="AO1069" s="25"/>
      <c r="AP1069" s="25"/>
      <c r="AQ1069" s="25"/>
      <c r="AR1069" s="25"/>
      <c r="AS1069" s="25"/>
      <c r="AT1069" s="25"/>
      <c r="AU1069" s="25"/>
      <c r="AV1069" s="25"/>
      <c r="AW1069" s="25"/>
      <c r="AX1069" s="25"/>
      <c r="AY1069" s="25"/>
      <c r="AZ1069" s="25"/>
      <c r="BA1069" s="25"/>
      <c r="BB1069" s="25"/>
      <c r="BC1069" s="25"/>
      <c r="BD1069" s="25"/>
      <c r="BE1069" s="25"/>
      <c r="BF1069" s="25"/>
      <c r="BG1069" s="25"/>
      <c r="BH1069" s="25"/>
      <c r="BI1069" s="25"/>
      <c r="BJ1069" s="25"/>
      <c r="BK1069" s="25"/>
      <c r="BL1069" s="25"/>
      <c r="BM1069" s="25"/>
      <c r="BN1069" s="25"/>
      <c r="BO1069" s="25"/>
      <c r="BP1069" s="25"/>
      <c r="BQ1069" s="25"/>
      <c r="BR1069" s="25"/>
      <c r="BS1069" s="25"/>
      <c r="BT1069" s="25"/>
      <c r="BU1069" s="25"/>
      <c r="BV1069" s="25"/>
      <c r="BW1069" s="25"/>
      <c r="BX1069" s="25"/>
      <c r="BY1069" s="25"/>
      <c r="BZ1069" s="25"/>
      <c r="CA1069" s="25"/>
      <c r="CB1069" s="25"/>
    </row>
    <row r="1070" spans="1:80" ht="12.75" hidden="1" customHeight="1">
      <c r="A1070" s="10">
        <f ca="1">IFERROR(__xludf.DUMMYFUNCTION("""COMPUTED_VALUE"""),2015)</f>
        <v>2015</v>
      </c>
      <c r="B1070" s="50">
        <f ca="1">IFERROR(__xludf.DUMMYFUNCTION("""COMPUTED_VALUE"""),42618)</f>
        <v>42618</v>
      </c>
      <c r="C1070" s="41"/>
      <c r="D1070" s="42" t="str">
        <f ca="1">IFERROR(__xludf.DUMMYFUNCTION("""COMPUTED_VALUE"""),"Nightjar")</f>
        <v>Nightjar</v>
      </c>
      <c r="E1070" s="53">
        <f ca="1">IFERROR(__xludf.DUMMYFUNCTION("""COMPUTED_VALUE"""),3)</f>
        <v>3</v>
      </c>
      <c r="F1070" s="15"/>
      <c r="G1070" s="44" t="str">
        <f ca="1">IFERROR(__xludf.DUMMYFUNCTION("""COMPUTED_VALUE"""),"Primrose Hill, Delamere")</f>
        <v>Primrose Hill, Delamere</v>
      </c>
      <c r="H1070" s="12">
        <f ca="1">IFERROR(__xludf.DUMMYFUNCTION("""COMPUTED_VALUE"""),42185)</f>
        <v>42185</v>
      </c>
      <c r="I1070" s="12">
        <f ca="1">IFERROR(__xludf.DUMMYFUNCTION("""COMPUTED_VALUE"""),42185)</f>
        <v>42185</v>
      </c>
      <c r="J1070" s="14" t="str">
        <f ca="1">IFERROR(__xludf.DUMMYFUNCTION("""COMPUTED_VALUE"""),"DE Wright")</f>
        <v>DE Wright</v>
      </c>
      <c r="K1070" s="15"/>
      <c r="L1070" s="17" t="str">
        <f ca="1">IFERROR(__xludf.DUMMYFUNCTION("""COMPUTED_VALUE"""),"closed")</f>
        <v>closed</v>
      </c>
      <c r="M1070" s="17" t="str">
        <f ca="1">IFERROR(__xludf.DUMMYFUNCTION("""COMPUTED_VALUE"""),"proxy")</f>
        <v>proxy</v>
      </c>
      <c r="N1070" s="15" t="str">
        <f ca="1">IFERROR(__xludf.DUMMYFUNCTION("""COMPUTED_VALUE"""),"accepted")</f>
        <v>accepted</v>
      </c>
      <c r="O1070" s="18" t="str">
        <f ca="1">IFERROR(__xludf.DUMMYFUNCTION("""COMPUTED_VALUE"""),"2 calling + 1 in flight 10.10pm")</f>
        <v>2 calling + 1 in flight 10.10pm</v>
      </c>
      <c r="P1070" s="15"/>
      <c r="Q1070" s="15"/>
      <c r="R1070" s="15"/>
      <c r="S1070" s="15"/>
      <c r="T1070" s="15"/>
      <c r="U1070" s="15"/>
      <c r="V1070" s="15"/>
      <c r="W1070" s="15"/>
      <c r="X1070" s="15"/>
      <c r="Y1070" s="15"/>
      <c r="Z1070" s="15"/>
      <c r="AA1070" s="15"/>
      <c r="AB1070" s="15"/>
      <c r="AC1070" s="15"/>
      <c r="AD1070" s="15"/>
      <c r="AE1070" s="15"/>
      <c r="AF1070" s="15"/>
      <c r="AG1070" s="15"/>
      <c r="AH1070" s="15"/>
      <c r="AI1070" s="15"/>
      <c r="AJ1070" s="15"/>
      <c r="AK1070" s="15"/>
      <c r="AL1070" s="15"/>
      <c r="AM1070" s="15"/>
      <c r="AN1070" s="15"/>
      <c r="AO1070" s="15"/>
      <c r="AP1070" s="15"/>
      <c r="AQ1070" s="15"/>
      <c r="AR1070" s="15"/>
      <c r="AS1070" s="15"/>
      <c r="AT1070" s="15"/>
      <c r="AU1070" s="15"/>
      <c r="AV1070" s="15"/>
      <c r="AW1070" s="15"/>
      <c r="AX1070" s="15"/>
      <c r="AY1070" s="15"/>
      <c r="AZ1070" s="15"/>
      <c r="BA1070" s="15"/>
      <c r="BB1070" s="15"/>
      <c r="BC1070" s="15"/>
      <c r="BD1070" s="15"/>
      <c r="BE1070" s="15"/>
      <c r="BF1070" s="15"/>
      <c r="BG1070" s="15"/>
      <c r="BH1070" s="15"/>
      <c r="BI1070" s="15"/>
      <c r="BJ1070" s="15"/>
      <c r="BK1070" s="15"/>
      <c r="BL1070" s="15"/>
      <c r="BM1070" s="15"/>
      <c r="BN1070" s="15"/>
      <c r="BO1070" s="15"/>
      <c r="BP1070" s="15"/>
      <c r="BQ1070" s="15"/>
      <c r="BR1070" s="15"/>
      <c r="BS1070" s="15"/>
      <c r="BT1070" s="15"/>
      <c r="BU1070" s="15"/>
      <c r="BV1070" s="15"/>
      <c r="BW1070" s="15"/>
      <c r="BX1070" s="15"/>
      <c r="BY1070" s="15"/>
      <c r="BZ1070" s="15"/>
      <c r="CA1070" s="15"/>
      <c r="CB1070" s="15"/>
    </row>
    <row r="1071" spans="1:80" ht="12.75" hidden="1" customHeight="1">
      <c r="A1071" s="20">
        <f ca="1">IFERROR(__xludf.DUMMYFUNCTION("""COMPUTED_VALUE"""),2015)</f>
        <v>2015</v>
      </c>
      <c r="B1071" s="45">
        <f ca="1">IFERROR(__xludf.DUMMYFUNCTION("""COMPUTED_VALUE"""),42618)</f>
        <v>42618</v>
      </c>
      <c r="C1071" s="46"/>
      <c r="D1071" s="47" t="str">
        <f ca="1">IFERROR(__xludf.DUMMYFUNCTION("""COMPUTED_VALUE"""),"Nightjar")</f>
        <v>Nightjar</v>
      </c>
      <c r="E1071" s="52">
        <f ca="1">IFERROR(__xludf.DUMMYFUNCTION("""COMPUTED_VALUE"""),1)</f>
        <v>1</v>
      </c>
      <c r="F1071" s="25"/>
      <c r="G1071" s="48" t="str">
        <f ca="1">IFERROR(__xludf.DUMMYFUNCTION("""COMPUTED_VALUE"""),"Primrose Hill, Delamere")</f>
        <v>Primrose Hill, Delamere</v>
      </c>
      <c r="H1071" s="22">
        <f ca="1">IFERROR(__xludf.DUMMYFUNCTION("""COMPUTED_VALUE"""),42186)</f>
        <v>42186</v>
      </c>
      <c r="I1071" s="22">
        <f ca="1">IFERROR(__xludf.DUMMYFUNCTION("""COMPUTED_VALUE"""),42186)</f>
        <v>42186</v>
      </c>
      <c r="J1071" s="24" t="str">
        <f ca="1">IFERROR(__xludf.DUMMYFUNCTION("""COMPUTED_VALUE"""),"DE Wright")</f>
        <v>DE Wright</v>
      </c>
      <c r="K1071" s="25"/>
      <c r="L1071" s="27" t="str">
        <f ca="1">IFERROR(__xludf.DUMMYFUNCTION("""COMPUTED_VALUE"""),"closed")</f>
        <v>closed</v>
      </c>
      <c r="M1071" s="27" t="str">
        <f ca="1">IFERROR(__xludf.DUMMYFUNCTION("""COMPUTED_VALUE"""),"proxy")</f>
        <v>proxy</v>
      </c>
      <c r="N1071" s="25" t="str">
        <f ca="1">IFERROR(__xludf.DUMMYFUNCTION("""COMPUTED_VALUE"""),"accepted")</f>
        <v>accepted</v>
      </c>
      <c r="O1071" s="28" t="str">
        <f ca="1">IFERROR(__xludf.DUMMYFUNCTION("""COMPUTED_VALUE"""),"Last of year")</f>
        <v>Last of year</v>
      </c>
      <c r="P1071" s="25"/>
      <c r="Q1071" s="25"/>
      <c r="R1071" s="25"/>
      <c r="S1071" s="25"/>
      <c r="T1071" s="25"/>
      <c r="U1071" s="25"/>
      <c r="V1071" s="25"/>
      <c r="W1071" s="25"/>
      <c r="X1071" s="25"/>
      <c r="Y1071" s="25"/>
      <c r="Z1071" s="25"/>
      <c r="AA1071" s="25"/>
      <c r="AB1071" s="25"/>
      <c r="AC1071" s="25"/>
      <c r="AD1071" s="25"/>
      <c r="AE1071" s="25"/>
      <c r="AF1071" s="25"/>
      <c r="AG1071" s="25"/>
      <c r="AH1071" s="25"/>
      <c r="AI1071" s="25"/>
      <c r="AJ1071" s="25"/>
      <c r="AK1071" s="25"/>
      <c r="AL1071" s="25"/>
      <c r="AM1071" s="25"/>
      <c r="AN1071" s="25"/>
      <c r="AO1071" s="25"/>
      <c r="AP1071" s="25"/>
      <c r="AQ1071" s="25"/>
      <c r="AR1071" s="25"/>
      <c r="AS1071" s="25"/>
      <c r="AT1071" s="25"/>
      <c r="AU1071" s="25"/>
      <c r="AV1071" s="25"/>
      <c r="AW1071" s="25"/>
      <c r="AX1071" s="25"/>
      <c r="AY1071" s="25"/>
      <c r="AZ1071" s="25"/>
      <c r="BA1071" s="25"/>
      <c r="BB1071" s="25"/>
      <c r="BC1071" s="25"/>
      <c r="BD1071" s="25"/>
      <c r="BE1071" s="25"/>
      <c r="BF1071" s="25"/>
      <c r="BG1071" s="25"/>
      <c r="BH1071" s="25"/>
      <c r="BI1071" s="25"/>
      <c r="BJ1071" s="25"/>
      <c r="BK1071" s="25"/>
      <c r="BL1071" s="25"/>
      <c r="BM1071" s="25"/>
      <c r="BN1071" s="25"/>
      <c r="BO1071" s="25"/>
      <c r="BP1071" s="25"/>
      <c r="BQ1071" s="25"/>
      <c r="BR1071" s="25"/>
      <c r="BS1071" s="25"/>
      <c r="BT1071" s="25"/>
      <c r="BU1071" s="25"/>
      <c r="BV1071" s="25"/>
      <c r="BW1071" s="25"/>
      <c r="BX1071" s="25"/>
      <c r="BY1071" s="25"/>
      <c r="BZ1071" s="25"/>
      <c r="CA1071" s="25"/>
      <c r="CB1071" s="25"/>
    </row>
    <row r="1072" spans="1:80" ht="12.75" hidden="1" customHeight="1">
      <c r="A1072" s="10">
        <f ca="1">IFERROR(__xludf.DUMMYFUNCTION("""COMPUTED_VALUE"""),2015)</f>
        <v>2015</v>
      </c>
      <c r="B1072" s="50">
        <f ca="1">IFERROR(__xludf.DUMMYFUNCTION("""COMPUTED_VALUE"""),42686)</f>
        <v>42686</v>
      </c>
      <c r="C1072" s="41">
        <f ca="1">IFERROR(__xludf.DUMMYFUNCTION("""COMPUTED_VALUE"""),43635)</f>
        <v>43635</v>
      </c>
      <c r="D1072" s="42" t="str">
        <f ca="1">IFERROR(__xludf.DUMMYFUNCTION("""COMPUTED_VALUE"""),"Alpine Swift")</f>
        <v>Alpine Swift</v>
      </c>
      <c r="E1072" s="53">
        <f ca="1">IFERROR(__xludf.DUMMYFUNCTION("""COMPUTED_VALUE"""),1)</f>
        <v>1</v>
      </c>
      <c r="F1072" s="58"/>
      <c r="G1072" s="44" t="str">
        <f ca="1">IFERROR(__xludf.DUMMYFUNCTION("""COMPUTED_VALUE"""),"Meols")</f>
        <v>Meols</v>
      </c>
      <c r="H1072" s="12">
        <f ca="1">IFERROR(__xludf.DUMMYFUNCTION("""COMPUTED_VALUE"""),42116)</f>
        <v>42116</v>
      </c>
      <c r="I1072" s="12">
        <f ca="1">IFERROR(__xludf.DUMMYFUNCTION("""COMPUTED_VALUE"""),42116)</f>
        <v>42116</v>
      </c>
      <c r="J1072" s="14" t="str">
        <f ca="1">IFERROR(__xludf.DUMMYFUNCTION("""COMPUTED_VALUE"""),"Haigh, D")</f>
        <v>Haigh, D</v>
      </c>
      <c r="K1072" s="15"/>
      <c r="L1072" s="17" t="str">
        <f ca="1">IFERROR(__xludf.DUMMYFUNCTION("""COMPUTED_VALUE"""),"closed")</f>
        <v>closed</v>
      </c>
      <c r="M1072" s="17" t="str">
        <f ca="1">IFERROR(__xludf.DUMMYFUNCTION("""COMPUTED_VALUE"""),"3rd M")</f>
        <v>3rd M</v>
      </c>
      <c r="N1072" s="15" t="str">
        <f ca="1">IFERROR(__xludf.DUMMYFUNCTION("""COMPUTED_VALUE"""),"Accepted")</f>
        <v>Accepted</v>
      </c>
      <c r="O1072" s="18"/>
      <c r="P1072" s="15"/>
      <c r="Q1072" s="15"/>
      <c r="R1072" s="15"/>
      <c r="S1072" s="15"/>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c r="AP1072" s="15"/>
      <c r="AQ1072" s="15"/>
      <c r="AR1072" s="15"/>
      <c r="AS1072" s="15"/>
      <c r="AT1072" s="15"/>
      <c r="AU1072" s="15"/>
      <c r="AV1072" s="15"/>
      <c r="AW1072" s="15"/>
      <c r="AX1072" s="15"/>
      <c r="AY1072" s="15"/>
      <c r="AZ1072" s="15"/>
      <c r="BA1072" s="15"/>
      <c r="BB1072" s="15"/>
      <c r="BC1072" s="15"/>
      <c r="BD1072" s="15"/>
      <c r="BE1072" s="15"/>
      <c r="BF1072" s="15"/>
      <c r="BG1072" s="15"/>
      <c r="BH1072" s="15"/>
      <c r="BI1072" s="15"/>
      <c r="BJ1072" s="15"/>
      <c r="BK1072" s="15"/>
      <c r="BL1072" s="15"/>
      <c r="BM1072" s="15"/>
      <c r="BN1072" s="15"/>
      <c r="BO1072" s="15"/>
      <c r="BP1072" s="15"/>
      <c r="BQ1072" s="15"/>
      <c r="BR1072" s="15"/>
      <c r="BS1072" s="15"/>
      <c r="BT1072" s="15"/>
      <c r="BU1072" s="15"/>
      <c r="BV1072" s="15"/>
      <c r="BW1072" s="15"/>
      <c r="BX1072" s="15"/>
      <c r="BY1072" s="15"/>
      <c r="BZ1072" s="15"/>
      <c r="CA1072" s="15"/>
      <c r="CB1072" s="15"/>
    </row>
    <row r="1073" spans="1:80" ht="12.75" hidden="1" customHeight="1">
      <c r="A1073" s="20">
        <f ca="1">IFERROR(__xludf.DUMMYFUNCTION("""COMPUTED_VALUE"""),2015)</f>
        <v>2015</v>
      </c>
      <c r="B1073" s="45">
        <f ca="1">IFERROR(__xludf.DUMMYFUNCTION("""COMPUTED_VALUE"""),42618)</f>
        <v>42618</v>
      </c>
      <c r="C1073" s="46">
        <f ca="1">IFERROR(__xludf.DUMMYFUNCTION("""COMPUTED_VALUE"""),42636)</f>
        <v>42636</v>
      </c>
      <c r="D1073" s="47" t="str">
        <f ca="1">IFERROR(__xludf.DUMMYFUNCTION("""COMPUTED_VALUE"""),"Bee-eater")</f>
        <v>Bee-eater</v>
      </c>
      <c r="E1073" s="52">
        <f ca="1">IFERROR(__xludf.DUMMYFUNCTION("""COMPUTED_VALUE"""),1)</f>
        <v>1</v>
      </c>
      <c r="F1073" s="25"/>
      <c r="G1073" s="48" t="str">
        <f ca="1">IFERROR(__xludf.DUMMYFUNCTION("""COMPUTED_VALUE"""),"Warrington")</f>
        <v>Warrington</v>
      </c>
      <c r="H1073" s="22">
        <f ca="1">IFERROR(__xludf.DUMMYFUNCTION("""COMPUTED_VALUE"""),42130)</f>
        <v>42130</v>
      </c>
      <c r="I1073" s="22">
        <f ca="1">IFERROR(__xludf.DUMMYFUNCTION("""COMPUTED_VALUE"""),42130)</f>
        <v>42130</v>
      </c>
      <c r="J1073" s="24" t="str">
        <f ca="1">IFERROR(__xludf.DUMMYFUNCTION("""COMPUTED_VALUE"""),"Rylett, C")</f>
        <v>Rylett, C</v>
      </c>
      <c r="K1073" s="25"/>
      <c r="L1073" s="27" t="str">
        <f ca="1">IFERROR(__xludf.DUMMYFUNCTION("""COMPUTED_VALUE"""),"closed")</f>
        <v>closed</v>
      </c>
      <c r="M1073" s="27"/>
      <c r="N1073" s="25" t="str">
        <f ca="1">IFERROR(__xludf.DUMMYFUNCTION("""COMPUTED_VALUE"""),"accepted")</f>
        <v>accepted</v>
      </c>
      <c r="O1073" s="28"/>
      <c r="P1073" s="25"/>
      <c r="Q1073" s="25"/>
      <c r="R1073" s="25"/>
      <c r="S1073" s="25"/>
      <c r="T1073" s="25"/>
      <c r="U1073" s="25"/>
      <c r="V1073" s="25"/>
      <c r="W1073" s="25"/>
      <c r="X1073" s="25"/>
      <c r="Y1073" s="25"/>
      <c r="Z1073" s="25"/>
      <c r="AA1073" s="25"/>
      <c r="AB1073" s="25"/>
      <c r="AC1073" s="25"/>
      <c r="AD1073" s="25"/>
      <c r="AE1073" s="25"/>
      <c r="AF1073" s="25"/>
      <c r="AG1073" s="25"/>
      <c r="AH1073" s="25"/>
      <c r="AI1073" s="25"/>
      <c r="AJ1073" s="25"/>
      <c r="AK1073" s="25"/>
      <c r="AL1073" s="25"/>
      <c r="AM1073" s="25"/>
      <c r="AN1073" s="25"/>
      <c r="AO1073" s="25"/>
      <c r="AP1073" s="25"/>
      <c r="AQ1073" s="25"/>
      <c r="AR1073" s="25"/>
      <c r="AS1073" s="25"/>
      <c r="AT1073" s="25"/>
      <c r="AU1073" s="25"/>
      <c r="AV1073" s="25"/>
      <c r="AW1073" s="25"/>
      <c r="AX1073" s="25"/>
      <c r="AY1073" s="25"/>
      <c r="AZ1073" s="25"/>
      <c r="BA1073" s="25"/>
      <c r="BB1073" s="25"/>
      <c r="BC1073" s="25"/>
      <c r="BD1073" s="25"/>
      <c r="BE1073" s="25"/>
      <c r="BF1073" s="25"/>
      <c r="BG1073" s="25"/>
      <c r="BH1073" s="25"/>
      <c r="BI1073" s="25"/>
      <c r="BJ1073" s="25"/>
      <c r="BK1073" s="25"/>
      <c r="BL1073" s="25"/>
      <c r="BM1073" s="25"/>
      <c r="BN1073" s="25"/>
      <c r="BO1073" s="25"/>
      <c r="BP1073" s="25"/>
      <c r="BQ1073" s="25"/>
      <c r="BR1073" s="25"/>
      <c r="BS1073" s="25"/>
      <c r="BT1073" s="25"/>
      <c r="BU1073" s="25"/>
      <c r="BV1073" s="25"/>
      <c r="BW1073" s="25"/>
      <c r="BX1073" s="25"/>
      <c r="BY1073" s="25"/>
      <c r="BZ1073" s="25"/>
      <c r="CA1073" s="25"/>
      <c r="CB1073" s="25"/>
    </row>
    <row r="1074" spans="1:80" ht="12.75" hidden="1" customHeight="1">
      <c r="A1074" s="10">
        <f ca="1">IFERROR(__xludf.DUMMYFUNCTION("""COMPUTED_VALUE"""),2015)</f>
        <v>2015</v>
      </c>
      <c r="B1074" s="50">
        <f ca="1">IFERROR(__xludf.DUMMYFUNCTION("""COMPUTED_VALUE"""),42618)</f>
        <v>42618</v>
      </c>
      <c r="C1074" s="41">
        <f ca="1">IFERROR(__xludf.DUMMYFUNCTION("""COMPUTED_VALUE"""),42618)</f>
        <v>42618</v>
      </c>
      <c r="D1074" s="42" t="str">
        <f ca="1">IFERROR(__xludf.DUMMYFUNCTION("""COMPUTED_VALUE"""),"Water Pipit")</f>
        <v>Water Pipit</v>
      </c>
      <c r="E1074" s="53">
        <f ca="1">IFERROR(__xludf.DUMMYFUNCTION("""COMPUTED_VALUE"""),1)</f>
        <v>1</v>
      </c>
      <c r="F1074" s="15"/>
      <c r="G1074" s="44" t="str">
        <f ca="1">IFERROR(__xludf.DUMMYFUNCTION("""COMPUTED_VALUE"""),"Neston Old Quay")</f>
        <v>Neston Old Quay</v>
      </c>
      <c r="H1074" s="12">
        <f ca="1">IFERROR(__xludf.DUMMYFUNCTION("""COMPUTED_VALUE"""),42017)</f>
        <v>42017</v>
      </c>
      <c r="I1074" s="13"/>
      <c r="J1074" s="14" t="str">
        <f ca="1">IFERROR(__xludf.DUMMYFUNCTION("""COMPUTED_VALUE"""),"Williams, E")</f>
        <v>Williams, E</v>
      </c>
      <c r="K1074" s="15" t="str">
        <f ca="1">IFERROR(__xludf.DUMMYFUNCTION("""COMPUTED_VALUE"""),"Williams, E")</f>
        <v>Williams, E</v>
      </c>
      <c r="L1074" s="17" t="str">
        <f ca="1">IFERROR(__xludf.DUMMYFUNCTION("""COMPUTED_VALUE"""),"closed")</f>
        <v>closed</v>
      </c>
      <c r="M1074" s="17" t="str">
        <f ca="1">IFERROR(__xludf.DUMMYFUNCTION("""COMPUTED_VALUE"""),"1st U")</f>
        <v>1st U</v>
      </c>
      <c r="N1074" s="15" t="str">
        <f ca="1">IFERROR(__xludf.DUMMYFUNCTION("""COMPUTED_VALUE"""),"accepted")</f>
        <v>accepted</v>
      </c>
      <c r="O1074" s="18"/>
      <c r="P1074" s="15"/>
      <c r="Q1074" s="15"/>
      <c r="R1074" s="15"/>
      <c r="S1074" s="15"/>
      <c r="T1074" s="15"/>
      <c r="U1074" s="15"/>
      <c r="V1074" s="15"/>
      <c r="W1074" s="15"/>
      <c r="X1074" s="15"/>
      <c r="Y1074" s="15"/>
      <c r="Z1074" s="15"/>
      <c r="AA1074" s="15"/>
      <c r="AB1074" s="15"/>
      <c r="AC1074" s="15"/>
      <c r="AD1074" s="15"/>
      <c r="AE1074" s="15"/>
      <c r="AF1074" s="15"/>
      <c r="AG1074" s="15"/>
      <c r="AH1074" s="15"/>
      <c r="AI1074" s="15"/>
      <c r="AJ1074" s="15"/>
      <c r="AK1074" s="15"/>
      <c r="AL1074" s="15"/>
      <c r="AM1074" s="15"/>
      <c r="AN1074" s="15"/>
      <c r="AO1074" s="15"/>
      <c r="AP1074" s="15"/>
      <c r="AQ1074" s="15"/>
      <c r="AR1074" s="15"/>
      <c r="AS1074" s="15"/>
      <c r="AT1074" s="15"/>
      <c r="AU1074" s="15"/>
      <c r="AV1074" s="15"/>
      <c r="AW1074" s="15"/>
      <c r="AX1074" s="15"/>
      <c r="AY1074" s="15"/>
      <c r="AZ1074" s="15"/>
      <c r="BA1074" s="15"/>
      <c r="BB1074" s="15"/>
      <c r="BC1074" s="15"/>
      <c r="BD1074" s="15"/>
      <c r="BE1074" s="15"/>
      <c r="BF1074" s="15"/>
      <c r="BG1074" s="15"/>
      <c r="BH1074" s="15"/>
      <c r="BI1074" s="15"/>
      <c r="BJ1074" s="15"/>
      <c r="BK1074" s="15"/>
      <c r="BL1074" s="15"/>
      <c r="BM1074" s="15"/>
      <c r="BN1074" s="15"/>
      <c r="BO1074" s="15"/>
      <c r="BP1074" s="15"/>
      <c r="BQ1074" s="15"/>
      <c r="BR1074" s="15"/>
      <c r="BS1074" s="15"/>
      <c r="BT1074" s="15"/>
      <c r="BU1074" s="15"/>
      <c r="BV1074" s="15"/>
      <c r="BW1074" s="15"/>
      <c r="BX1074" s="15"/>
      <c r="BY1074" s="15"/>
      <c r="BZ1074" s="15"/>
      <c r="CA1074" s="15"/>
      <c r="CB1074" s="15"/>
    </row>
    <row r="1075" spans="1:80" ht="12.75" hidden="1" customHeight="1">
      <c r="A1075" s="20">
        <f ca="1">IFERROR(__xludf.DUMMYFUNCTION("""COMPUTED_VALUE"""),2015)</f>
        <v>2015</v>
      </c>
      <c r="B1075" s="45">
        <f ca="1">IFERROR(__xludf.DUMMYFUNCTION("""COMPUTED_VALUE"""),42618)</f>
        <v>42618</v>
      </c>
      <c r="C1075" s="46">
        <f ca="1">IFERROR(__xludf.DUMMYFUNCTION("""COMPUTED_VALUE"""),42618)</f>
        <v>42618</v>
      </c>
      <c r="D1075" s="47" t="str">
        <f ca="1">IFERROR(__xludf.DUMMYFUNCTION("""COMPUTED_VALUE"""),"Water Pipit")</f>
        <v>Water Pipit</v>
      </c>
      <c r="E1075" s="52">
        <f ca="1">IFERROR(__xludf.DUMMYFUNCTION("""COMPUTED_VALUE"""),1)</f>
        <v>1</v>
      </c>
      <c r="F1075" s="25"/>
      <c r="G1075" s="48" t="str">
        <f ca="1">IFERROR(__xludf.DUMMYFUNCTION("""COMPUTED_VALUE"""),"Neston Old Quay")</f>
        <v>Neston Old Quay</v>
      </c>
      <c r="H1075" s="22">
        <f ca="1">IFERROR(__xludf.DUMMYFUNCTION("""COMPUTED_VALUE"""),42023)</f>
        <v>42023</v>
      </c>
      <c r="I1075" s="22"/>
      <c r="J1075" s="24" t="str">
        <f ca="1">IFERROR(__xludf.DUMMYFUNCTION("""COMPUTED_VALUE"""),"Williams, E")</f>
        <v>Williams, E</v>
      </c>
      <c r="K1075" s="25" t="str">
        <f ca="1">IFERROR(__xludf.DUMMYFUNCTION("""COMPUTED_VALUE"""),"Williams, E")</f>
        <v>Williams, E</v>
      </c>
      <c r="L1075" s="27" t="str">
        <f ca="1">IFERROR(__xludf.DUMMYFUNCTION("""COMPUTED_VALUE"""),"closed")</f>
        <v>closed</v>
      </c>
      <c r="M1075" s="27" t="str">
        <f ca="1">IFERROR(__xludf.DUMMYFUNCTION("""COMPUTED_VALUE"""),"1st U")</f>
        <v>1st U</v>
      </c>
      <c r="N1075" s="25" t="str">
        <f ca="1">IFERROR(__xludf.DUMMYFUNCTION("""COMPUTED_VALUE"""),"accepted")</f>
        <v>accepted</v>
      </c>
      <c r="O1075" s="28"/>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c r="AK1075" s="25"/>
      <c r="AL1075" s="25"/>
      <c r="AM1075" s="25"/>
      <c r="AN1075" s="25"/>
      <c r="AO1075" s="25"/>
      <c r="AP1075" s="25"/>
      <c r="AQ1075" s="25"/>
      <c r="AR1075" s="25"/>
      <c r="AS1075" s="25"/>
      <c r="AT1075" s="25"/>
      <c r="AU1075" s="25"/>
      <c r="AV1075" s="25"/>
      <c r="AW1075" s="25"/>
      <c r="AX1075" s="25"/>
      <c r="AY1075" s="25"/>
      <c r="AZ1075" s="25"/>
      <c r="BA1075" s="25"/>
      <c r="BB1075" s="25"/>
      <c r="BC1075" s="25"/>
      <c r="BD1075" s="25"/>
      <c r="BE1075" s="25"/>
      <c r="BF1075" s="25"/>
      <c r="BG1075" s="25"/>
      <c r="BH1075" s="25"/>
      <c r="BI1075" s="25"/>
      <c r="BJ1075" s="25"/>
      <c r="BK1075" s="25"/>
      <c r="BL1075" s="25"/>
      <c r="BM1075" s="25"/>
      <c r="BN1075" s="25"/>
      <c r="BO1075" s="25"/>
      <c r="BP1075" s="25"/>
      <c r="BQ1075" s="25"/>
      <c r="BR1075" s="25"/>
      <c r="BS1075" s="25"/>
      <c r="BT1075" s="25"/>
      <c r="BU1075" s="25"/>
      <c r="BV1075" s="25"/>
      <c r="BW1075" s="25"/>
      <c r="BX1075" s="25"/>
      <c r="BY1075" s="25"/>
      <c r="BZ1075" s="25"/>
      <c r="CA1075" s="25"/>
      <c r="CB1075" s="25"/>
    </row>
    <row r="1076" spans="1:80" ht="12.75" hidden="1" customHeight="1">
      <c r="A1076" s="10">
        <f ca="1">IFERROR(__xludf.DUMMYFUNCTION("""COMPUTED_VALUE"""),2015)</f>
        <v>2015</v>
      </c>
      <c r="B1076" s="50">
        <f ca="1">IFERROR(__xludf.DUMMYFUNCTION("""COMPUTED_VALUE"""),42618)</f>
        <v>42618</v>
      </c>
      <c r="C1076" s="41">
        <f ca="1">IFERROR(__xludf.DUMMYFUNCTION("""COMPUTED_VALUE"""),42618)</f>
        <v>42618</v>
      </c>
      <c r="D1076" s="42" t="str">
        <f ca="1">IFERROR(__xludf.DUMMYFUNCTION("""COMPUTED_VALUE"""),"Water Pipit")</f>
        <v>Water Pipit</v>
      </c>
      <c r="E1076" s="53">
        <f ca="1">IFERROR(__xludf.DUMMYFUNCTION("""COMPUTED_VALUE"""),2)</f>
        <v>2</v>
      </c>
      <c r="F1076" s="15"/>
      <c r="G1076" s="44" t="str">
        <f ca="1">IFERROR(__xludf.DUMMYFUNCTION("""COMPUTED_VALUE"""),"Neston Old Quay")</f>
        <v>Neston Old Quay</v>
      </c>
      <c r="H1076" s="12">
        <f ca="1">IFERROR(__xludf.DUMMYFUNCTION("""COMPUTED_VALUE"""),42026)</f>
        <v>42026</v>
      </c>
      <c r="I1076" s="12"/>
      <c r="J1076" s="14" t="str">
        <f ca="1">IFERROR(__xludf.DUMMYFUNCTION("""COMPUTED_VALUE"""),"Williams, E")</f>
        <v>Williams, E</v>
      </c>
      <c r="K1076" s="15" t="str">
        <f ca="1">IFERROR(__xludf.DUMMYFUNCTION("""COMPUTED_VALUE"""),"Williams, E")</f>
        <v>Williams, E</v>
      </c>
      <c r="L1076" s="17" t="str">
        <f ca="1">IFERROR(__xludf.DUMMYFUNCTION("""COMPUTED_VALUE"""),"closed")</f>
        <v>closed</v>
      </c>
      <c r="M1076" s="17" t="str">
        <f ca="1">IFERROR(__xludf.DUMMYFUNCTION("""COMPUTED_VALUE"""),"1st U")</f>
        <v>1st U</v>
      </c>
      <c r="N1076" s="15" t="str">
        <f ca="1">IFERROR(__xludf.DUMMYFUNCTION("""COMPUTED_VALUE"""),"accepted")</f>
        <v>accepted</v>
      </c>
      <c r="O1076" s="18"/>
      <c r="P1076" s="15"/>
      <c r="Q1076" s="15"/>
      <c r="R1076" s="15"/>
      <c r="S1076" s="15"/>
      <c r="T1076" s="15"/>
      <c r="U1076" s="15"/>
      <c r="V1076" s="15"/>
      <c r="W1076" s="15"/>
      <c r="X1076" s="15"/>
      <c r="Y1076" s="15"/>
      <c r="Z1076" s="15"/>
      <c r="AA1076" s="15"/>
      <c r="AB1076" s="15"/>
      <c r="AC1076" s="15"/>
      <c r="AD1076" s="15"/>
      <c r="AE1076" s="15"/>
      <c r="AF1076" s="15"/>
      <c r="AG1076" s="15"/>
      <c r="AH1076" s="15"/>
      <c r="AI1076" s="15"/>
      <c r="AJ1076" s="15"/>
      <c r="AK1076" s="15"/>
      <c r="AL1076" s="15"/>
      <c r="AM1076" s="15"/>
      <c r="AN1076" s="15"/>
      <c r="AO1076" s="15"/>
      <c r="AP1076" s="15"/>
      <c r="AQ1076" s="15"/>
      <c r="AR1076" s="15"/>
      <c r="AS1076" s="15"/>
      <c r="AT1076" s="15"/>
      <c r="AU1076" s="15"/>
      <c r="AV1076" s="15"/>
      <c r="AW1076" s="15"/>
      <c r="AX1076" s="15"/>
      <c r="AY1076" s="15"/>
      <c r="AZ1076" s="15"/>
      <c r="BA1076" s="15"/>
      <c r="BB1076" s="15"/>
      <c r="BC1076" s="15"/>
      <c r="BD1076" s="15"/>
      <c r="BE1076" s="15"/>
      <c r="BF1076" s="15"/>
      <c r="BG1076" s="15"/>
      <c r="BH1076" s="15"/>
      <c r="BI1076" s="15"/>
      <c r="BJ1076" s="15"/>
      <c r="BK1076" s="15"/>
      <c r="BL1076" s="15"/>
      <c r="BM1076" s="15"/>
      <c r="BN1076" s="15"/>
      <c r="BO1076" s="15"/>
      <c r="BP1076" s="15"/>
      <c r="BQ1076" s="15"/>
      <c r="BR1076" s="15"/>
      <c r="BS1076" s="15"/>
      <c r="BT1076" s="15"/>
      <c r="BU1076" s="15"/>
      <c r="BV1076" s="15"/>
      <c r="BW1076" s="15"/>
      <c r="BX1076" s="15"/>
      <c r="BY1076" s="15"/>
      <c r="BZ1076" s="15"/>
      <c r="CA1076" s="15"/>
      <c r="CB1076" s="15"/>
    </row>
    <row r="1077" spans="1:80" ht="12.75" hidden="1" customHeight="1">
      <c r="A1077" s="20">
        <f ca="1">IFERROR(__xludf.DUMMYFUNCTION("""COMPUTED_VALUE"""),2015)</f>
        <v>2015</v>
      </c>
      <c r="B1077" s="45">
        <f ca="1">IFERROR(__xludf.DUMMYFUNCTION("""COMPUTED_VALUE"""),42618)</f>
        <v>42618</v>
      </c>
      <c r="C1077" s="46">
        <f ca="1">IFERROR(__xludf.DUMMYFUNCTION("""COMPUTED_VALUE"""),42618)</f>
        <v>42618</v>
      </c>
      <c r="D1077" s="47" t="str">
        <f ca="1">IFERROR(__xludf.DUMMYFUNCTION("""COMPUTED_VALUE"""),"Water Pipit")</f>
        <v>Water Pipit</v>
      </c>
      <c r="E1077" s="52">
        <f ca="1">IFERROR(__xludf.DUMMYFUNCTION("""COMPUTED_VALUE"""),1)</f>
        <v>1</v>
      </c>
      <c r="F1077" s="25"/>
      <c r="G1077" s="48" t="str">
        <f ca="1">IFERROR(__xludf.DUMMYFUNCTION("""COMPUTED_VALUE"""),"Neston Sewage Works")</f>
        <v>Neston Sewage Works</v>
      </c>
      <c r="H1077" s="22">
        <f ca="1">IFERROR(__xludf.DUMMYFUNCTION("""COMPUTED_VALUE"""),42042)</f>
        <v>42042</v>
      </c>
      <c r="I1077" s="22">
        <f ca="1">IFERROR(__xludf.DUMMYFUNCTION("""COMPUTED_VALUE"""),42042)</f>
        <v>42042</v>
      </c>
      <c r="J1077" s="24" t="str">
        <f ca="1">IFERROR(__xludf.DUMMYFUNCTION("""COMPUTED_VALUE"""),"Burgess, M P")</f>
        <v>Burgess, M P</v>
      </c>
      <c r="K1077" s="25"/>
      <c r="L1077" s="27" t="str">
        <f ca="1">IFERROR(__xludf.DUMMYFUNCTION("""COMPUTED_VALUE"""),"closed")</f>
        <v>closed</v>
      </c>
      <c r="M1077" s="27" t="str">
        <f ca="1">IFERROR(__xludf.DUMMYFUNCTION("""COMPUTED_VALUE"""),"proxy")</f>
        <v>proxy</v>
      </c>
      <c r="N1077" s="25" t="str">
        <f ca="1">IFERROR(__xludf.DUMMYFUNCTION("""COMPUTED_VALUE"""),"accepted")</f>
        <v>accepted</v>
      </c>
      <c r="O1077" s="28"/>
      <c r="P1077" s="25"/>
      <c r="Q1077" s="40"/>
      <c r="R1077" s="40"/>
      <c r="S1077" s="25"/>
      <c r="T1077" s="25"/>
      <c r="U1077" s="25"/>
      <c r="V1077" s="25"/>
      <c r="W1077" s="25"/>
      <c r="X1077" s="25"/>
      <c r="Y1077" s="25"/>
      <c r="Z1077" s="25"/>
      <c r="AA1077" s="25"/>
      <c r="AB1077" s="25"/>
      <c r="AC1077" s="25"/>
      <c r="AD1077" s="25"/>
      <c r="AE1077" s="25"/>
      <c r="AF1077" s="25"/>
      <c r="AG1077" s="25"/>
      <c r="AH1077" s="25"/>
      <c r="AI1077" s="25"/>
      <c r="AJ1077" s="25"/>
      <c r="AK1077" s="25"/>
      <c r="AL1077" s="25"/>
      <c r="AM1077" s="25"/>
      <c r="AN1077" s="25"/>
      <c r="AO1077" s="25"/>
      <c r="AP1077" s="25"/>
      <c r="AQ1077" s="25"/>
      <c r="AR1077" s="25"/>
      <c r="AS1077" s="25"/>
      <c r="AT1077" s="25"/>
      <c r="AU1077" s="25"/>
      <c r="AV1077" s="25"/>
      <c r="AW1077" s="25"/>
      <c r="AX1077" s="25"/>
      <c r="AY1077" s="25"/>
      <c r="AZ1077" s="25"/>
      <c r="BA1077" s="25"/>
      <c r="BB1077" s="25"/>
      <c r="BC1077" s="25"/>
      <c r="BD1077" s="25"/>
      <c r="BE1077" s="25"/>
      <c r="BF1077" s="25"/>
      <c r="BG1077" s="25"/>
      <c r="BH1077" s="25"/>
      <c r="BI1077" s="25"/>
      <c r="BJ1077" s="25"/>
      <c r="BK1077" s="25"/>
      <c r="BL1077" s="25"/>
      <c r="BM1077" s="25"/>
      <c r="BN1077" s="25"/>
      <c r="BO1077" s="25"/>
      <c r="BP1077" s="25"/>
      <c r="BQ1077" s="25"/>
      <c r="BR1077" s="25"/>
      <c r="BS1077" s="25"/>
      <c r="BT1077" s="25"/>
      <c r="BU1077" s="25"/>
      <c r="BV1077" s="25"/>
      <c r="BW1077" s="25"/>
      <c r="BX1077" s="25"/>
      <c r="BY1077" s="25"/>
      <c r="BZ1077" s="25"/>
      <c r="CA1077" s="25"/>
      <c r="CB1077" s="25"/>
    </row>
    <row r="1078" spans="1:80" ht="12.75" hidden="1" customHeight="1">
      <c r="A1078" s="10">
        <f ca="1">IFERROR(__xludf.DUMMYFUNCTION("""COMPUTED_VALUE"""),2015)</f>
        <v>2015</v>
      </c>
      <c r="B1078" s="50">
        <f ca="1">IFERROR(__xludf.DUMMYFUNCTION("""COMPUTED_VALUE"""),42618)</f>
        <v>42618</v>
      </c>
      <c r="C1078" s="41">
        <f ca="1">IFERROR(__xludf.DUMMYFUNCTION("""COMPUTED_VALUE"""),42618)</f>
        <v>42618</v>
      </c>
      <c r="D1078" s="42" t="str">
        <f ca="1">IFERROR(__xludf.DUMMYFUNCTION("""COMPUTED_VALUE"""),"Water Pipit")</f>
        <v>Water Pipit</v>
      </c>
      <c r="E1078" s="53">
        <f ca="1">IFERROR(__xludf.DUMMYFUNCTION("""COMPUTED_VALUE"""),1)</f>
        <v>1</v>
      </c>
      <c r="F1078" s="15"/>
      <c r="G1078" s="44" t="str">
        <f ca="1">IFERROR(__xludf.DUMMYFUNCTION("""COMPUTED_VALUE"""),"Neston SF")</f>
        <v>Neston SF</v>
      </c>
      <c r="H1078" s="12">
        <f ca="1">IFERROR(__xludf.DUMMYFUNCTION("""COMPUTED_VALUE"""),42051)</f>
        <v>42051</v>
      </c>
      <c r="I1078" s="13"/>
      <c r="J1078" s="14" t="str">
        <f ca="1">IFERROR(__xludf.DUMMYFUNCTION("""COMPUTED_VALUE"""),"Burns, F")</f>
        <v>Burns, F</v>
      </c>
      <c r="K1078" s="15"/>
      <c r="L1078" s="17" t="str">
        <f ca="1">IFERROR(__xludf.DUMMYFUNCTION("""COMPUTED_VALUE"""),"closed")</f>
        <v>closed</v>
      </c>
      <c r="M1078" s="17" t="str">
        <f ca="1">IFERROR(__xludf.DUMMYFUNCTION("""COMPUTED_VALUE"""),"1st M")</f>
        <v>1st M</v>
      </c>
      <c r="N1078" s="15" t="str">
        <f ca="1">IFERROR(__xludf.DUMMYFUNCTION("""COMPUTED_VALUE"""),"accepted")</f>
        <v>accepted</v>
      </c>
      <c r="O1078" s="18"/>
      <c r="P1078" s="15"/>
      <c r="Q1078" s="58"/>
      <c r="R1078" s="58"/>
      <c r="S1078" s="15"/>
      <c r="T1078" s="15"/>
      <c r="U1078" s="15"/>
      <c r="V1078" s="15"/>
      <c r="W1078" s="15"/>
      <c r="X1078" s="15"/>
      <c r="Y1078" s="15"/>
      <c r="Z1078" s="15"/>
      <c r="AA1078" s="15"/>
      <c r="AB1078" s="15"/>
      <c r="AC1078" s="15"/>
      <c r="AD1078" s="15"/>
      <c r="AE1078" s="15"/>
      <c r="AF1078" s="15"/>
      <c r="AG1078" s="15"/>
      <c r="AH1078" s="15"/>
      <c r="AI1078" s="15"/>
      <c r="AJ1078" s="15"/>
      <c r="AK1078" s="15"/>
      <c r="AL1078" s="15"/>
      <c r="AM1078" s="15"/>
      <c r="AN1078" s="15"/>
      <c r="AO1078" s="15"/>
      <c r="AP1078" s="15"/>
      <c r="AQ1078" s="15"/>
      <c r="AR1078" s="15"/>
      <c r="AS1078" s="15"/>
      <c r="AT1078" s="15"/>
      <c r="AU1078" s="15"/>
      <c r="AV1078" s="15"/>
      <c r="AW1078" s="15"/>
      <c r="AX1078" s="15"/>
      <c r="AY1078" s="15"/>
      <c r="AZ1078" s="15"/>
      <c r="BA1078" s="15"/>
      <c r="BB1078" s="15"/>
      <c r="BC1078" s="15"/>
      <c r="BD1078" s="15"/>
      <c r="BE1078" s="15"/>
      <c r="BF1078" s="15"/>
      <c r="BG1078" s="15"/>
      <c r="BH1078" s="15"/>
      <c r="BI1078" s="15"/>
      <c r="BJ1078" s="15"/>
      <c r="BK1078" s="15"/>
      <c r="BL1078" s="15"/>
      <c r="BM1078" s="15"/>
      <c r="BN1078" s="15"/>
      <c r="BO1078" s="15"/>
      <c r="BP1078" s="15"/>
      <c r="BQ1078" s="15"/>
      <c r="BR1078" s="15"/>
      <c r="BS1078" s="15"/>
      <c r="BT1078" s="15"/>
      <c r="BU1078" s="15"/>
      <c r="BV1078" s="15"/>
      <c r="BW1078" s="15"/>
      <c r="BX1078" s="15"/>
      <c r="BY1078" s="15"/>
      <c r="BZ1078" s="15"/>
      <c r="CA1078" s="15"/>
      <c r="CB1078" s="15"/>
    </row>
    <row r="1079" spans="1:80" ht="12.75" hidden="1" customHeight="1">
      <c r="A1079" s="20">
        <f ca="1">IFERROR(__xludf.DUMMYFUNCTION("""COMPUTED_VALUE"""),2015)</f>
        <v>2015</v>
      </c>
      <c r="B1079" s="45">
        <f ca="1">IFERROR(__xludf.DUMMYFUNCTION("""COMPUTED_VALUE"""),42618)</f>
        <v>42618</v>
      </c>
      <c r="C1079" s="46">
        <f ca="1">IFERROR(__xludf.DUMMYFUNCTION("""COMPUTED_VALUE"""),42618)</f>
        <v>42618</v>
      </c>
      <c r="D1079" s="47" t="str">
        <f ca="1">IFERROR(__xludf.DUMMYFUNCTION("""COMPUTED_VALUE"""),"Water Pipit")</f>
        <v>Water Pipit</v>
      </c>
      <c r="E1079" s="52">
        <f ca="1">IFERROR(__xludf.DUMMYFUNCTION("""COMPUTED_VALUE"""),3)</f>
        <v>3</v>
      </c>
      <c r="F1079" s="25"/>
      <c r="G1079" s="48" t="str">
        <f ca="1">IFERROR(__xludf.DUMMYFUNCTION("""COMPUTED_VALUE"""),"Neston Old Quay")</f>
        <v>Neston Old Quay</v>
      </c>
      <c r="H1079" s="22">
        <f ca="1">IFERROR(__xludf.DUMMYFUNCTION("""COMPUTED_VALUE"""),42052)</f>
        <v>42052</v>
      </c>
      <c r="I1079" s="22"/>
      <c r="J1079" s="24" t="str">
        <f ca="1">IFERROR(__xludf.DUMMYFUNCTION("""COMPUTED_VALUE"""),"Williams, E")</f>
        <v>Williams, E</v>
      </c>
      <c r="K1079" s="25" t="str">
        <f ca="1">IFERROR(__xludf.DUMMYFUNCTION("""COMPUTED_VALUE"""),"Williams, E")</f>
        <v>Williams, E</v>
      </c>
      <c r="L1079" s="27" t="str">
        <f ca="1">IFERROR(__xludf.DUMMYFUNCTION("""COMPUTED_VALUE"""),"closed")</f>
        <v>closed</v>
      </c>
      <c r="M1079" s="27" t="str">
        <f ca="1">IFERROR(__xludf.DUMMYFUNCTION("""COMPUTED_VALUE"""),"1st U")</f>
        <v>1st U</v>
      </c>
      <c r="N1079" s="25" t="str">
        <f ca="1">IFERROR(__xludf.DUMMYFUNCTION("""COMPUTED_VALUE"""),"accepted")</f>
        <v>accepted</v>
      </c>
      <c r="O1079" s="28"/>
      <c r="P1079" s="25"/>
      <c r="Q1079" s="40"/>
      <c r="R1079" s="40"/>
      <c r="S1079" s="25"/>
      <c r="T1079" s="25"/>
      <c r="U1079" s="25"/>
      <c r="V1079" s="25"/>
      <c r="W1079" s="25"/>
      <c r="X1079" s="25"/>
      <c r="Y1079" s="25"/>
      <c r="Z1079" s="25"/>
      <c r="AA1079" s="25"/>
      <c r="AB1079" s="25"/>
      <c r="AC1079" s="25"/>
      <c r="AD1079" s="25"/>
      <c r="AE1079" s="25"/>
      <c r="AF1079" s="25"/>
      <c r="AG1079" s="25"/>
      <c r="AH1079" s="25"/>
      <c r="AI1079" s="25"/>
      <c r="AJ1079" s="25"/>
      <c r="AK1079" s="25"/>
      <c r="AL1079" s="25"/>
      <c r="AM1079" s="25"/>
      <c r="AN1079" s="25"/>
      <c r="AO1079" s="25"/>
      <c r="AP1079" s="25"/>
      <c r="AQ1079" s="25"/>
      <c r="AR1079" s="25"/>
      <c r="AS1079" s="25"/>
      <c r="AT1079" s="25"/>
      <c r="AU1079" s="25"/>
      <c r="AV1079" s="25"/>
      <c r="AW1079" s="25"/>
      <c r="AX1079" s="25"/>
      <c r="AY1079" s="25"/>
      <c r="AZ1079" s="25"/>
      <c r="BA1079" s="25"/>
      <c r="BB1079" s="25"/>
      <c r="BC1079" s="25"/>
      <c r="BD1079" s="25"/>
      <c r="BE1079" s="25"/>
      <c r="BF1079" s="25"/>
      <c r="BG1079" s="25"/>
      <c r="BH1079" s="25"/>
      <c r="BI1079" s="25"/>
      <c r="BJ1079" s="25"/>
      <c r="BK1079" s="25"/>
      <c r="BL1079" s="25"/>
      <c r="BM1079" s="25"/>
      <c r="BN1079" s="25"/>
      <c r="BO1079" s="25"/>
      <c r="BP1079" s="25"/>
      <c r="BQ1079" s="25"/>
      <c r="BR1079" s="25"/>
      <c r="BS1079" s="25"/>
      <c r="BT1079" s="25"/>
      <c r="BU1079" s="25"/>
      <c r="BV1079" s="25"/>
      <c r="BW1079" s="25"/>
      <c r="BX1079" s="25"/>
      <c r="BY1079" s="25"/>
      <c r="BZ1079" s="25"/>
      <c r="CA1079" s="25"/>
      <c r="CB1079" s="25"/>
    </row>
    <row r="1080" spans="1:80" ht="12.75" hidden="1" customHeight="1">
      <c r="A1080" s="10">
        <f ca="1">IFERROR(__xludf.DUMMYFUNCTION("""COMPUTED_VALUE"""),2015)</f>
        <v>2015</v>
      </c>
      <c r="B1080" s="50">
        <f ca="1">IFERROR(__xludf.DUMMYFUNCTION("""COMPUTED_VALUE"""),42618)</f>
        <v>42618</v>
      </c>
      <c r="C1080" s="41">
        <f ca="1">IFERROR(__xludf.DUMMYFUNCTION("""COMPUTED_VALUE"""),42618)</f>
        <v>42618</v>
      </c>
      <c r="D1080" s="42" t="str">
        <f ca="1">IFERROR(__xludf.DUMMYFUNCTION("""COMPUTED_VALUE"""),"Water Pipit")</f>
        <v>Water Pipit</v>
      </c>
      <c r="E1080" s="53">
        <f ca="1">IFERROR(__xludf.DUMMYFUNCTION("""COMPUTED_VALUE"""),1)</f>
        <v>1</v>
      </c>
      <c r="F1080" s="15"/>
      <c r="G1080" s="44" t="str">
        <f ca="1">IFERROR(__xludf.DUMMYFUNCTION("""COMPUTED_VALUE"""),"Neston Old Quay")</f>
        <v>Neston Old Quay</v>
      </c>
      <c r="H1080" s="12">
        <f ca="1">IFERROR(__xludf.DUMMYFUNCTION("""COMPUTED_VALUE"""),42055)</f>
        <v>42055</v>
      </c>
      <c r="I1080" s="13"/>
      <c r="J1080" s="14" t="str">
        <f ca="1">IFERROR(__xludf.DUMMYFUNCTION("""COMPUTED_VALUE"""),"Williams, E")</f>
        <v>Williams, E</v>
      </c>
      <c r="K1080" s="15" t="str">
        <f ca="1">IFERROR(__xludf.DUMMYFUNCTION("""COMPUTED_VALUE"""),"Williams, E")</f>
        <v>Williams, E</v>
      </c>
      <c r="L1080" s="17" t="str">
        <f ca="1">IFERROR(__xludf.DUMMYFUNCTION("""COMPUTED_VALUE"""),"closed")</f>
        <v>closed</v>
      </c>
      <c r="M1080" s="17" t="str">
        <f ca="1">IFERROR(__xludf.DUMMYFUNCTION("""COMPUTED_VALUE"""),"1st U")</f>
        <v>1st U</v>
      </c>
      <c r="N1080" s="15" t="str">
        <f ca="1">IFERROR(__xludf.DUMMYFUNCTION("""COMPUTED_VALUE"""),"accepted")</f>
        <v>accepted</v>
      </c>
      <c r="O1080" s="18"/>
      <c r="P1080" s="15"/>
      <c r="Q1080" s="15"/>
      <c r="R1080" s="15"/>
      <c r="S1080" s="15"/>
      <c r="T1080" s="15"/>
      <c r="U1080" s="15"/>
      <c r="V1080" s="15"/>
      <c r="W1080" s="15"/>
      <c r="X1080" s="15"/>
      <c r="Y1080" s="15"/>
      <c r="Z1080" s="15"/>
      <c r="AA1080" s="15"/>
      <c r="AB1080" s="15"/>
      <c r="AC1080" s="15"/>
      <c r="AD1080" s="15"/>
      <c r="AE1080" s="15"/>
      <c r="AF1080" s="15"/>
      <c r="AG1080" s="15"/>
      <c r="AH1080" s="15"/>
      <c r="AI1080" s="15"/>
      <c r="AJ1080" s="15"/>
      <c r="AK1080" s="15"/>
      <c r="AL1080" s="15"/>
      <c r="AM1080" s="15"/>
      <c r="AN1080" s="15"/>
      <c r="AO1080" s="15"/>
      <c r="AP1080" s="15"/>
      <c r="AQ1080" s="15"/>
      <c r="AR1080" s="15"/>
      <c r="AS1080" s="15"/>
      <c r="AT1080" s="15"/>
      <c r="AU1080" s="15"/>
      <c r="AV1080" s="15"/>
      <c r="AW1080" s="15"/>
      <c r="AX1080" s="15"/>
      <c r="AY1080" s="15"/>
      <c r="AZ1080" s="15"/>
      <c r="BA1080" s="15"/>
      <c r="BB1080" s="15"/>
      <c r="BC1080" s="15"/>
      <c r="BD1080" s="15"/>
      <c r="BE1080" s="15"/>
      <c r="BF1080" s="15"/>
      <c r="BG1080" s="15"/>
      <c r="BH1080" s="15"/>
      <c r="BI1080" s="15"/>
      <c r="BJ1080" s="15"/>
      <c r="BK1080" s="15"/>
      <c r="BL1080" s="15"/>
      <c r="BM1080" s="15"/>
      <c r="BN1080" s="15"/>
      <c r="BO1080" s="15"/>
      <c r="BP1080" s="15"/>
      <c r="BQ1080" s="15"/>
      <c r="BR1080" s="15"/>
      <c r="BS1080" s="15"/>
      <c r="BT1080" s="15"/>
      <c r="BU1080" s="15"/>
      <c r="BV1080" s="15"/>
      <c r="BW1080" s="15"/>
      <c r="BX1080" s="15"/>
      <c r="BY1080" s="15"/>
      <c r="BZ1080" s="15"/>
      <c r="CA1080" s="15"/>
      <c r="CB1080" s="15"/>
    </row>
    <row r="1081" spans="1:80" ht="12.75" hidden="1" customHeight="1">
      <c r="A1081" s="20">
        <f ca="1">IFERROR(__xludf.DUMMYFUNCTION("""COMPUTED_VALUE"""),2015)</f>
        <v>2015</v>
      </c>
      <c r="B1081" s="45">
        <f ca="1">IFERROR(__xludf.DUMMYFUNCTION("""COMPUTED_VALUE"""),42618)</f>
        <v>42618</v>
      </c>
      <c r="C1081" s="46">
        <f ca="1">IFERROR(__xludf.DUMMYFUNCTION("""COMPUTED_VALUE"""),42618)</f>
        <v>42618</v>
      </c>
      <c r="D1081" s="47" t="str">
        <f ca="1">IFERROR(__xludf.DUMMYFUNCTION("""COMPUTED_VALUE"""),"Water Pipit")</f>
        <v>Water Pipit</v>
      </c>
      <c r="E1081" s="52">
        <f ca="1">IFERROR(__xludf.DUMMYFUNCTION("""COMPUTED_VALUE"""),2)</f>
        <v>2</v>
      </c>
      <c r="F1081" s="25"/>
      <c r="G1081" s="48" t="str">
        <f ca="1">IFERROR(__xludf.DUMMYFUNCTION("""COMPUTED_VALUE"""),"Neston Old Quay")</f>
        <v>Neston Old Quay</v>
      </c>
      <c r="H1081" s="22">
        <f ca="1">IFERROR(__xludf.DUMMYFUNCTION("""COMPUTED_VALUE"""),42327)</f>
        <v>42327</v>
      </c>
      <c r="I1081" s="22"/>
      <c r="J1081" s="24" t="str">
        <f ca="1">IFERROR(__xludf.DUMMYFUNCTION("""COMPUTED_VALUE"""),"Williams, E")</f>
        <v>Williams, E</v>
      </c>
      <c r="K1081" s="25" t="str">
        <f ca="1">IFERROR(__xludf.DUMMYFUNCTION("""COMPUTED_VALUE"""),"Williams, E")</f>
        <v>Williams, E</v>
      </c>
      <c r="L1081" s="27" t="str">
        <f ca="1">IFERROR(__xludf.DUMMYFUNCTION("""COMPUTED_VALUE"""),"closed")</f>
        <v>closed</v>
      </c>
      <c r="M1081" s="27" t="str">
        <f ca="1">IFERROR(__xludf.DUMMYFUNCTION("""COMPUTED_VALUE"""),"1st U")</f>
        <v>1st U</v>
      </c>
      <c r="N1081" s="25" t="str">
        <f ca="1">IFERROR(__xludf.DUMMYFUNCTION("""COMPUTED_VALUE"""),"accepted")</f>
        <v>accepted</v>
      </c>
      <c r="O1081" s="28"/>
      <c r="P1081" s="25"/>
      <c r="Q1081" s="25"/>
      <c r="R1081" s="25"/>
      <c r="S1081" s="25"/>
      <c r="T1081" s="25"/>
      <c r="U1081" s="25"/>
      <c r="V1081" s="25"/>
      <c r="W1081" s="25"/>
      <c r="X1081" s="25"/>
      <c r="Y1081" s="25"/>
      <c r="Z1081" s="25"/>
      <c r="AA1081" s="25"/>
      <c r="AB1081" s="25"/>
      <c r="AC1081" s="25"/>
      <c r="AD1081" s="25"/>
      <c r="AE1081" s="25"/>
      <c r="AF1081" s="25"/>
      <c r="AG1081" s="25"/>
      <c r="AH1081" s="25"/>
      <c r="AI1081" s="25"/>
      <c r="AJ1081" s="25"/>
      <c r="AK1081" s="25"/>
      <c r="AL1081" s="25"/>
      <c r="AM1081" s="25"/>
      <c r="AN1081" s="25"/>
      <c r="AO1081" s="25"/>
      <c r="AP1081" s="25"/>
      <c r="AQ1081" s="25"/>
      <c r="AR1081" s="25"/>
      <c r="AS1081" s="25"/>
      <c r="AT1081" s="25"/>
      <c r="AU1081" s="25"/>
      <c r="AV1081" s="25"/>
      <c r="AW1081" s="25"/>
      <c r="AX1081" s="25"/>
      <c r="AY1081" s="25"/>
      <c r="AZ1081" s="25"/>
      <c r="BA1081" s="25"/>
      <c r="BB1081" s="25"/>
      <c r="BC1081" s="25"/>
      <c r="BD1081" s="25"/>
      <c r="BE1081" s="25"/>
      <c r="BF1081" s="25"/>
      <c r="BG1081" s="25"/>
      <c r="BH1081" s="25"/>
      <c r="BI1081" s="25"/>
      <c r="BJ1081" s="25"/>
      <c r="BK1081" s="25"/>
      <c r="BL1081" s="25"/>
      <c r="BM1081" s="25"/>
      <c r="BN1081" s="25"/>
      <c r="BO1081" s="25"/>
      <c r="BP1081" s="25"/>
      <c r="BQ1081" s="25"/>
      <c r="BR1081" s="25"/>
      <c r="BS1081" s="25"/>
      <c r="BT1081" s="25"/>
      <c r="BU1081" s="25"/>
      <c r="BV1081" s="25"/>
      <c r="BW1081" s="25"/>
      <c r="BX1081" s="25"/>
      <c r="BY1081" s="25"/>
      <c r="BZ1081" s="25"/>
      <c r="CA1081" s="25"/>
      <c r="CB1081" s="25"/>
    </row>
    <row r="1082" spans="1:80" ht="12.75" hidden="1" customHeight="1">
      <c r="A1082" s="10">
        <f ca="1">IFERROR(__xludf.DUMMYFUNCTION("""COMPUTED_VALUE"""),2015)</f>
        <v>2015</v>
      </c>
      <c r="B1082" s="50">
        <f ca="1">IFERROR(__xludf.DUMMYFUNCTION("""COMPUTED_VALUE"""),42618)</f>
        <v>42618</v>
      </c>
      <c r="C1082" s="41">
        <f ca="1">IFERROR(__xludf.DUMMYFUNCTION("""COMPUTED_VALUE"""),42618)</f>
        <v>42618</v>
      </c>
      <c r="D1082" s="42" t="str">
        <f ca="1">IFERROR(__xludf.DUMMYFUNCTION("""COMPUTED_VALUE"""),"Water Pipit")</f>
        <v>Water Pipit</v>
      </c>
      <c r="E1082" s="53">
        <f ca="1">IFERROR(__xludf.DUMMYFUNCTION("""COMPUTED_VALUE"""),3)</f>
        <v>3</v>
      </c>
      <c r="F1082" s="15"/>
      <c r="G1082" s="44" t="str">
        <f ca="1">IFERROR(__xludf.DUMMYFUNCTION("""COMPUTED_VALUE"""),"Neston Old Quay")</f>
        <v>Neston Old Quay</v>
      </c>
      <c r="H1082" s="12">
        <f ca="1">IFERROR(__xludf.DUMMYFUNCTION("""COMPUTED_VALUE"""),42346)</f>
        <v>42346</v>
      </c>
      <c r="I1082" s="13"/>
      <c r="J1082" s="14" t="str">
        <f ca="1">IFERROR(__xludf.DUMMYFUNCTION("""COMPUTED_VALUE"""),"Williams, E")</f>
        <v>Williams, E</v>
      </c>
      <c r="K1082" s="15" t="str">
        <f ca="1">IFERROR(__xludf.DUMMYFUNCTION("""COMPUTED_VALUE"""),"Williams, E")</f>
        <v>Williams, E</v>
      </c>
      <c r="L1082" s="17" t="str">
        <f ca="1">IFERROR(__xludf.DUMMYFUNCTION("""COMPUTED_VALUE"""),"closed")</f>
        <v>closed</v>
      </c>
      <c r="M1082" s="17" t="str">
        <f ca="1">IFERROR(__xludf.DUMMYFUNCTION("""COMPUTED_VALUE"""),"1st U")</f>
        <v>1st U</v>
      </c>
      <c r="N1082" s="15" t="str">
        <f ca="1">IFERROR(__xludf.DUMMYFUNCTION("""COMPUTED_VALUE"""),"accepted")</f>
        <v>accepted</v>
      </c>
      <c r="O1082" s="18"/>
      <c r="P1082" s="15"/>
      <c r="Q1082" s="15"/>
      <c r="R1082" s="15"/>
      <c r="S1082" s="15"/>
      <c r="T1082" s="15"/>
      <c r="U1082" s="15"/>
      <c r="V1082" s="15"/>
      <c r="W1082" s="15"/>
      <c r="X1082" s="15"/>
      <c r="Y1082" s="15"/>
      <c r="Z1082" s="15"/>
      <c r="AA1082" s="15"/>
      <c r="AB1082" s="15"/>
      <c r="AC1082" s="15"/>
      <c r="AD1082" s="15"/>
      <c r="AE1082" s="15"/>
      <c r="AF1082" s="15"/>
      <c r="AG1082" s="15"/>
      <c r="AH1082" s="15"/>
      <c r="AI1082" s="15"/>
      <c r="AJ1082" s="15"/>
      <c r="AK1082" s="15"/>
      <c r="AL1082" s="15"/>
      <c r="AM1082" s="15"/>
      <c r="AN1082" s="15"/>
      <c r="AO1082" s="15"/>
      <c r="AP1082" s="15"/>
      <c r="AQ1082" s="15"/>
      <c r="AR1082" s="15"/>
      <c r="AS1082" s="15"/>
      <c r="AT1082" s="15"/>
      <c r="AU1082" s="15"/>
      <c r="AV1082" s="15"/>
      <c r="AW1082" s="15"/>
      <c r="AX1082" s="15"/>
      <c r="AY1082" s="15"/>
      <c r="AZ1082" s="15"/>
      <c r="BA1082" s="15"/>
      <c r="BB1082" s="15"/>
      <c r="BC1082" s="15"/>
      <c r="BD1082" s="15"/>
      <c r="BE1082" s="15"/>
      <c r="BF1082" s="15"/>
      <c r="BG1082" s="15"/>
      <c r="BH1082" s="15"/>
      <c r="BI1082" s="15"/>
      <c r="BJ1082" s="15"/>
      <c r="BK1082" s="15"/>
      <c r="BL1082" s="15"/>
      <c r="BM1082" s="15"/>
      <c r="BN1082" s="15"/>
      <c r="BO1082" s="15"/>
      <c r="BP1082" s="15"/>
      <c r="BQ1082" s="15"/>
      <c r="BR1082" s="15"/>
      <c r="BS1082" s="15"/>
      <c r="BT1082" s="15"/>
      <c r="BU1082" s="15"/>
      <c r="BV1082" s="15"/>
      <c r="BW1082" s="15"/>
      <c r="BX1082" s="15"/>
      <c r="BY1082" s="15"/>
      <c r="BZ1082" s="15"/>
      <c r="CA1082" s="15"/>
      <c r="CB1082" s="15"/>
    </row>
    <row r="1083" spans="1:80" ht="12.75" hidden="1" customHeight="1">
      <c r="A1083" s="20">
        <f ca="1">IFERROR(__xludf.DUMMYFUNCTION("""COMPUTED_VALUE"""),2015)</f>
        <v>2015</v>
      </c>
      <c r="B1083" s="45">
        <f ca="1">IFERROR(__xludf.DUMMYFUNCTION("""COMPUTED_VALUE"""),42618)</f>
        <v>42618</v>
      </c>
      <c r="C1083" s="46">
        <f ca="1">IFERROR(__xludf.DUMMYFUNCTION("""COMPUTED_VALUE"""),42618)</f>
        <v>42618</v>
      </c>
      <c r="D1083" s="47" t="str">
        <f ca="1">IFERROR(__xludf.DUMMYFUNCTION("""COMPUTED_VALUE"""),"Water Pipit")</f>
        <v>Water Pipit</v>
      </c>
      <c r="E1083" s="52">
        <f ca="1">IFERROR(__xludf.DUMMYFUNCTION("""COMPUTED_VALUE"""),6)</f>
        <v>6</v>
      </c>
      <c r="F1083" s="25"/>
      <c r="G1083" s="48" t="str">
        <f ca="1">IFERROR(__xludf.DUMMYFUNCTION("""COMPUTED_VALUE"""),"Harp in to Parkgate")</f>
        <v>Harp in to Parkgate</v>
      </c>
      <c r="H1083" s="22">
        <f ca="1">IFERROR(__xludf.DUMMYFUNCTION("""COMPUTED_VALUE"""),42354)</f>
        <v>42354</v>
      </c>
      <c r="I1083" s="23"/>
      <c r="J1083" s="24" t="str">
        <f ca="1">IFERROR(__xludf.DUMMYFUNCTION("""COMPUTED_VALUE"""),"Williams, E")</f>
        <v>Williams, E</v>
      </c>
      <c r="K1083" s="25" t="str">
        <f ca="1">IFERROR(__xludf.DUMMYFUNCTION("""COMPUTED_VALUE"""),"Williams, E")</f>
        <v>Williams, E</v>
      </c>
      <c r="L1083" s="27" t="str">
        <f ca="1">IFERROR(__xludf.DUMMYFUNCTION("""COMPUTED_VALUE"""),"closed")</f>
        <v>closed</v>
      </c>
      <c r="M1083" s="27" t="str">
        <f ca="1">IFERROR(__xludf.DUMMYFUNCTION("""COMPUTED_VALUE"""),"1st U")</f>
        <v>1st U</v>
      </c>
      <c r="N1083" s="25" t="str">
        <f ca="1">IFERROR(__xludf.DUMMYFUNCTION("""COMPUTED_VALUE"""),"accepted")</f>
        <v>accepted</v>
      </c>
      <c r="O1083" s="28"/>
      <c r="P1083" s="25"/>
      <c r="Q1083" s="25"/>
      <c r="R1083" s="25"/>
      <c r="S1083" s="25"/>
      <c r="T1083" s="25"/>
      <c r="U1083" s="25"/>
      <c r="V1083" s="25"/>
      <c r="W1083" s="25"/>
      <c r="X1083" s="25"/>
      <c r="Y1083" s="25"/>
      <c r="Z1083" s="25"/>
      <c r="AA1083" s="25"/>
      <c r="AB1083" s="25"/>
      <c r="AC1083" s="25"/>
      <c r="AD1083" s="25"/>
      <c r="AE1083" s="25"/>
      <c r="AF1083" s="25"/>
      <c r="AG1083" s="25"/>
      <c r="AH1083" s="25"/>
      <c r="AI1083" s="25"/>
      <c r="AJ1083" s="25"/>
      <c r="AK1083" s="25"/>
      <c r="AL1083" s="25"/>
      <c r="AM1083" s="25"/>
      <c r="AN1083" s="25"/>
      <c r="AO1083" s="25"/>
      <c r="AP1083" s="25"/>
      <c r="AQ1083" s="25"/>
      <c r="AR1083" s="25"/>
      <c r="AS1083" s="25"/>
      <c r="AT1083" s="25"/>
      <c r="AU1083" s="25"/>
      <c r="AV1083" s="25"/>
      <c r="AW1083" s="25"/>
      <c r="AX1083" s="25"/>
      <c r="AY1083" s="25"/>
      <c r="AZ1083" s="25"/>
      <c r="BA1083" s="25"/>
      <c r="BB1083" s="25"/>
      <c r="BC1083" s="25"/>
      <c r="BD1083" s="25"/>
      <c r="BE1083" s="25"/>
      <c r="BF1083" s="25"/>
      <c r="BG1083" s="25"/>
      <c r="BH1083" s="25"/>
      <c r="BI1083" s="25"/>
      <c r="BJ1083" s="25"/>
      <c r="BK1083" s="25"/>
      <c r="BL1083" s="25"/>
      <c r="BM1083" s="25"/>
      <c r="BN1083" s="25"/>
      <c r="BO1083" s="25"/>
      <c r="BP1083" s="25"/>
      <c r="BQ1083" s="25"/>
      <c r="BR1083" s="25"/>
      <c r="BS1083" s="25"/>
      <c r="BT1083" s="25"/>
      <c r="BU1083" s="25"/>
      <c r="BV1083" s="25"/>
      <c r="BW1083" s="25"/>
      <c r="BX1083" s="25"/>
      <c r="BY1083" s="25"/>
      <c r="BZ1083" s="25"/>
      <c r="CA1083" s="25"/>
      <c r="CB1083" s="25"/>
    </row>
    <row r="1084" spans="1:80" ht="12.75" hidden="1" customHeight="1">
      <c r="A1084" s="10">
        <f ca="1">IFERROR(__xludf.DUMMYFUNCTION("""COMPUTED_VALUE"""),2015)</f>
        <v>2015</v>
      </c>
      <c r="B1084" s="50">
        <f ca="1">IFERROR(__xludf.DUMMYFUNCTION("""COMPUTED_VALUE"""),42618)</f>
        <v>42618</v>
      </c>
      <c r="C1084" s="41">
        <f ca="1">IFERROR(__xludf.DUMMYFUNCTION("""COMPUTED_VALUE"""),42618)</f>
        <v>42618</v>
      </c>
      <c r="D1084" s="42" t="str">
        <f ca="1">IFERROR(__xludf.DUMMYFUNCTION("""COMPUTED_VALUE"""),"Water Pipit")</f>
        <v>Water Pipit</v>
      </c>
      <c r="E1084" s="53">
        <f ca="1">IFERROR(__xludf.DUMMYFUNCTION("""COMPUTED_VALUE"""),1)</f>
        <v>1</v>
      </c>
      <c r="F1084" s="15"/>
      <c r="G1084" s="44" t="str">
        <f ca="1">IFERROR(__xludf.DUMMYFUNCTION("""COMPUTED_VALUE"""),"Carr Lane Pools, Hale")</f>
        <v>Carr Lane Pools, Hale</v>
      </c>
      <c r="H1084" s="12">
        <f ca="1">IFERROR(__xludf.DUMMYFUNCTION("""COMPUTED_VALUE"""),42356)</f>
        <v>42356</v>
      </c>
      <c r="I1084" s="12">
        <f ca="1">IFERROR(__xludf.DUMMYFUNCTION("""COMPUTED_VALUE"""),42360)</f>
        <v>42360</v>
      </c>
      <c r="J1084" s="14" t="str">
        <f ca="1">IFERROR(__xludf.DUMMYFUNCTION("""COMPUTED_VALUE"""),"RP&amp;CA Cockbain")</f>
        <v>RP&amp;CA Cockbain</v>
      </c>
      <c r="K1084" s="15"/>
      <c r="L1084" s="17" t="str">
        <f ca="1">IFERROR(__xludf.DUMMYFUNCTION("""COMPUTED_VALUE"""),"closed")</f>
        <v>closed</v>
      </c>
      <c r="M1084" s="17" t="str">
        <f ca="1">IFERROR(__xludf.DUMMYFUNCTION("""COMPUTED_VALUE"""),"1st U")</f>
        <v>1st U</v>
      </c>
      <c r="N1084" s="15" t="str">
        <f ca="1">IFERROR(__xludf.DUMMYFUNCTION("""COMPUTED_VALUE"""),"accepted")</f>
        <v>accepted</v>
      </c>
      <c r="O1084" s="18"/>
      <c r="P1084" s="15"/>
      <c r="Q1084" s="15"/>
      <c r="R1084" s="15"/>
      <c r="S1084" s="15"/>
      <c r="T1084" s="15"/>
      <c r="U1084" s="15"/>
      <c r="V1084" s="15"/>
      <c r="W1084" s="15"/>
      <c r="X1084" s="15"/>
      <c r="Y1084" s="15"/>
      <c r="Z1084" s="15"/>
      <c r="AA1084" s="15"/>
      <c r="AB1084" s="15"/>
      <c r="AC1084" s="15"/>
      <c r="AD1084" s="15"/>
      <c r="AE1084" s="15"/>
      <c r="AF1084" s="15"/>
      <c r="AG1084" s="15"/>
      <c r="AH1084" s="15"/>
      <c r="AI1084" s="15"/>
      <c r="AJ1084" s="15"/>
      <c r="AK1084" s="15"/>
      <c r="AL1084" s="15"/>
      <c r="AM1084" s="15"/>
      <c r="AN1084" s="15"/>
      <c r="AO1084" s="15"/>
      <c r="AP1084" s="15"/>
      <c r="AQ1084" s="15"/>
      <c r="AR1084" s="15"/>
      <c r="AS1084" s="15"/>
      <c r="AT1084" s="15"/>
      <c r="AU1084" s="15"/>
      <c r="AV1084" s="15"/>
      <c r="AW1084" s="15"/>
      <c r="AX1084" s="15"/>
      <c r="AY1084" s="15"/>
      <c r="AZ1084" s="15"/>
      <c r="BA1084" s="15"/>
      <c r="BB1084" s="15"/>
      <c r="BC1084" s="15"/>
      <c r="BD1084" s="15"/>
      <c r="BE1084" s="15"/>
      <c r="BF1084" s="15"/>
      <c r="BG1084" s="15"/>
      <c r="BH1084" s="15"/>
      <c r="BI1084" s="15"/>
      <c r="BJ1084" s="15"/>
      <c r="BK1084" s="15"/>
      <c r="BL1084" s="15"/>
      <c r="BM1084" s="15"/>
      <c r="BN1084" s="15"/>
      <c r="BO1084" s="15"/>
      <c r="BP1084" s="15"/>
      <c r="BQ1084" s="15"/>
      <c r="BR1084" s="15"/>
      <c r="BS1084" s="15"/>
      <c r="BT1084" s="15"/>
      <c r="BU1084" s="15"/>
      <c r="BV1084" s="15"/>
      <c r="BW1084" s="15"/>
      <c r="BX1084" s="15"/>
      <c r="BY1084" s="15"/>
      <c r="BZ1084" s="15"/>
      <c r="CA1084" s="15"/>
      <c r="CB1084" s="15"/>
    </row>
    <row r="1085" spans="1:80" ht="12.75" hidden="1" customHeight="1">
      <c r="A1085" s="20">
        <f ca="1">IFERROR(__xludf.DUMMYFUNCTION("""COMPUTED_VALUE"""),2015)</f>
        <v>2015</v>
      </c>
      <c r="B1085" s="45">
        <f ca="1">IFERROR(__xludf.DUMMYFUNCTION("""COMPUTED_VALUE"""),42618)</f>
        <v>42618</v>
      </c>
      <c r="C1085" s="46"/>
      <c r="D1085" s="47" t="str">
        <f ca="1">IFERROR(__xludf.DUMMYFUNCTION("""COMPUTED_VALUE"""),"Turtle Dove")</f>
        <v>Turtle Dove</v>
      </c>
      <c r="E1085" s="52">
        <f ca="1">IFERROR(__xludf.DUMMYFUNCTION("""COMPUTED_VALUE"""),1)</f>
        <v>1</v>
      </c>
      <c r="F1085" s="25"/>
      <c r="G1085" s="48" t="str">
        <f ca="1">IFERROR(__xludf.DUMMYFUNCTION("""COMPUTED_VALUE"""),"Leasowe")</f>
        <v>Leasowe</v>
      </c>
      <c r="H1085" s="22">
        <f ca="1">IFERROR(__xludf.DUMMYFUNCTION("""COMPUTED_VALUE"""),42137)</f>
        <v>42137</v>
      </c>
      <c r="I1085" s="22">
        <f ca="1">IFERROR(__xludf.DUMMYFUNCTION("""COMPUTED_VALUE"""),42139)</f>
        <v>42139</v>
      </c>
      <c r="J1085" s="24" t="str">
        <f ca="1">IFERROR(__xludf.DUMMYFUNCTION("""COMPUTED_VALUE"""),"Tim Kinch")</f>
        <v>Tim Kinch</v>
      </c>
      <c r="K1085" s="25" t="str">
        <f ca="1">IFERROR(__xludf.DUMMYFUNCTION("""COMPUTED_VALUE"""),"A.Conlin")</f>
        <v>A.Conlin</v>
      </c>
      <c r="L1085" s="27" t="str">
        <f ca="1">IFERROR(__xludf.DUMMYFUNCTION("""COMPUTED_VALUE"""),"closed")</f>
        <v>closed</v>
      </c>
      <c r="M1085" s="27" t="str">
        <f ca="1">IFERROR(__xludf.DUMMYFUNCTION("""COMPUTED_VALUE"""),"1st U")</f>
        <v>1st U</v>
      </c>
      <c r="N1085" s="25" t="str">
        <f ca="1">IFERROR(__xludf.DUMMYFUNCTION("""COMPUTED_VALUE"""),"accepted")</f>
        <v>accepted</v>
      </c>
      <c r="O1085" s="28"/>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K1085" s="25"/>
      <c r="AL1085" s="25"/>
      <c r="AM1085" s="25"/>
      <c r="AN1085" s="25"/>
      <c r="AO1085" s="25"/>
      <c r="AP1085" s="25"/>
      <c r="AQ1085" s="25"/>
      <c r="AR1085" s="25"/>
      <c r="AS1085" s="25"/>
      <c r="AT1085" s="25"/>
      <c r="AU1085" s="25"/>
      <c r="AV1085" s="25"/>
      <c r="AW1085" s="25"/>
      <c r="AX1085" s="25"/>
      <c r="AY1085" s="25"/>
      <c r="AZ1085" s="25"/>
      <c r="BA1085" s="25"/>
      <c r="BB1085" s="25"/>
      <c r="BC1085" s="25"/>
      <c r="BD1085" s="25"/>
      <c r="BE1085" s="25"/>
      <c r="BF1085" s="25"/>
      <c r="BG1085" s="25"/>
      <c r="BH1085" s="25"/>
      <c r="BI1085" s="25"/>
      <c r="BJ1085" s="25"/>
      <c r="BK1085" s="25"/>
      <c r="BL1085" s="25"/>
      <c r="BM1085" s="25"/>
      <c r="BN1085" s="25"/>
      <c r="BO1085" s="25"/>
      <c r="BP1085" s="25"/>
      <c r="BQ1085" s="25"/>
      <c r="BR1085" s="25"/>
      <c r="BS1085" s="25"/>
      <c r="BT1085" s="25"/>
      <c r="BU1085" s="25"/>
      <c r="BV1085" s="25"/>
      <c r="BW1085" s="25"/>
      <c r="BX1085" s="25"/>
      <c r="BY1085" s="25"/>
      <c r="BZ1085" s="25"/>
      <c r="CA1085" s="25"/>
      <c r="CB1085" s="25"/>
    </row>
    <row r="1086" spans="1:80" ht="12.75" hidden="1" customHeight="1">
      <c r="A1086" s="10">
        <f ca="1">IFERROR(__xludf.DUMMYFUNCTION("""COMPUTED_VALUE"""),2015)</f>
        <v>2015</v>
      </c>
      <c r="B1086" s="50">
        <f ca="1">IFERROR(__xludf.DUMMYFUNCTION("""COMPUTED_VALUE"""),42618)</f>
        <v>42618</v>
      </c>
      <c r="C1086" s="41"/>
      <c r="D1086" s="42" t="str">
        <f ca="1">IFERROR(__xludf.DUMMYFUNCTION("""COMPUTED_VALUE"""),"Turtle Dove")</f>
        <v>Turtle Dove</v>
      </c>
      <c r="E1086" s="53">
        <f ca="1">IFERROR(__xludf.DUMMYFUNCTION("""COMPUTED_VALUE"""),1)</f>
        <v>1</v>
      </c>
      <c r="F1086" s="15"/>
      <c r="G1086" s="44" t="str">
        <f ca="1">IFERROR(__xludf.DUMMYFUNCTION("""COMPUTED_VALUE"""),"Leasowe")</f>
        <v>Leasowe</v>
      </c>
      <c r="H1086" s="12">
        <f ca="1">IFERROR(__xludf.DUMMYFUNCTION("""COMPUTED_VALUE"""),42137)</f>
        <v>42137</v>
      </c>
      <c r="I1086" s="12">
        <f ca="1">IFERROR(__xludf.DUMMYFUNCTION("""COMPUTED_VALUE"""),42137)</f>
        <v>42137</v>
      </c>
      <c r="J1086" s="14" t="str">
        <f ca="1">IFERROR(__xludf.DUMMYFUNCTION("""COMPUTED_VALUE"""),"CC Schofield")</f>
        <v>CC Schofield</v>
      </c>
      <c r="K1086" s="15"/>
      <c r="L1086" s="17" t="str">
        <f ca="1">IFERROR(__xludf.DUMMYFUNCTION("""COMPUTED_VALUE"""),"closed")</f>
        <v>closed</v>
      </c>
      <c r="M1086" s="17" t="str">
        <f ca="1">IFERROR(__xludf.DUMMYFUNCTION("""COMPUTED_VALUE"""),"proxy")</f>
        <v>proxy</v>
      </c>
      <c r="N1086" s="15" t="str">
        <f ca="1">IFERROR(__xludf.DUMMYFUNCTION("""COMPUTED_VALUE"""),"accepted")</f>
        <v>accepted</v>
      </c>
      <c r="O1086" s="18" t="str">
        <f ca="1">IFERROR(__xludf.DUMMYFUNCTION("""COMPUTED_VALUE"""),"Lingham Lane")</f>
        <v>Lingham Lane</v>
      </c>
      <c r="P1086" s="15"/>
      <c r="Q1086" s="15"/>
      <c r="R1086" s="15"/>
      <c r="S1086" s="15"/>
      <c r="T1086" s="15"/>
      <c r="U1086" s="15"/>
      <c r="V1086" s="15"/>
      <c r="W1086" s="15"/>
      <c r="X1086" s="15"/>
      <c r="Y1086" s="15"/>
      <c r="Z1086" s="15"/>
      <c r="AA1086" s="15"/>
      <c r="AB1086" s="15"/>
      <c r="AC1086" s="15"/>
      <c r="AD1086" s="15"/>
      <c r="AE1086" s="15"/>
      <c r="AF1086" s="15"/>
      <c r="AG1086" s="15"/>
      <c r="AH1086" s="15"/>
      <c r="AI1086" s="15"/>
      <c r="AJ1086" s="15"/>
      <c r="AK1086" s="15"/>
      <c r="AL1086" s="15"/>
      <c r="AM1086" s="15"/>
      <c r="AN1086" s="15"/>
      <c r="AO1086" s="15"/>
      <c r="AP1086" s="15"/>
      <c r="AQ1086" s="15"/>
      <c r="AR1086" s="15"/>
      <c r="AS1086" s="15"/>
      <c r="AT1086" s="15"/>
      <c r="AU1086" s="15"/>
      <c r="AV1086" s="15"/>
      <c r="AW1086" s="15"/>
      <c r="AX1086" s="15"/>
      <c r="AY1086" s="15"/>
      <c r="AZ1086" s="15"/>
      <c r="BA1086" s="15"/>
      <c r="BB1086" s="15"/>
      <c r="BC1086" s="15"/>
      <c r="BD1086" s="15"/>
      <c r="BE1086" s="15"/>
      <c r="BF1086" s="15"/>
      <c r="BG1086" s="15"/>
      <c r="BH1086" s="15"/>
      <c r="BI1086" s="15"/>
      <c r="BJ1086" s="15"/>
      <c r="BK1086" s="15"/>
      <c r="BL1086" s="15"/>
      <c r="BM1086" s="15"/>
      <c r="BN1086" s="15"/>
      <c r="BO1086" s="15"/>
      <c r="BP1086" s="15"/>
      <c r="BQ1086" s="15"/>
      <c r="BR1086" s="15"/>
      <c r="BS1086" s="15"/>
      <c r="BT1086" s="15"/>
      <c r="BU1086" s="15"/>
      <c r="BV1086" s="15"/>
      <c r="BW1086" s="15"/>
      <c r="BX1086" s="15"/>
      <c r="BY1086" s="15"/>
      <c r="BZ1086" s="15"/>
      <c r="CA1086" s="15"/>
      <c r="CB1086" s="15"/>
    </row>
    <row r="1087" spans="1:80" ht="12.75" hidden="1" customHeight="1">
      <c r="A1087" s="20">
        <f ca="1">IFERROR(__xludf.DUMMYFUNCTION("""COMPUTED_VALUE"""),2015)</f>
        <v>2015</v>
      </c>
      <c r="B1087" s="45">
        <f ca="1">IFERROR(__xludf.DUMMYFUNCTION("""COMPUTED_VALUE"""),42618)</f>
        <v>42618</v>
      </c>
      <c r="C1087" s="46"/>
      <c r="D1087" s="47" t="str">
        <f ca="1">IFERROR(__xludf.DUMMYFUNCTION("""COMPUTED_VALUE"""),"Turtle Dove")</f>
        <v>Turtle Dove</v>
      </c>
      <c r="E1087" s="52">
        <f ca="1">IFERROR(__xludf.DUMMYFUNCTION("""COMPUTED_VALUE"""),1)</f>
        <v>1</v>
      </c>
      <c r="F1087" s="25"/>
      <c r="G1087" s="48" t="str">
        <f ca="1">IFERROR(__xludf.DUMMYFUNCTION("""COMPUTED_VALUE"""),"Leasowe")</f>
        <v>Leasowe</v>
      </c>
      <c r="H1087" s="22">
        <f ca="1">IFERROR(__xludf.DUMMYFUNCTION("""COMPUTED_VALUE"""),42139)</f>
        <v>42139</v>
      </c>
      <c r="I1087" s="22">
        <f ca="1">IFERROR(__xludf.DUMMYFUNCTION("""COMPUTED_VALUE"""),42139)</f>
        <v>42139</v>
      </c>
      <c r="J1087" s="24" t="str">
        <f ca="1">IFERROR(__xludf.DUMMYFUNCTION("""COMPUTED_VALUE"""),"R Wilkinson")</f>
        <v>R Wilkinson</v>
      </c>
      <c r="K1087" s="25"/>
      <c r="L1087" s="27" t="str">
        <f ca="1">IFERROR(__xludf.DUMMYFUNCTION("""COMPUTED_VALUE"""),"closed")</f>
        <v>closed</v>
      </c>
      <c r="M1087" s="27" t="str">
        <f ca="1">IFERROR(__xludf.DUMMYFUNCTION("""COMPUTED_VALUE"""),"proxy")</f>
        <v>proxy</v>
      </c>
      <c r="N1087" s="25" t="str">
        <f ca="1">IFERROR(__xludf.DUMMYFUNCTION("""COMPUTED_VALUE"""),"accepted")</f>
        <v>accepted</v>
      </c>
      <c r="O1087" s="28"/>
      <c r="P1087" s="25"/>
      <c r="Q1087" s="25"/>
      <c r="R1087" s="25"/>
      <c r="S1087" s="25"/>
      <c r="T1087" s="25"/>
      <c r="U1087" s="25"/>
      <c r="V1087" s="25"/>
      <c r="W1087" s="25"/>
      <c r="X1087" s="25"/>
      <c r="Y1087" s="25"/>
      <c r="Z1087" s="25"/>
      <c r="AA1087" s="25"/>
      <c r="AB1087" s="25"/>
      <c r="AC1087" s="25"/>
      <c r="AD1087" s="25"/>
      <c r="AE1087" s="25"/>
      <c r="AF1087" s="25"/>
      <c r="AG1087" s="25"/>
      <c r="AH1087" s="25"/>
      <c r="AI1087" s="25"/>
      <c r="AJ1087" s="25"/>
      <c r="AK1087" s="25"/>
      <c r="AL1087" s="25"/>
      <c r="AM1087" s="25"/>
      <c r="AN1087" s="25"/>
      <c r="AO1087" s="25"/>
      <c r="AP1087" s="25"/>
      <c r="AQ1087" s="25"/>
      <c r="AR1087" s="25"/>
      <c r="AS1087" s="25"/>
      <c r="AT1087" s="25"/>
      <c r="AU1087" s="25"/>
      <c r="AV1087" s="25"/>
      <c r="AW1087" s="25"/>
      <c r="AX1087" s="25"/>
      <c r="AY1087" s="25"/>
      <c r="AZ1087" s="25"/>
      <c r="BA1087" s="25"/>
      <c r="BB1087" s="25"/>
      <c r="BC1087" s="25"/>
      <c r="BD1087" s="25"/>
      <c r="BE1087" s="25"/>
      <c r="BF1087" s="25"/>
      <c r="BG1087" s="25"/>
      <c r="BH1087" s="25"/>
      <c r="BI1087" s="25"/>
      <c r="BJ1087" s="25"/>
      <c r="BK1087" s="25"/>
      <c r="BL1087" s="25"/>
      <c r="BM1087" s="25"/>
      <c r="BN1087" s="25"/>
      <c r="BO1087" s="25"/>
      <c r="BP1087" s="25"/>
      <c r="BQ1087" s="25"/>
      <c r="BR1087" s="25"/>
      <c r="BS1087" s="25"/>
      <c r="BT1087" s="25"/>
      <c r="BU1087" s="25"/>
      <c r="BV1087" s="25"/>
      <c r="BW1087" s="25"/>
      <c r="BX1087" s="25"/>
      <c r="BY1087" s="25"/>
      <c r="BZ1087" s="25"/>
      <c r="CA1087" s="25"/>
      <c r="CB1087" s="25"/>
    </row>
    <row r="1088" spans="1:80" ht="12.75" hidden="1" customHeight="1">
      <c r="A1088" s="10">
        <f ca="1">IFERROR(__xludf.DUMMYFUNCTION("""COMPUTED_VALUE"""),2015)</f>
        <v>2015</v>
      </c>
      <c r="B1088" s="50">
        <f ca="1">IFERROR(__xludf.DUMMYFUNCTION("""COMPUTED_VALUE"""),42618)</f>
        <v>42618</v>
      </c>
      <c r="C1088" s="41"/>
      <c r="D1088" s="42" t="str">
        <f ca="1">IFERROR(__xludf.DUMMYFUNCTION("""COMPUTED_VALUE"""),"Turtle Dove")</f>
        <v>Turtle Dove</v>
      </c>
      <c r="E1088" s="53">
        <f ca="1">IFERROR(__xludf.DUMMYFUNCTION("""COMPUTED_VALUE"""),1)</f>
        <v>1</v>
      </c>
      <c r="F1088" s="15"/>
      <c r="G1088" s="44" t="str">
        <f ca="1">IFERROR(__xludf.DUMMYFUNCTION("""COMPUTED_VALUE"""),"Leasowe")</f>
        <v>Leasowe</v>
      </c>
      <c r="H1088" s="12">
        <f ca="1">IFERROR(__xludf.DUMMYFUNCTION("""COMPUTED_VALUE"""),42139)</f>
        <v>42139</v>
      </c>
      <c r="I1088" s="12">
        <f ca="1">IFERROR(__xludf.DUMMYFUNCTION("""COMPUTED_VALUE"""),42139)</f>
        <v>42139</v>
      </c>
      <c r="J1088" s="14" t="str">
        <f ca="1">IFERROR(__xludf.DUMMYFUNCTION("""COMPUTED_VALUE"""),"Jones, G")</f>
        <v>Jones, G</v>
      </c>
      <c r="K1088" s="15"/>
      <c r="L1088" s="17" t="str">
        <f ca="1">IFERROR(__xludf.DUMMYFUNCTION("""COMPUTED_VALUE"""),"closed")</f>
        <v>closed</v>
      </c>
      <c r="M1088" s="17" t="str">
        <f ca="1">IFERROR(__xludf.DUMMYFUNCTION("""COMPUTED_VALUE"""),"proxy")</f>
        <v>proxy</v>
      </c>
      <c r="N1088" s="15" t="str">
        <f ca="1">IFERROR(__xludf.DUMMYFUNCTION("""COMPUTED_VALUE"""),"accepted")</f>
        <v>accepted</v>
      </c>
      <c r="O1088" s="18"/>
      <c r="P1088" s="15"/>
      <c r="Q1088" s="15"/>
      <c r="R1088" s="15"/>
      <c r="S1088" s="15"/>
      <c r="T1088" s="15"/>
      <c r="U1088" s="15"/>
      <c r="V1088" s="15"/>
      <c r="W1088" s="15"/>
      <c r="X1088" s="15"/>
      <c r="Y1088" s="15"/>
      <c r="Z1088" s="15"/>
      <c r="AA1088" s="15"/>
      <c r="AB1088" s="15"/>
      <c r="AC1088" s="15"/>
      <c r="AD1088" s="15"/>
      <c r="AE1088" s="15"/>
      <c r="AF1088" s="15"/>
      <c r="AG1088" s="15"/>
      <c r="AH1088" s="15"/>
      <c r="AI1088" s="15"/>
      <c r="AJ1088" s="15"/>
      <c r="AK1088" s="15"/>
      <c r="AL1088" s="15"/>
      <c r="AM1088" s="15"/>
      <c r="AN1088" s="15"/>
      <c r="AO1088" s="15"/>
      <c r="AP1088" s="15"/>
      <c r="AQ1088" s="15"/>
      <c r="AR1088" s="15"/>
      <c r="AS1088" s="15"/>
      <c r="AT1088" s="15"/>
      <c r="AU1088" s="15"/>
      <c r="AV1088" s="15"/>
      <c r="AW1088" s="15"/>
      <c r="AX1088" s="15"/>
      <c r="AY1088" s="15"/>
      <c r="AZ1088" s="15"/>
      <c r="BA1088" s="15"/>
      <c r="BB1088" s="15"/>
      <c r="BC1088" s="15"/>
      <c r="BD1088" s="15"/>
      <c r="BE1088" s="15"/>
      <c r="BF1088" s="15"/>
      <c r="BG1088" s="15"/>
      <c r="BH1088" s="15"/>
      <c r="BI1088" s="15"/>
      <c r="BJ1088" s="15"/>
      <c r="BK1088" s="15"/>
      <c r="BL1088" s="15"/>
      <c r="BM1088" s="15"/>
      <c r="BN1088" s="15"/>
      <c r="BO1088" s="15"/>
      <c r="BP1088" s="15"/>
      <c r="BQ1088" s="15"/>
      <c r="BR1088" s="15"/>
      <c r="BS1088" s="15"/>
      <c r="BT1088" s="15"/>
      <c r="BU1088" s="15"/>
      <c r="BV1088" s="15"/>
      <c r="BW1088" s="15"/>
      <c r="BX1088" s="15"/>
      <c r="BY1088" s="15"/>
      <c r="BZ1088" s="15"/>
      <c r="CA1088" s="15"/>
      <c r="CB1088" s="15"/>
    </row>
    <row r="1089" spans="1:80" ht="12.75" hidden="1" customHeight="1">
      <c r="A1089" s="20">
        <f ca="1">IFERROR(__xludf.DUMMYFUNCTION("""COMPUTED_VALUE"""),2015)</f>
        <v>2015</v>
      </c>
      <c r="B1089" s="45">
        <f ca="1">IFERROR(__xludf.DUMMYFUNCTION("""COMPUTED_VALUE"""),42618)</f>
        <v>42618</v>
      </c>
      <c r="C1089" s="46"/>
      <c r="D1089" s="47" t="str">
        <f ca="1">IFERROR(__xludf.DUMMYFUNCTION("""COMPUTED_VALUE"""),"Turtle Dove")</f>
        <v>Turtle Dove</v>
      </c>
      <c r="E1089" s="52">
        <f ca="1">IFERROR(__xludf.DUMMYFUNCTION("""COMPUTED_VALUE"""),1)</f>
        <v>1</v>
      </c>
      <c r="F1089" s="25"/>
      <c r="G1089" s="48" t="str">
        <f ca="1">IFERROR(__xludf.DUMMYFUNCTION("""COMPUTED_VALUE"""),"Leasowe")</f>
        <v>Leasowe</v>
      </c>
      <c r="H1089" s="22">
        <f ca="1">IFERROR(__xludf.DUMMYFUNCTION("""COMPUTED_VALUE"""),42140)</f>
        <v>42140</v>
      </c>
      <c r="I1089" s="22">
        <f ca="1">IFERROR(__xludf.DUMMYFUNCTION("""COMPUTED_VALUE"""),42140)</f>
        <v>42140</v>
      </c>
      <c r="J1089" s="24" t="str">
        <f ca="1">IFERROR(__xludf.DUMMYFUNCTION("""COMPUTED_VALUE"""),"Geddes, J")</f>
        <v>Geddes, J</v>
      </c>
      <c r="K1089" s="25"/>
      <c r="L1089" s="27" t="str">
        <f ca="1">IFERROR(__xludf.DUMMYFUNCTION("""COMPUTED_VALUE"""),"closed")</f>
        <v>closed</v>
      </c>
      <c r="M1089" s="27" t="str">
        <f ca="1">IFERROR(__xludf.DUMMYFUNCTION("""COMPUTED_VALUE"""),"proxy")</f>
        <v>proxy</v>
      </c>
      <c r="N1089" s="25" t="str">
        <f ca="1">IFERROR(__xludf.DUMMYFUNCTION("""COMPUTED_VALUE"""),"accepted")</f>
        <v>accepted</v>
      </c>
      <c r="O1089" s="28"/>
      <c r="P1089" s="25"/>
      <c r="Q1089" s="40"/>
      <c r="R1089" s="25"/>
      <c r="S1089" s="25"/>
      <c r="T1089" s="25"/>
      <c r="U1089" s="25"/>
      <c r="V1089" s="25"/>
      <c r="W1089" s="25"/>
      <c r="X1089" s="25"/>
      <c r="Y1089" s="25"/>
      <c r="Z1089" s="25"/>
      <c r="AA1089" s="25"/>
      <c r="AB1089" s="25"/>
      <c r="AC1089" s="25"/>
      <c r="AD1089" s="25"/>
      <c r="AE1089" s="25"/>
      <c r="AF1089" s="25"/>
      <c r="AG1089" s="25"/>
      <c r="AH1089" s="25"/>
      <c r="AI1089" s="25"/>
      <c r="AJ1089" s="25"/>
      <c r="AK1089" s="25"/>
      <c r="AL1089" s="25"/>
      <c r="AM1089" s="25"/>
      <c r="AN1089" s="25"/>
      <c r="AO1089" s="25"/>
      <c r="AP1089" s="25"/>
      <c r="AQ1089" s="25"/>
      <c r="AR1089" s="25"/>
      <c r="AS1089" s="25"/>
      <c r="AT1089" s="25"/>
      <c r="AU1089" s="25"/>
      <c r="AV1089" s="25"/>
      <c r="AW1089" s="25"/>
      <c r="AX1089" s="25"/>
      <c r="AY1089" s="25"/>
      <c r="AZ1089" s="25"/>
      <c r="BA1089" s="25"/>
      <c r="BB1089" s="25"/>
      <c r="BC1089" s="25"/>
      <c r="BD1089" s="25"/>
      <c r="BE1089" s="25"/>
      <c r="BF1089" s="25"/>
      <c r="BG1089" s="25"/>
      <c r="BH1089" s="25"/>
      <c r="BI1089" s="25"/>
      <c r="BJ1089" s="25"/>
      <c r="BK1089" s="25"/>
      <c r="BL1089" s="25"/>
      <c r="BM1089" s="25"/>
      <c r="BN1089" s="25"/>
      <c r="BO1089" s="25"/>
      <c r="BP1089" s="25"/>
      <c r="BQ1089" s="25"/>
      <c r="BR1089" s="25"/>
      <c r="BS1089" s="25"/>
      <c r="BT1089" s="25"/>
      <c r="BU1089" s="25"/>
      <c r="BV1089" s="25"/>
      <c r="BW1089" s="25"/>
      <c r="BX1089" s="25"/>
      <c r="BY1089" s="25"/>
      <c r="BZ1089" s="25"/>
      <c r="CA1089" s="25"/>
      <c r="CB1089" s="25"/>
    </row>
    <row r="1090" spans="1:80" ht="12.75" hidden="1" customHeight="1">
      <c r="A1090" s="10">
        <f ca="1">IFERROR(__xludf.DUMMYFUNCTION("""COMPUTED_VALUE"""),2015)</f>
        <v>2015</v>
      </c>
      <c r="B1090" s="50">
        <f ca="1">IFERROR(__xludf.DUMMYFUNCTION("""COMPUTED_VALUE"""),42618)</f>
        <v>42618</v>
      </c>
      <c r="C1090" s="41"/>
      <c r="D1090" s="42" t="str">
        <f ca="1">IFERROR(__xludf.DUMMYFUNCTION("""COMPUTED_VALUE"""),"Turtle Dove")</f>
        <v>Turtle Dove</v>
      </c>
      <c r="E1090" s="53">
        <f ca="1">IFERROR(__xludf.DUMMYFUNCTION("""COMPUTED_VALUE"""),1)</f>
        <v>1</v>
      </c>
      <c r="F1090" s="15"/>
      <c r="G1090" s="44" t="str">
        <f ca="1">IFERROR(__xludf.DUMMYFUNCTION("""COMPUTED_VALUE"""),"Leasowe")</f>
        <v>Leasowe</v>
      </c>
      <c r="H1090" s="12">
        <f ca="1">IFERROR(__xludf.DUMMYFUNCTION("""COMPUTED_VALUE"""),42140)</f>
        <v>42140</v>
      </c>
      <c r="I1090" s="12">
        <f ca="1">IFERROR(__xludf.DUMMYFUNCTION("""COMPUTED_VALUE"""),42140)</f>
        <v>42140</v>
      </c>
      <c r="J1090" s="14" t="str">
        <f ca="1">IFERROR(__xludf.DUMMYFUNCTION("""COMPUTED_VALUE"""),"Chambers, A")</f>
        <v>Chambers, A</v>
      </c>
      <c r="K1090" s="15"/>
      <c r="L1090" s="17" t="str">
        <f ca="1">IFERROR(__xludf.DUMMYFUNCTION("""COMPUTED_VALUE"""),"closed")</f>
        <v>closed</v>
      </c>
      <c r="M1090" s="17" t="str">
        <f ca="1">IFERROR(__xludf.DUMMYFUNCTION("""COMPUTED_VALUE"""),"proxy")</f>
        <v>proxy</v>
      </c>
      <c r="N1090" s="15" t="str">
        <f ca="1">IFERROR(__xludf.DUMMYFUNCTION("""COMPUTED_VALUE"""),"accepted")</f>
        <v>accepted</v>
      </c>
      <c r="O1090" s="18"/>
      <c r="P1090" s="58"/>
      <c r="Q1090" s="58"/>
      <c r="R1090" s="58"/>
      <c r="S1090" s="15"/>
      <c r="T1090" s="15"/>
      <c r="U1090" s="15"/>
      <c r="V1090" s="15"/>
      <c r="W1090" s="15"/>
      <c r="X1090" s="15"/>
      <c r="Y1090" s="15"/>
      <c r="Z1090" s="15"/>
      <c r="AA1090" s="15"/>
      <c r="AB1090" s="15"/>
      <c r="AC1090" s="15"/>
      <c r="AD1090" s="15"/>
      <c r="AE1090" s="15"/>
      <c r="AF1090" s="15"/>
      <c r="AG1090" s="15"/>
      <c r="AH1090" s="15"/>
      <c r="AI1090" s="15"/>
      <c r="AJ1090" s="15"/>
      <c r="AK1090" s="15"/>
      <c r="AL1090" s="15"/>
      <c r="AM1090" s="15"/>
      <c r="AN1090" s="15"/>
      <c r="AO1090" s="15"/>
      <c r="AP1090" s="15"/>
      <c r="AQ1090" s="15"/>
      <c r="AR1090" s="15"/>
      <c r="AS1090" s="15"/>
      <c r="AT1090" s="15"/>
      <c r="AU1090" s="15"/>
      <c r="AV1090" s="15"/>
      <c r="AW1090" s="15"/>
      <c r="AX1090" s="15"/>
      <c r="AY1090" s="15"/>
      <c r="AZ1090" s="15"/>
      <c r="BA1090" s="15"/>
      <c r="BB1090" s="15"/>
      <c r="BC1090" s="15"/>
      <c r="BD1090" s="15"/>
      <c r="BE1090" s="15"/>
      <c r="BF1090" s="15"/>
      <c r="BG1090" s="15"/>
      <c r="BH1090" s="15"/>
      <c r="BI1090" s="15"/>
      <c r="BJ1090" s="15"/>
      <c r="BK1090" s="15"/>
      <c r="BL1090" s="15"/>
      <c r="BM1090" s="15"/>
      <c r="BN1090" s="15"/>
      <c r="BO1090" s="15"/>
      <c r="BP1090" s="15"/>
      <c r="BQ1090" s="15"/>
      <c r="BR1090" s="15"/>
      <c r="BS1090" s="15"/>
      <c r="BT1090" s="15"/>
      <c r="BU1090" s="15"/>
      <c r="BV1090" s="15"/>
      <c r="BW1090" s="15"/>
      <c r="BX1090" s="15"/>
      <c r="BY1090" s="15"/>
      <c r="BZ1090" s="15"/>
      <c r="CA1090" s="15"/>
      <c r="CB1090" s="15"/>
    </row>
    <row r="1091" spans="1:80" ht="13.5" hidden="1" customHeight="1">
      <c r="A1091" s="20">
        <f ca="1">IFERROR(__xludf.DUMMYFUNCTION("""COMPUTED_VALUE"""),2015)</f>
        <v>2015</v>
      </c>
      <c r="B1091" s="45">
        <f ca="1">IFERROR(__xludf.DUMMYFUNCTION("""COMPUTED_VALUE"""),42618)</f>
        <v>42618</v>
      </c>
      <c r="C1091" s="46"/>
      <c r="D1091" s="47" t="str">
        <f ca="1">IFERROR(__xludf.DUMMYFUNCTION("""COMPUTED_VALUE"""),"Wood Warbler")</f>
        <v>Wood Warbler</v>
      </c>
      <c r="E1091" s="52">
        <f ca="1">IFERROR(__xludf.DUMMYFUNCTION("""COMPUTED_VALUE"""),1)</f>
        <v>1</v>
      </c>
      <c r="F1091" s="25"/>
      <c r="G1091" s="48" t="str">
        <f ca="1">IFERROR(__xludf.DUMMYFUNCTION("""COMPUTED_VALUE"""),"Burton Mere Wetlands RSPB")</f>
        <v>Burton Mere Wetlands RSPB</v>
      </c>
      <c r="H1091" s="22">
        <f ca="1">IFERROR(__xludf.DUMMYFUNCTION("""COMPUTED_VALUE"""),42110)</f>
        <v>42110</v>
      </c>
      <c r="I1091" s="22">
        <f ca="1">IFERROR(__xludf.DUMMYFUNCTION("""COMPUTED_VALUE"""),42110)</f>
        <v>42110</v>
      </c>
      <c r="J1091" s="24" t="str">
        <f ca="1">IFERROR(__xludf.DUMMYFUNCTION("""COMPUTED_VALUE"""),"Joy Canning")</f>
        <v>Joy Canning</v>
      </c>
      <c r="K1091" s="25" t="str">
        <f ca="1">IFERROR(__xludf.DUMMYFUNCTION("""COMPUTED_VALUE"""),"Joy Canning")</f>
        <v>Joy Canning</v>
      </c>
      <c r="L1091" s="27" t="str">
        <f ca="1">IFERROR(__xludf.DUMMYFUNCTION("""COMPUTED_VALUE"""),"closed")</f>
        <v>closed</v>
      </c>
      <c r="M1091" s="27" t="str">
        <f ca="1">IFERROR(__xludf.DUMMYFUNCTION("""COMPUTED_VALUE"""),"1st U")</f>
        <v>1st U</v>
      </c>
      <c r="N1091" s="25" t="str">
        <f ca="1">IFERROR(__xludf.DUMMYFUNCTION("""COMPUTED_VALUE"""),"accepted")</f>
        <v>accepted</v>
      </c>
      <c r="O1091" s="28"/>
      <c r="P1091" s="25"/>
      <c r="Q1091" s="25"/>
      <c r="R1091" s="25"/>
      <c r="S1091" s="25"/>
      <c r="T1091" s="25"/>
      <c r="U1091" s="25"/>
      <c r="V1091" s="25"/>
      <c r="W1091" s="25"/>
      <c r="X1091" s="25"/>
      <c r="Y1091" s="25"/>
      <c r="Z1091" s="25"/>
      <c r="AA1091" s="25"/>
      <c r="AB1091" s="25"/>
      <c r="AC1091" s="25"/>
      <c r="AD1091" s="25"/>
      <c r="AE1091" s="25"/>
      <c r="AF1091" s="25"/>
      <c r="AG1091" s="25"/>
      <c r="AH1091" s="25"/>
      <c r="AI1091" s="25"/>
      <c r="AJ1091" s="25"/>
      <c r="AK1091" s="25"/>
      <c r="AL1091" s="25"/>
      <c r="AM1091" s="25"/>
      <c r="AN1091" s="25"/>
      <c r="AO1091" s="25"/>
      <c r="AP1091" s="25"/>
      <c r="AQ1091" s="25"/>
      <c r="AR1091" s="25"/>
      <c r="AS1091" s="25"/>
      <c r="AT1091" s="25"/>
      <c r="AU1091" s="25"/>
      <c r="AV1091" s="25"/>
      <c r="AW1091" s="25"/>
      <c r="AX1091" s="25"/>
      <c r="AY1091" s="25"/>
      <c r="AZ1091" s="25"/>
      <c r="BA1091" s="25"/>
      <c r="BB1091" s="25"/>
      <c r="BC1091" s="25"/>
      <c r="BD1091" s="25"/>
      <c r="BE1091" s="25"/>
      <c r="BF1091" s="25"/>
      <c r="BG1091" s="25"/>
      <c r="BH1091" s="25"/>
      <c r="BI1091" s="25"/>
      <c r="BJ1091" s="25"/>
      <c r="BK1091" s="25"/>
      <c r="BL1091" s="25"/>
      <c r="BM1091" s="25"/>
      <c r="BN1091" s="25"/>
      <c r="BO1091" s="25"/>
      <c r="BP1091" s="25"/>
      <c r="BQ1091" s="25"/>
      <c r="BR1091" s="25"/>
      <c r="BS1091" s="25"/>
      <c r="BT1091" s="25"/>
      <c r="BU1091" s="25"/>
      <c r="BV1091" s="25"/>
      <c r="BW1091" s="25"/>
      <c r="BX1091" s="25"/>
      <c r="BY1091" s="25"/>
      <c r="BZ1091" s="25"/>
      <c r="CA1091" s="25"/>
      <c r="CB1091" s="25"/>
    </row>
    <row r="1092" spans="1:80" ht="12.75" hidden="1" customHeight="1">
      <c r="A1092" s="10">
        <f ca="1">IFERROR(__xludf.DUMMYFUNCTION("""COMPUTED_VALUE"""),2015)</f>
        <v>2015</v>
      </c>
      <c r="B1092" s="50">
        <f ca="1">IFERROR(__xludf.DUMMYFUNCTION("""COMPUTED_VALUE"""),42632)</f>
        <v>42632</v>
      </c>
      <c r="C1092" s="41">
        <f ca="1">IFERROR(__xludf.DUMMYFUNCTION("""COMPUTED_VALUE"""),42632)</f>
        <v>42632</v>
      </c>
      <c r="D1092" s="42" t="str">
        <f ca="1">IFERROR(__xludf.DUMMYFUNCTION("""COMPUTED_VALUE"""),"Corncrake")</f>
        <v>Corncrake</v>
      </c>
      <c r="E1092" s="53">
        <f ca="1">IFERROR(__xludf.DUMMYFUNCTION("""COMPUTED_VALUE"""),1)</f>
        <v>1</v>
      </c>
      <c r="F1092" s="15"/>
      <c r="G1092" s="44" t="str">
        <f ca="1">IFERROR(__xludf.DUMMYFUNCTION("""COMPUTED_VALUE"""),"Hale")</f>
        <v>Hale</v>
      </c>
      <c r="H1092" s="12">
        <f ca="1">IFERROR(__xludf.DUMMYFUNCTION("""COMPUTED_VALUE"""),42149)</f>
        <v>42149</v>
      </c>
      <c r="I1092" s="12">
        <f ca="1">IFERROR(__xludf.DUMMYFUNCTION("""COMPUTED_VALUE"""),42163)</f>
        <v>42163</v>
      </c>
      <c r="J1092" s="14" t="str">
        <f ca="1">IFERROR(__xludf.DUMMYFUNCTION("""COMPUTED_VALUE"""),"RP&amp;CA Cockbain")</f>
        <v>RP&amp;CA Cockbain</v>
      </c>
      <c r="K1092" s="15" t="str">
        <f ca="1">IFERROR(__xludf.DUMMYFUNCTION("""COMPUTED_VALUE"""),"RP&amp;CA Cockbain")</f>
        <v>RP&amp;CA Cockbain</v>
      </c>
      <c r="L1092" s="17" t="str">
        <f ca="1">IFERROR(__xludf.DUMMYFUNCTION("""COMPUTED_VALUE"""),"closed")</f>
        <v>closed</v>
      </c>
      <c r="M1092" s="17" t="str">
        <f ca="1">IFERROR(__xludf.DUMMYFUNCTION("""COMPUTED_VALUE"""),"1st U")</f>
        <v>1st U</v>
      </c>
      <c r="N1092" s="15" t="str">
        <f ca="1">IFERROR(__xludf.DUMMYFUNCTION("""COMPUTED_VALUE"""),"accepted")</f>
        <v>accepted</v>
      </c>
      <c r="O1092" s="18"/>
      <c r="P1092" s="15"/>
      <c r="Q1092" s="15"/>
      <c r="R1092" s="15"/>
      <c r="S1092" s="15"/>
      <c r="T1092" s="15"/>
      <c r="U1092" s="15"/>
      <c r="V1092" s="15"/>
      <c r="W1092" s="15"/>
      <c r="X1092" s="15"/>
      <c r="Y1092" s="15"/>
      <c r="Z1092" s="15"/>
      <c r="AA1092" s="15"/>
      <c r="AB1092" s="15"/>
      <c r="AC1092" s="15"/>
      <c r="AD1092" s="15"/>
      <c r="AE1092" s="15"/>
      <c r="AF1092" s="15"/>
      <c r="AG1092" s="15"/>
      <c r="AH1092" s="15"/>
      <c r="AI1092" s="15"/>
      <c r="AJ1092" s="15"/>
      <c r="AK1092" s="15"/>
      <c r="AL1092" s="15"/>
      <c r="AM1092" s="15"/>
      <c r="AN1092" s="15"/>
      <c r="AO1092" s="15"/>
      <c r="AP1092" s="15"/>
      <c r="AQ1092" s="15"/>
      <c r="AR1092" s="15"/>
      <c r="AS1092" s="15"/>
      <c r="AT1092" s="15"/>
      <c r="AU1092" s="15"/>
      <c r="AV1092" s="15"/>
      <c r="AW1092" s="15"/>
      <c r="AX1092" s="15"/>
      <c r="AY1092" s="15"/>
      <c r="AZ1092" s="15"/>
      <c r="BA1092" s="15"/>
      <c r="BB1092" s="15"/>
      <c r="BC1092" s="15"/>
      <c r="BD1092" s="15"/>
      <c r="BE1092" s="15"/>
      <c r="BF1092" s="15"/>
      <c r="BG1092" s="15"/>
      <c r="BH1092" s="15"/>
      <c r="BI1092" s="15"/>
      <c r="BJ1092" s="15"/>
      <c r="BK1092" s="15"/>
      <c r="BL1092" s="15"/>
      <c r="BM1092" s="15"/>
      <c r="BN1092" s="15"/>
      <c r="BO1092" s="15"/>
      <c r="BP1092" s="15"/>
      <c r="BQ1092" s="15"/>
      <c r="BR1092" s="15"/>
      <c r="BS1092" s="15"/>
      <c r="BT1092" s="15"/>
      <c r="BU1092" s="15"/>
      <c r="BV1092" s="15"/>
      <c r="BW1092" s="15"/>
      <c r="BX1092" s="15"/>
      <c r="BY1092" s="15"/>
      <c r="BZ1092" s="15"/>
      <c r="CA1092" s="15"/>
      <c r="CB1092" s="15"/>
    </row>
    <row r="1093" spans="1:80" ht="12.75" hidden="1" customHeight="1">
      <c r="A1093" s="20">
        <f ca="1">IFERROR(__xludf.DUMMYFUNCTION("""COMPUTED_VALUE"""),2015)</f>
        <v>2015</v>
      </c>
      <c r="B1093" s="45">
        <f ca="1">IFERROR(__xludf.DUMMYFUNCTION("""COMPUTED_VALUE"""),42618)</f>
        <v>42618</v>
      </c>
      <c r="C1093" s="46">
        <f ca="1">IFERROR(__xludf.DUMMYFUNCTION("""COMPUTED_VALUE"""),42646)</f>
        <v>42646</v>
      </c>
      <c r="D1093" s="47" t="str">
        <f ca="1">IFERROR(__xludf.DUMMYFUNCTION("""COMPUTED_VALUE"""),"Spotted Crake")</f>
        <v>Spotted Crake</v>
      </c>
      <c r="E1093" s="52">
        <f ca="1">IFERROR(__xludf.DUMMYFUNCTION("""COMPUTED_VALUE"""),1)</f>
        <v>1</v>
      </c>
      <c r="F1093" s="25" t="str">
        <f ca="1">IFERROR(__xludf.DUMMYFUNCTION("""COMPUTED_VALUE"""),"ad")</f>
        <v>ad</v>
      </c>
      <c r="G1093" s="48" t="str">
        <f ca="1">IFERROR(__xludf.DUMMYFUNCTION("""COMPUTED_VALUE"""),"Burton Mere Wetlands RSPB")</f>
        <v>Burton Mere Wetlands RSPB</v>
      </c>
      <c r="H1093" s="22">
        <f ca="1">IFERROR(__xludf.DUMMYFUNCTION("""COMPUTED_VALUE"""),42288)</f>
        <v>42288</v>
      </c>
      <c r="I1093" s="23"/>
      <c r="J1093" s="24" t="str">
        <f ca="1">IFERROR(__xludf.DUMMYFUNCTION("""COMPUTED_VALUE"""),"Monteith, E")</f>
        <v>Monteith, E</v>
      </c>
      <c r="K1093" s="25" t="str">
        <f ca="1">IFERROR(__xludf.DUMMYFUNCTION("""COMPUTED_VALUE"""),"?")</f>
        <v>?</v>
      </c>
      <c r="L1093" s="27" t="str">
        <f ca="1">IFERROR(__xludf.DUMMYFUNCTION("""COMPUTED_VALUE"""),"closed")</f>
        <v>closed</v>
      </c>
      <c r="M1093" s="27" t="str">
        <f ca="1">IFERROR(__xludf.DUMMYFUNCTION("""COMPUTED_VALUE"""),"1st U")</f>
        <v>1st U</v>
      </c>
      <c r="N1093" s="25" t="str">
        <f ca="1">IFERROR(__xludf.DUMMYFUNCTION("""COMPUTED_VALUE"""),"accepted")</f>
        <v>accepted</v>
      </c>
      <c r="O1093" s="28"/>
      <c r="P1093" s="25"/>
      <c r="Q1093" s="25"/>
      <c r="R1093" s="25"/>
      <c r="S1093" s="25"/>
      <c r="T1093" s="25"/>
      <c r="U1093" s="25"/>
      <c r="V1093" s="25"/>
      <c r="W1093" s="25"/>
      <c r="X1093" s="25"/>
      <c r="Y1093" s="25"/>
      <c r="Z1093" s="25"/>
      <c r="AA1093" s="25"/>
      <c r="AB1093" s="25"/>
      <c r="AC1093" s="25"/>
      <c r="AD1093" s="25"/>
      <c r="AE1093" s="25"/>
      <c r="AF1093" s="25"/>
      <c r="AG1093" s="25"/>
      <c r="AH1093" s="25"/>
      <c r="AI1093" s="25"/>
      <c r="AJ1093" s="25"/>
      <c r="AK1093" s="25"/>
      <c r="AL1093" s="25"/>
      <c r="AM1093" s="25"/>
      <c r="AN1093" s="25"/>
      <c r="AO1093" s="25"/>
      <c r="AP1093" s="25"/>
      <c r="AQ1093" s="25"/>
      <c r="AR1093" s="25"/>
      <c r="AS1093" s="25"/>
      <c r="AT1093" s="25"/>
      <c r="AU1093" s="25"/>
      <c r="AV1093" s="25"/>
      <c r="AW1093" s="25"/>
      <c r="AX1093" s="25"/>
      <c r="AY1093" s="25"/>
      <c r="AZ1093" s="25"/>
      <c r="BA1093" s="25"/>
      <c r="BB1093" s="25"/>
      <c r="BC1093" s="25"/>
      <c r="BD1093" s="25"/>
      <c r="BE1093" s="25"/>
      <c r="BF1093" s="25"/>
      <c r="BG1093" s="25"/>
      <c r="BH1093" s="25"/>
      <c r="BI1093" s="25"/>
      <c r="BJ1093" s="25"/>
      <c r="BK1093" s="25"/>
      <c r="BL1093" s="25"/>
      <c r="BM1093" s="25"/>
      <c r="BN1093" s="25"/>
      <c r="BO1093" s="25"/>
      <c r="BP1093" s="25"/>
      <c r="BQ1093" s="25"/>
      <c r="BR1093" s="25"/>
      <c r="BS1093" s="25"/>
      <c r="BT1093" s="25"/>
      <c r="BU1093" s="25"/>
      <c r="BV1093" s="25"/>
      <c r="BW1093" s="25"/>
      <c r="BX1093" s="25"/>
      <c r="BY1093" s="25"/>
      <c r="BZ1093" s="25"/>
      <c r="CA1093" s="25"/>
      <c r="CB1093" s="25"/>
    </row>
    <row r="1094" spans="1:80" ht="12.75" hidden="1" customHeight="1">
      <c r="A1094" s="10">
        <f ca="1">IFERROR(__xludf.DUMMYFUNCTION("""COMPUTED_VALUE"""),2015)</f>
        <v>2015</v>
      </c>
      <c r="B1094" s="50">
        <f ca="1">IFERROR(__xludf.DUMMYFUNCTION("""COMPUTED_VALUE"""),42618)</f>
        <v>42618</v>
      </c>
      <c r="C1094" s="41">
        <f ca="1">IFERROR(__xludf.DUMMYFUNCTION("""COMPUTED_VALUE"""),42647)</f>
        <v>42647</v>
      </c>
      <c r="D1094" s="42" t="str">
        <f ca="1">IFERROR(__xludf.DUMMYFUNCTION("""COMPUTED_VALUE"""),"Crane")</f>
        <v>Crane</v>
      </c>
      <c r="E1094" s="53">
        <f ca="1">IFERROR(__xludf.DUMMYFUNCTION("""COMPUTED_VALUE"""),1)</f>
        <v>1</v>
      </c>
      <c r="F1094" s="15"/>
      <c r="G1094" s="44" t="str">
        <f ca="1">IFERROR(__xludf.DUMMYFUNCTION("""COMPUTED_VALUE"""),"Frodsham Marsh")</f>
        <v>Frodsham Marsh</v>
      </c>
      <c r="H1094" s="12">
        <f ca="1">IFERROR(__xludf.DUMMYFUNCTION("""COMPUTED_VALUE"""),42077)</f>
        <v>42077</v>
      </c>
      <c r="I1094" s="12">
        <f ca="1">IFERROR(__xludf.DUMMYFUNCTION("""COMPUTED_VALUE"""),42077)</f>
        <v>42077</v>
      </c>
      <c r="J1094" s="14" t="str">
        <f ca="1">IFERROR(__xludf.DUMMYFUNCTION("""COMPUTED_VALUE"""),"Morton, W")</f>
        <v>Morton, W</v>
      </c>
      <c r="K1094" s="15" t="str">
        <f ca="1">IFERROR(__xludf.DUMMYFUNCTION("""COMPUTED_VALUE"""),"Morton, W")</f>
        <v>Morton, W</v>
      </c>
      <c r="L1094" s="17" t="str">
        <f ca="1">IFERROR(__xludf.DUMMYFUNCTION("""COMPUTED_VALUE"""),"closed")</f>
        <v>closed</v>
      </c>
      <c r="M1094" s="17" t="str">
        <f ca="1">IFERROR(__xludf.DUMMYFUNCTION("""COMPUTED_VALUE"""),"1st U")</f>
        <v>1st U</v>
      </c>
      <c r="N1094" s="15" t="str">
        <f ca="1">IFERROR(__xludf.DUMMYFUNCTION("""COMPUTED_VALUE"""),"accepted")</f>
        <v>accepted</v>
      </c>
      <c r="O1094" s="18" t="str">
        <f ca="1">IFERROR(__xludf.DUMMYFUNCTION("""COMPUTED_VALUE"""),"Flew over")</f>
        <v>Flew over</v>
      </c>
      <c r="P1094" s="15"/>
      <c r="Q1094" s="15"/>
      <c r="R1094" s="15"/>
      <c r="S1094" s="15"/>
      <c r="T1094" s="15"/>
      <c r="U1094" s="15"/>
      <c r="V1094" s="15"/>
      <c r="W1094" s="15"/>
      <c r="X1094" s="15"/>
      <c r="Y1094" s="15"/>
      <c r="Z1094" s="15"/>
      <c r="AA1094" s="15"/>
      <c r="AB1094" s="15"/>
      <c r="AC1094" s="15"/>
      <c r="AD1094" s="15"/>
      <c r="AE1094" s="15"/>
      <c r="AF1094" s="15"/>
      <c r="AG1094" s="15"/>
      <c r="AH1094" s="15"/>
      <c r="AI1094" s="15"/>
      <c r="AJ1094" s="15"/>
      <c r="AK1094" s="15"/>
      <c r="AL1094" s="15"/>
      <c r="AM1094" s="15"/>
      <c r="AN1094" s="15"/>
      <c r="AO1094" s="15"/>
      <c r="AP1094" s="15"/>
      <c r="AQ1094" s="15"/>
      <c r="AR1094" s="15"/>
      <c r="AS1094" s="15"/>
      <c r="AT1094" s="15"/>
      <c r="AU1094" s="15"/>
      <c r="AV1094" s="15"/>
      <c r="AW1094" s="15"/>
      <c r="AX1094" s="15"/>
      <c r="AY1094" s="15"/>
      <c r="AZ1094" s="15"/>
      <c r="BA1094" s="15"/>
      <c r="BB1094" s="15"/>
      <c r="BC1094" s="15"/>
      <c r="BD1094" s="15"/>
      <c r="BE1094" s="15"/>
      <c r="BF1094" s="15"/>
      <c r="BG1094" s="15"/>
      <c r="BH1094" s="15"/>
      <c r="BI1094" s="15"/>
      <c r="BJ1094" s="15"/>
      <c r="BK1094" s="15"/>
      <c r="BL1094" s="15"/>
      <c r="BM1094" s="15"/>
      <c r="BN1094" s="15"/>
      <c r="BO1094" s="15"/>
      <c r="BP1094" s="15"/>
      <c r="BQ1094" s="15"/>
      <c r="BR1094" s="15"/>
      <c r="BS1094" s="15"/>
      <c r="BT1094" s="15"/>
      <c r="BU1094" s="15"/>
      <c r="BV1094" s="15"/>
      <c r="BW1094" s="15"/>
      <c r="BX1094" s="15"/>
      <c r="BY1094" s="15"/>
      <c r="BZ1094" s="15"/>
      <c r="CA1094" s="15"/>
      <c r="CB1094" s="15"/>
    </row>
    <row r="1095" spans="1:80" ht="12.75" hidden="1" customHeight="1">
      <c r="A1095" s="20">
        <f ca="1">IFERROR(__xludf.DUMMYFUNCTION("""COMPUTED_VALUE"""),2015)</f>
        <v>2015</v>
      </c>
      <c r="B1095" s="45">
        <f ca="1">IFERROR(__xludf.DUMMYFUNCTION("""COMPUTED_VALUE"""),42618)</f>
        <v>42618</v>
      </c>
      <c r="C1095" s="46">
        <f ca="1">IFERROR(__xludf.DUMMYFUNCTION("""COMPUTED_VALUE"""),42647)</f>
        <v>42647</v>
      </c>
      <c r="D1095" s="47" t="str">
        <f ca="1">IFERROR(__xludf.DUMMYFUNCTION("""COMPUTED_VALUE"""),"Crane")</f>
        <v>Crane</v>
      </c>
      <c r="E1095" s="52">
        <f ca="1">IFERROR(__xludf.DUMMYFUNCTION("""COMPUTED_VALUE"""),1)</f>
        <v>1</v>
      </c>
      <c r="F1095" s="25"/>
      <c r="G1095" s="48" t="str">
        <f ca="1">IFERROR(__xludf.DUMMYFUNCTION("""COMPUTED_VALUE"""),"Burton Marsh, Dee Est Saltmarsh RSPB")</f>
        <v>Burton Marsh, Dee Est Saltmarsh RSPB</v>
      </c>
      <c r="H1095" s="22">
        <f ca="1">IFERROR(__xludf.DUMMYFUNCTION("""COMPUTED_VALUE"""),42102)</f>
        <v>42102</v>
      </c>
      <c r="I1095" s="22">
        <f ca="1">IFERROR(__xludf.DUMMYFUNCTION("""COMPUTED_VALUE"""),42102)</f>
        <v>42102</v>
      </c>
      <c r="J1095" s="24" t="str">
        <f ca="1">IFERROR(__xludf.DUMMYFUNCTION("""COMPUTED_VALUE"""),"Speechley R")</f>
        <v>Speechley R</v>
      </c>
      <c r="K1095" s="25"/>
      <c r="L1095" s="27" t="str">
        <f ca="1">IFERROR(__xludf.DUMMYFUNCTION("""COMPUTED_VALUE"""),"closed")</f>
        <v>closed</v>
      </c>
      <c r="M1095" s="27" t="str">
        <f ca="1">IFERROR(__xludf.DUMMYFUNCTION("""COMPUTED_VALUE"""),"1st M")</f>
        <v>1st M</v>
      </c>
      <c r="N1095" s="25" t="str">
        <f ca="1">IFERROR(__xludf.DUMMYFUNCTION("""COMPUTED_VALUE"""),"accepted")</f>
        <v>accepted</v>
      </c>
      <c r="O1095" s="28"/>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c r="AK1095" s="25"/>
      <c r="AL1095" s="25"/>
      <c r="AM1095" s="25"/>
      <c r="AN1095" s="25"/>
      <c r="AO1095" s="25"/>
      <c r="AP1095" s="25"/>
      <c r="AQ1095" s="25"/>
      <c r="AR1095" s="25"/>
      <c r="AS1095" s="25"/>
      <c r="AT1095" s="25"/>
      <c r="AU1095" s="25"/>
      <c r="AV1095" s="25"/>
      <c r="AW1095" s="25"/>
      <c r="AX1095" s="25"/>
      <c r="AY1095" s="25"/>
      <c r="AZ1095" s="25"/>
      <c r="BA1095" s="25"/>
      <c r="BB1095" s="25"/>
      <c r="BC1095" s="25"/>
      <c r="BD1095" s="25"/>
      <c r="BE1095" s="25"/>
      <c r="BF1095" s="25"/>
      <c r="BG1095" s="25"/>
      <c r="BH1095" s="25"/>
      <c r="BI1095" s="25"/>
      <c r="BJ1095" s="25"/>
      <c r="BK1095" s="25"/>
      <c r="BL1095" s="25"/>
      <c r="BM1095" s="25"/>
      <c r="BN1095" s="25"/>
      <c r="BO1095" s="25"/>
      <c r="BP1095" s="25"/>
      <c r="BQ1095" s="25"/>
      <c r="BR1095" s="25"/>
      <c r="BS1095" s="25"/>
      <c r="BT1095" s="25"/>
      <c r="BU1095" s="25"/>
      <c r="BV1095" s="25"/>
      <c r="BW1095" s="25"/>
      <c r="BX1095" s="25"/>
      <c r="BY1095" s="25"/>
      <c r="BZ1095" s="25"/>
      <c r="CA1095" s="25"/>
      <c r="CB1095" s="25"/>
    </row>
    <row r="1096" spans="1:80" ht="12.75" hidden="1" customHeight="1">
      <c r="A1096" s="10">
        <f ca="1">IFERROR(__xludf.DUMMYFUNCTION("""COMPUTED_VALUE"""),2015)</f>
        <v>2015</v>
      </c>
      <c r="B1096" s="50">
        <f ca="1">IFERROR(__xludf.DUMMYFUNCTION("""COMPUTED_VALUE"""),42618)</f>
        <v>42618</v>
      </c>
      <c r="C1096" s="41"/>
      <c r="D1096" s="42" t="str">
        <f ca="1">IFERROR(__xludf.DUMMYFUNCTION("""COMPUTED_VALUE"""),"Crane")</f>
        <v>Crane</v>
      </c>
      <c r="E1096" s="53">
        <f ca="1">IFERROR(__xludf.DUMMYFUNCTION("""COMPUTED_VALUE"""),1)</f>
        <v>1</v>
      </c>
      <c r="F1096" s="15"/>
      <c r="G1096" s="44" t="str">
        <f ca="1">IFERROR(__xludf.DUMMYFUNCTION("""COMPUTED_VALUE"""),"Mersey Estuary - Narrows SSSI")</f>
        <v>Mersey Estuary - Narrows SSSI</v>
      </c>
      <c r="H1096" s="12">
        <f ca="1">IFERROR(__xludf.DUMMYFUNCTION("""COMPUTED_VALUE"""),42102)</f>
        <v>42102</v>
      </c>
      <c r="I1096" s="12">
        <f ca="1">IFERROR(__xludf.DUMMYFUNCTION("""COMPUTED_VALUE"""),42102)</f>
        <v>42102</v>
      </c>
      <c r="J1096" s="14" t="str">
        <f ca="1">IFERROR(__xludf.DUMMYFUNCTION("""COMPUTED_VALUE"""),"Seaforth Bird Report")</f>
        <v>Seaforth Bird Report</v>
      </c>
      <c r="K1096" s="15"/>
      <c r="L1096" s="17" t="str">
        <f ca="1">IFERROR(__xludf.DUMMYFUNCTION("""COMPUTED_VALUE"""),"closed")</f>
        <v>closed</v>
      </c>
      <c r="M1096" s="17" t="str">
        <f ca="1">IFERROR(__xludf.DUMMYFUNCTION("""COMPUTED_VALUE"""),"proxy")</f>
        <v>proxy</v>
      </c>
      <c r="N1096" s="15" t="str">
        <f ca="1">IFERROR(__xludf.DUMMYFUNCTION("""COMPUTED_VALUE"""),"accepted")</f>
        <v>accepted</v>
      </c>
      <c r="O1096" s="18" t="str">
        <f ca="1">IFERROR(__xludf.DUMMYFUNCTION("""COMPUTED_VALUE"""),"previously seen over Burton Mere (AJ Conway)")</f>
        <v>previously seen over Burton Mere (AJ Conway)</v>
      </c>
      <c r="P1096" s="15"/>
      <c r="Q1096" s="15"/>
      <c r="R1096" s="15"/>
      <c r="S1096" s="15"/>
      <c r="T1096" s="15"/>
      <c r="U1096" s="15"/>
      <c r="V1096" s="15"/>
      <c r="W1096" s="15"/>
      <c r="X1096" s="15"/>
      <c r="Y1096" s="15"/>
      <c r="Z1096" s="15"/>
      <c r="AA1096" s="15"/>
      <c r="AB1096" s="15"/>
      <c r="AC1096" s="15"/>
      <c r="AD1096" s="15"/>
      <c r="AE1096" s="15"/>
      <c r="AF1096" s="15"/>
      <c r="AG1096" s="15"/>
      <c r="AH1096" s="15"/>
      <c r="AI1096" s="15"/>
      <c r="AJ1096" s="15"/>
      <c r="AK1096" s="15"/>
      <c r="AL1096" s="15"/>
      <c r="AM1096" s="15"/>
      <c r="AN1096" s="15"/>
      <c r="AO1096" s="15"/>
      <c r="AP1096" s="15"/>
      <c r="AQ1096" s="15"/>
      <c r="AR1096" s="15"/>
      <c r="AS1096" s="15"/>
      <c r="AT1096" s="15"/>
      <c r="AU1096" s="15"/>
      <c r="AV1096" s="15"/>
      <c r="AW1096" s="15"/>
      <c r="AX1096" s="15"/>
      <c r="AY1096" s="15"/>
      <c r="AZ1096" s="15"/>
      <c r="BA1096" s="15"/>
      <c r="BB1096" s="15"/>
      <c r="BC1096" s="15"/>
      <c r="BD1096" s="15"/>
      <c r="BE1096" s="15"/>
      <c r="BF1096" s="15"/>
      <c r="BG1096" s="15"/>
      <c r="BH1096" s="15"/>
      <c r="BI1096" s="15"/>
      <c r="BJ1096" s="15"/>
      <c r="BK1096" s="15"/>
      <c r="BL1096" s="15"/>
      <c r="BM1096" s="15"/>
      <c r="BN1096" s="15"/>
      <c r="BO1096" s="15"/>
      <c r="BP1096" s="15"/>
      <c r="BQ1096" s="15"/>
      <c r="BR1096" s="15"/>
      <c r="BS1096" s="15"/>
      <c r="BT1096" s="15"/>
      <c r="BU1096" s="15"/>
      <c r="BV1096" s="15"/>
      <c r="BW1096" s="15"/>
      <c r="BX1096" s="15"/>
      <c r="BY1096" s="15"/>
      <c r="BZ1096" s="15"/>
      <c r="CA1096" s="15"/>
      <c r="CB1096" s="15"/>
    </row>
    <row r="1097" spans="1:80" ht="12.75" hidden="1" customHeight="1">
      <c r="A1097" s="20">
        <f ca="1">IFERROR(__xludf.DUMMYFUNCTION("""COMPUTED_VALUE"""),2015)</f>
        <v>2015</v>
      </c>
      <c r="B1097" s="45">
        <f ca="1">IFERROR(__xludf.DUMMYFUNCTION("""COMPUTED_VALUE"""),43195)</f>
        <v>43195</v>
      </c>
      <c r="C1097" s="46"/>
      <c r="D1097" s="47" t="str">
        <f ca="1">IFERROR(__xludf.DUMMYFUNCTION("""COMPUTED_VALUE"""),"Crane")</f>
        <v>Crane</v>
      </c>
      <c r="E1097" s="52">
        <f ca="1">IFERROR(__xludf.DUMMYFUNCTION("""COMPUTED_VALUE"""),1)</f>
        <v>1</v>
      </c>
      <c r="F1097" s="25"/>
      <c r="G1097" s="48" t="str">
        <f ca="1">IFERROR(__xludf.DUMMYFUNCTION("""COMPUTED_VALUE"""),"Hale")</f>
        <v>Hale</v>
      </c>
      <c r="H1097" s="22">
        <f ca="1">IFERROR(__xludf.DUMMYFUNCTION("""COMPUTED_VALUE"""),42273)</f>
        <v>42273</v>
      </c>
      <c r="I1097" s="22">
        <f ca="1">IFERROR(__xludf.DUMMYFUNCTION("""COMPUTED_VALUE"""),42273)</f>
        <v>42273</v>
      </c>
      <c r="J1097" s="24" t="str">
        <f ca="1">IFERROR(__xludf.DUMMYFUNCTION("""COMPUTED_VALUE"""),"Craven, D")</f>
        <v>Craven, D</v>
      </c>
      <c r="K1097" s="25" t="str">
        <f ca="1">IFERROR(__xludf.DUMMYFUNCTION("""COMPUTED_VALUE"""),"Craven, D")</f>
        <v>Craven, D</v>
      </c>
      <c r="L1097" s="27" t="str">
        <f ca="1">IFERROR(__xludf.DUMMYFUNCTION("""COMPUTED_VALUE"""),"closed")</f>
        <v>closed</v>
      </c>
      <c r="M1097" s="27" t="str">
        <f ca="1">IFERROR(__xludf.DUMMYFUNCTION("""COMPUTED_VALUE"""),"1st U")</f>
        <v>1st U</v>
      </c>
      <c r="N1097" s="25" t="str">
        <f ca="1">IFERROR(__xludf.DUMMYFUNCTION("""COMPUTED_VALUE"""),"accepted")</f>
        <v>accepted</v>
      </c>
      <c r="O1097" s="28"/>
      <c r="P1097" s="25"/>
      <c r="Q1097" s="25"/>
      <c r="R1097" s="25"/>
      <c r="S1097" s="25"/>
      <c r="T1097" s="25"/>
      <c r="U1097" s="25"/>
      <c r="V1097" s="25"/>
      <c r="W1097" s="25"/>
      <c r="X1097" s="25"/>
      <c r="Y1097" s="25"/>
      <c r="Z1097" s="25"/>
      <c r="AA1097" s="25"/>
      <c r="AB1097" s="25"/>
      <c r="AC1097" s="25"/>
      <c r="AD1097" s="25"/>
      <c r="AE1097" s="25"/>
      <c r="AF1097" s="25"/>
      <c r="AG1097" s="25"/>
      <c r="AH1097" s="25"/>
      <c r="AI1097" s="25"/>
      <c r="AJ1097" s="25"/>
      <c r="AK1097" s="25"/>
      <c r="AL1097" s="25"/>
      <c r="AM1097" s="25"/>
      <c r="AN1097" s="25"/>
      <c r="AO1097" s="25"/>
      <c r="AP1097" s="25"/>
      <c r="AQ1097" s="25"/>
      <c r="AR1097" s="25"/>
      <c r="AS1097" s="25"/>
      <c r="AT1097" s="25"/>
      <c r="AU1097" s="25"/>
      <c r="AV1097" s="25"/>
      <c r="AW1097" s="25"/>
      <c r="AX1097" s="25"/>
      <c r="AY1097" s="25"/>
      <c r="AZ1097" s="25"/>
      <c r="BA1097" s="25"/>
      <c r="BB1097" s="25"/>
      <c r="BC1097" s="25"/>
      <c r="BD1097" s="25"/>
      <c r="BE1097" s="25"/>
      <c r="BF1097" s="25"/>
      <c r="BG1097" s="25"/>
      <c r="BH1097" s="25"/>
      <c r="BI1097" s="25"/>
      <c r="BJ1097" s="25"/>
      <c r="BK1097" s="25"/>
      <c r="BL1097" s="25"/>
      <c r="BM1097" s="25"/>
      <c r="BN1097" s="25"/>
      <c r="BO1097" s="25"/>
      <c r="BP1097" s="25"/>
      <c r="BQ1097" s="25"/>
      <c r="BR1097" s="25"/>
      <c r="BS1097" s="25"/>
      <c r="BT1097" s="25"/>
      <c r="BU1097" s="25"/>
      <c r="BV1097" s="25"/>
      <c r="BW1097" s="25"/>
      <c r="BX1097" s="25"/>
      <c r="BY1097" s="25"/>
      <c r="BZ1097" s="25"/>
      <c r="CA1097" s="25"/>
      <c r="CB1097" s="25"/>
    </row>
    <row r="1098" spans="1:80" ht="12.75" hidden="1" customHeight="1">
      <c r="A1098" s="10">
        <f ca="1">IFERROR(__xludf.DUMMYFUNCTION("""COMPUTED_VALUE"""),2015)</f>
        <v>2015</v>
      </c>
      <c r="B1098" s="50">
        <f ca="1">IFERROR(__xludf.DUMMYFUNCTION("""COMPUTED_VALUE"""),42618)</f>
        <v>42618</v>
      </c>
      <c r="C1098" s="41">
        <f ca="1">IFERROR(__xludf.DUMMYFUNCTION("""COMPUTED_VALUE"""),42647)</f>
        <v>42647</v>
      </c>
      <c r="D1098" s="42" t="str">
        <f ca="1">IFERROR(__xludf.DUMMYFUNCTION("""COMPUTED_VALUE"""),"Crane")</f>
        <v>Crane</v>
      </c>
      <c r="E1098" s="53">
        <f ca="1">IFERROR(__xludf.DUMMYFUNCTION("""COMPUTED_VALUE"""),2)</f>
        <v>2</v>
      </c>
      <c r="F1098" s="15"/>
      <c r="G1098" s="44" t="str">
        <f ca="1">IFERROR(__xludf.DUMMYFUNCTION("""COMPUTED_VALUE"""),"No. 3 Tank, Frodsham Marsh")</f>
        <v>No. 3 Tank, Frodsham Marsh</v>
      </c>
      <c r="H1098" s="12">
        <f ca="1">IFERROR(__xludf.DUMMYFUNCTION("""COMPUTED_VALUE"""),42281)</f>
        <v>42281</v>
      </c>
      <c r="I1098" s="12">
        <f ca="1">IFERROR(__xludf.DUMMYFUNCTION("""COMPUTED_VALUE"""),42282)</f>
        <v>42282</v>
      </c>
      <c r="J1098" s="14" t="str">
        <f ca="1">IFERROR(__xludf.DUMMYFUNCTION("""COMPUTED_VALUE"""),"FMB Frodsham Marsh Bird Blog")</f>
        <v>FMB Frodsham Marsh Bird Blog</v>
      </c>
      <c r="K1098" s="15" t="str">
        <f ca="1">IFERROR(__xludf.DUMMYFUNCTION("""COMPUTED_VALUE"""),"O'Hara, S")</f>
        <v>O'Hara, S</v>
      </c>
      <c r="L1098" s="17" t="str">
        <f ca="1">IFERROR(__xludf.DUMMYFUNCTION("""COMPUTED_VALUE"""),"closed")</f>
        <v>closed</v>
      </c>
      <c r="M1098" s="17" t="str">
        <f ca="1">IFERROR(__xludf.DUMMYFUNCTION("""COMPUTED_VALUE"""),"1st U")</f>
        <v>1st U</v>
      </c>
      <c r="N1098" s="15" t="str">
        <f ca="1">IFERROR(__xludf.DUMMYFUNCTION("""COMPUTED_VALUE"""),"accepted")</f>
        <v>accepted</v>
      </c>
      <c r="O1098" s="18"/>
      <c r="P1098" s="15"/>
      <c r="Q1098" s="15"/>
      <c r="R1098" s="15"/>
      <c r="S1098" s="15"/>
      <c r="T1098" s="15"/>
      <c r="U1098" s="15"/>
      <c r="V1098" s="15"/>
      <c r="W1098" s="15"/>
      <c r="X1098" s="15"/>
      <c r="Y1098" s="15"/>
      <c r="Z1098" s="15"/>
      <c r="AA1098" s="15"/>
      <c r="AB1098" s="15"/>
      <c r="AC1098" s="15"/>
      <c r="AD1098" s="15"/>
      <c r="AE1098" s="15"/>
      <c r="AF1098" s="15"/>
      <c r="AG1098" s="15"/>
      <c r="AH1098" s="15"/>
      <c r="AI1098" s="15"/>
      <c r="AJ1098" s="15"/>
      <c r="AK1098" s="15"/>
      <c r="AL1098" s="15"/>
      <c r="AM1098" s="15"/>
      <c r="AN1098" s="15"/>
      <c r="AO1098" s="15"/>
      <c r="AP1098" s="15"/>
      <c r="AQ1098" s="15"/>
      <c r="AR1098" s="15"/>
      <c r="AS1098" s="15"/>
      <c r="AT1098" s="15"/>
      <c r="AU1098" s="15"/>
      <c r="AV1098" s="15"/>
      <c r="AW1098" s="15"/>
      <c r="AX1098" s="15"/>
      <c r="AY1098" s="15"/>
      <c r="AZ1098" s="15"/>
      <c r="BA1098" s="15"/>
      <c r="BB1098" s="15"/>
      <c r="BC1098" s="15"/>
      <c r="BD1098" s="15"/>
      <c r="BE1098" s="15"/>
      <c r="BF1098" s="15"/>
      <c r="BG1098" s="15"/>
      <c r="BH1098" s="15"/>
      <c r="BI1098" s="15"/>
      <c r="BJ1098" s="15"/>
      <c r="BK1098" s="15"/>
      <c r="BL1098" s="15"/>
      <c r="BM1098" s="15"/>
      <c r="BN1098" s="15"/>
      <c r="BO1098" s="15"/>
      <c r="BP1098" s="15"/>
      <c r="BQ1098" s="15"/>
      <c r="BR1098" s="15"/>
      <c r="BS1098" s="15"/>
      <c r="BT1098" s="15"/>
      <c r="BU1098" s="15"/>
      <c r="BV1098" s="15"/>
      <c r="BW1098" s="15"/>
      <c r="BX1098" s="15"/>
      <c r="BY1098" s="15"/>
      <c r="BZ1098" s="15"/>
      <c r="CA1098" s="15"/>
      <c r="CB1098" s="15"/>
    </row>
    <row r="1099" spans="1:80" ht="12.75" hidden="1" customHeight="1">
      <c r="A1099" s="20">
        <f ca="1">IFERROR(__xludf.DUMMYFUNCTION("""COMPUTED_VALUE"""),2015)</f>
        <v>2015</v>
      </c>
      <c r="B1099" s="45">
        <f ca="1">IFERROR(__xludf.DUMMYFUNCTION("""COMPUTED_VALUE"""),42618)</f>
        <v>42618</v>
      </c>
      <c r="C1099" s="46"/>
      <c r="D1099" s="47" t="str">
        <f ca="1">IFERROR(__xludf.DUMMYFUNCTION("""COMPUTED_VALUE"""),"Red-necked Grebe")</f>
        <v>Red-necked Grebe</v>
      </c>
      <c r="E1099" s="52">
        <f ca="1">IFERROR(__xludf.DUMMYFUNCTION("""COMPUTED_VALUE"""),1)</f>
        <v>1</v>
      </c>
      <c r="F1099" s="25"/>
      <c r="G1099" s="71" t="str">
        <f ca="1">IFERROR(__xludf.DUMMYFUNCTION("""COMPUTED_VALUE"""),"Weaver Bend, Frodsham Marsh")</f>
        <v>Weaver Bend, Frodsham Marsh</v>
      </c>
      <c r="H1099" s="22">
        <f ca="1">IFERROR(__xludf.DUMMYFUNCTION("""COMPUTED_VALUE"""),42288)</f>
        <v>42288</v>
      </c>
      <c r="I1099" s="22">
        <f ca="1">IFERROR(__xludf.DUMMYFUNCTION("""COMPUTED_VALUE"""),42291)</f>
        <v>42291</v>
      </c>
      <c r="J1099" s="73" t="str">
        <f ca="1">IFERROR(__xludf.DUMMYFUNCTION("""COMPUTED_VALUE"""),"Shaun Hickey, Paul Kurs")</f>
        <v>Shaun Hickey, Paul Kurs</v>
      </c>
      <c r="K1099" s="25"/>
      <c r="L1099" s="27" t="str">
        <f ca="1">IFERROR(__xludf.DUMMYFUNCTION("""COMPUTED_VALUE"""),"closed")</f>
        <v>closed</v>
      </c>
      <c r="M1099" s="27" t="str">
        <f ca="1">IFERROR(__xludf.DUMMYFUNCTION("""COMPUTED_VALUE"""),"1st U")</f>
        <v>1st U</v>
      </c>
      <c r="N1099" s="40" t="str">
        <f ca="1">IFERROR(__xludf.DUMMYFUNCTION("""COMPUTED_VALUE"""),"Accepted")</f>
        <v>Accepted</v>
      </c>
      <c r="O1099" s="74"/>
      <c r="P1099" s="25"/>
      <c r="Q1099" s="25"/>
      <c r="R1099" s="40"/>
      <c r="S1099" s="25"/>
      <c r="T1099" s="25"/>
      <c r="U1099" s="25"/>
      <c r="V1099" s="25"/>
      <c r="W1099" s="25"/>
      <c r="X1099" s="25"/>
      <c r="Y1099" s="25"/>
      <c r="Z1099" s="25"/>
      <c r="AA1099" s="25"/>
      <c r="AB1099" s="25"/>
      <c r="AC1099" s="25"/>
      <c r="AD1099" s="25"/>
      <c r="AE1099" s="25"/>
      <c r="AF1099" s="25"/>
      <c r="AG1099" s="25"/>
      <c r="AH1099" s="25"/>
      <c r="AI1099" s="25"/>
      <c r="AJ1099" s="25"/>
      <c r="AK1099" s="25"/>
      <c r="AL1099" s="25"/>
      <c r="AM1099" s="25"/>
      <c r="AN1099" s="25"/>
      <c r="AO1099" s="25"/>
      <c r="AP1099" s="25"/>
      <c r="AQ1099" s="25"/>
      <c r="AR1099" s="25"/>
      <c r="AS1099" s="25"/>
      <c r="AT1099" s="25"/>
      <c r="AU1099" s="25"/>
      <c r="AV1099" s="25"/>
      <c r="AW1099" s="25"/>
      <c r="AX1099" s="25"/>
      <c r="AY1099" s="25"/>
      <c r="AZ1099" s="25"/>
      <c r="BA1099" s="25"/>
      <c r="BB1099" s="25"/>
      <c r="BC1099" s="25"/>
      <c r="BD1099" s="25"/>
      <c r="BE1099" s="25"/>
      <c r="BF1099" s="25"/>
      <c r="BG1099" s="25"/>
      <c r="BH1099" s="25"/>
      <c r="BI1099" s="25"/>
      <c r="BJ1099" s="25"/>
      <c r="BK1099" s="25"/>
      <c r="BL1099" s="25"/>
      <c r="BM1099" s="25"/>
      <c r="BN1099" s="25"/>
      <c r="BO1099" s="25"/>
      <c r="BP1099" s="25"/>
      <c r="BQ1099" s="25"/>
      <c r="BR1099" s="25"/>
      <c r="BS1099" s="25"/>
      <c r="BT1099" s="25"/>
      <c r="BU1099" s="25"/>
      <c r="BV1099" s="25"/>
      <c r="BW1099" s="25"/>
      <c r="BX1099" s="25"/>
      <c r="BY1099" s="25"/>
      <c r="BZ1099" s="25"/>
      <c r="CA1099" s="25"/>
      <c r="CB1099" s="25"/>
    </row>
    <row r="1100" spans="1:80" ht="12.75" hidden="1" customHeight="1">
      <c r="A1100" s="10">
        <f ca="1">IFERROR(__xludf.DUMMYFUNCTION("""COMPUTED_VALUE"""),2015)</f>
        <v>2015</v>
      </c>
      <c r="B1100" s="50">
        <f ca="1">IFERROR(__xludf.DUMMYFUNCTION("""COMPUTED_VALUE"""),42618)</f>
        <v>42618</v>
      </c>
      <c r="C1100" s="41"/>
      <c r="D1100" s="42" t="str">
        <f ca="1">IFERROR(__xludf.DUMMYFUNCTION("""COMPUTED_VALUE"""),"Red-necked Grebe")</f>
        <v>Red-necked Grebe</v>
      </c>
      <c r="E1100" s="53">
        <f ca="1">IFERROR(__xludf.DUMMYFUNCTION("""COMPUTED_VALUE"""),1)</f>
        <v>1</v>
      </c>
      <c r="F1100" s="15"/>
      <c r="G1100" s="44" t="str">
        <f ca="1">IFERROR(__xludf.DUMMYFUNCTION("""COMPUTED_VALUE"""),"Weaver Bend, Frodsham Marsh")</f>
        <v>Weaver Bend, Frodsham Marsh</v>
      </c>
      <c r="H1100" s="12">
        <f ca="1">IFERROR(__xludf.DUMMYFUNCTION("""COMPUTED_VALUE"""),42289)</f>
        <v>42289</v>
      </c>
      <c r="I1100" s="12">
        <f ca="1">IFERROR(__xludf.DUMMYFUNCTION("""COMPUTED_VALUE"""),42289)</f>
        <v>42289</v>
      </c>
      <c r="J1100" s="14" t="str">
        <f ca="1">IFERROR(__xludf.DUMMYFUNCTION("""COMPUTED_VALUE"""),"FMB Frodsham Marsh Bird Blog")</f>
        <v>FMB Frodsham Marsh Bird Blog</v>
      </c>
      <c r="K1100" s="15"/>
      <c r="L1100" s="17" t="str">
        <f ca="1">IFERROR(__xludf.DUMMYFUNCTION("""COMPUTED_VALUE"""),"closed")</f>
        <v>closed</v>
      </c>
      <c r="M1100" s="17" t="str">
        <f ca="1">IFERROR(__xludf.DUMMYFUNCTION("""COMPUTED_VALUE"""),"proxy")</f>
        <v>proxy</v>
      </c>
      <c r="N1100" s="15" t="str">
        <f ca="1">IFERROR(__xludf.DUMMYFUNCTION("""COMPUTED_VALUE"""),"accepted")</f>
        <v>accepted</v>
      </c>
      <c r="O1100" s="18"/>
      <c r="P1100" s="15"/>
      <c r="Q1100" s="15"/>
      <c r="R1100" s="15"/>
      <c r="S1100" s="15"/>
      <c r="T1100" s="15"/>
      <c r="U1100" s="15"/>
      <c r="V1100" s="15"/>
      <c r="W1100" s="15"/>
      <c r="X1100" s="15"/>
      <c r="Y1100" s="15"/>
      <c r="Z1100" s="15"/>
      <c r="AA1100" s="15"/>
      <c r="AB1100" s="15"/>
      <c r="AC1100" s="15"/>
      <c r="AD1100" s="15"/>
      <c r="AE1100" s="15"/>
      <c r="AF1100" s="15"/>
      <c r="AG1100" s="15"/>
      <c r="AH1100" s="15"/>
      <c r="AI1100" s="15"/>
      <c r="AJ1100" s="15"/>
      <c r="AK1100" s="15"/>
      <c r="AL1100" s="15"/>
      <c r="AM1100" s="15"/>
      <c r="AN1100" s="15"/>
      <c r="AO1100" s="15"/>
      <c r="AP1100" s="15"/>
      <c r="AQ1100" s="15"/>
      <c r="AR1100" s="15"/>
      <c r="AS1100" s="15"/>
      <c r="AT1100" s="15"/>
      <c r="AU1100" s="15"/>
      <c r="AV1100" s="15"/>
      <c r="AW1100" s="15"/>
      <c r="AX1100" s="15"/>
      <c r="AY1100" s="15"/>
      <c r="AZ1100" s="15"/>
      <c r="BA1100" s="15"/>
      <c r="BB1100" s="15"/>
      <c r="BC1100" s="15"/>
      <c r="BD1100" s="15"/>
      <c r="BE1100" s="15"/>
      <c r="BF1100" s="15"/>
      <c r="BG1100" s="15"/>
      <c r="BH1100" s="15"/>
      <c r="BI1100" s="15"/>
      <c r="BJ1100" s="15"/>
      <c r="BK1100" s="15"/>
      <c r="BL1100" s="15"/>
      <c r="BM1100" s="15"/>
      <c r="BN1100" s="15"/>
      <c r="BO1100" s="15"/>
      <c r="BP1100" s="15"/>
      <c r="BQ1100" s="15"/>
      <c r="BR1100" s="15"/>
      <c r="BS1100" s="15"/>
      <c r="BT1100" s="15"/>
      <c r="BU1100" s="15"/>
      <c r="BV1100" s="15"/>
      <c r="BW1100" s="15"/>
      <c r="BX1100" s="15"/>
      <c r="BY1100" s="15"/>
      <c r="BZ1100" s="15"/>
      <c r="CA1100" s="15"/>
      <c r="CB1100" s="15"/>
    </row>
    <row r="1101" spans="1:80" ht="12.75" hidden="1" customHeight="1">
      <c r="A1101" s="20">
        <f ca="1">IFERROR(__xludf.DUMMYFUNCTION("""COMPUTED_VALUE"""),2015)</f>
        <v>2015</v>
      </c>
      <c r="B1101" s="45">
        <f ca="1">IFERROR(__xludf.DUMMYFUNCTION("""COMPUTED_VALUE"""),42618)</f>
        <v>42618</v>
      </c>
      <c r="C1101" s="46"/>
      <c r="D1101" s="47" t="str">
        <f ca="1">IFERROR(__xludf.DUMMYFUNCTION("""COMPUTED_VALUE"""),"Red-necked Grebe")</f>
        <v>Red-necked Grebe</v>
      </c>
      <c r="E1101" s="52">
        <f ca="1">IFERROR(__xludf.DUMMYFUNCTION("""COMPUTED_VALUE"""),1)</f>
        <v>1</v>
      </c>
      <c r="F1101" s="25"/>
      <c r="G1101" s="48" t="str">
        <f ca="1">IFERROR(__xludf.DUMMYFUNCTION("""COMPUTED_VALUE"""),"Weaver Estuary, Frodsham Marsh")</f>
        <v>Weaver Estuary, Frodsham Marsh</v>
      </c>
      <c r="H1101" s="22">
        <f ca="1">IFERROR(__xludf.DUMMYFUNCTION("""COMPUTED_VALUE"""),42291)</f>
        <v>42291</v>
      </c>
      <c r="I1101" s="22">
        <f ca="1">IFERROR(__xludf.DUMMYFUNCTION("""COMPUTED_VALUE"""),42291)</f>
        <v>42291</v>
      </c>
      <c r="J1101" s="24" t="str">
        <f ca="1">IFERROR(__xludf.DUMMYFUNCTION("""COMPUTED_VALUE"""),"FMB Frodsham Marsh Bird Blog")</f>
        <v>FMB Frodsham Marsh Bird Blog</v>
      </c>
      <c r="K1101" s="25"/>
      <c r="L1101" s="27" t="str">
        <f ca="1">IFERROR(__xludf.DUMMYFUNCTION("""COMPUTED_VALUE"""),"closed")</f>
        <v>closed</v>
      </c>
      <c r="M1101" s="27" t="str">
        <f ca="1">IFERROR(__xludf.DUMMYFUNCTION("""COMPUTED_VALUE"""),"proxy")</f>
        <v>proxy</v>
      </c>
      <c r="N1101" s="25" t="str">
        <f ca="1">IFERROR(__xludf.DUMMYFUNCTION("""COMPUTED_VALUE"""),"accepted")</f>
        <v>accepted</v>
      </c>
      <c r="O1101" s="28"/>
      <c r="P1101" s="25"/>
      <c r="Q1101" s="25"/>
      <c r="R1101" s="25"/>
      <c r="S1101" s="25"/>
      <c r="T1101" s="25"/>
      <c r="U1101" s="25"/>
      <c r="V1101" s="25"/>
      <c r="W1101" s="25"/>
      <c r="X1101" s="25"/>
      <c r="Y1101" s="25"/>
      <c r="Z1101" s="25"/>
      <c r="AA1101" s="25"/>
      <c r="AB1101" s="25"/>
      <c r="AC1101" s="25"/>
      <c r="AD1101" s="25"/>
      <c r="AE1101" s="25"/>
      <c r="AF1101" s="25"/>
      <c r="AG1101" s="25"/>
      <c r="AH1101" s="25"/>
      <c r="AI1101" s="25"/>
      <c r="AJ1101" s="25"/>
      <c r="AK1101" s="25"/>
      <c r="AL1101" s="25"/>
      <c r="AM1101" s="25"/>
      <c r="AN1101" s="25"/>
      <c r="AO1101" s="25"/>
      <c r="AP1101" s="25"/>
      <c r="AQ1101" s="25"/>
      <c r="AR1101" s="25"/>
      <c r="AS1101" s="25"/>
      <c r="AT1101" s="25"/>
      <c r="AU1101" s="25"/>
      <c r="AV1101" s="25"/>
      <c r="AW1101" s="25"/>
      <c r="AX1101" s="25"/>
      <c r="AY1101" s="25"/>
      <c r="AZ1101" s="25"/>
      <c r="BA1101" s="25"/>
      <c r="BB1101" s="25"/>
      <c r="BC1101" s="25"/>
      <c r="BD1101" s="25"/>
      <c r="BE1101" s="25"/>
      <c r="BF1101" s="25"/>
      <c r="BG1101" s="25"/>
      <c r="BH1101" s="25"/>
      <c r="BI1101" s="25"/>
      <c r="BJ1101" s="25"/>
      <c r="BK1101" s="25"/>
      <c r="BL1101" s="25"/>
      <c r="BM1101" s="25"/>
      <c r="BN1101" s="25"/>
      <c r="BO1101" s="25"/>
      <c r="BP1101" s="25"/>
      <c r="BQ1101" s="25"/>
      <c r="BR1101" s="25"/>
      <c r="BS1101" s="25"/>
      <c r="BT1101" s="25"/>
      <c r="BU1101" s="25"/>
      <c r="BV1101" s="25"/>
      <c r="BW1101" s="25"/>
      <c r="BX1101" s="25"/>
      <c r="BY1101" s="25"/>
      <c r="BZ1101" s="25"/>
      <c r="CA1101" s="25"/>
      <c r="CB1101" s="25"/>
    </row>
    <row r="1102" spans="1:80" ht="12.75" hidden="1" customHeight="1">
      <c r="A1102" s="10">
        <f ca="1">IFERROR(__xludf.DUMMYFUNCTION("""COMPUTED_VALUE"""),2015)</f>
        <v>2015</v>
      </c>
      <c r="B1102" s="50">
        <f ca="1">IFERROR(__xludf.DUMMYFUNCTION("""COMPUTED_VALUE"""),42618)</f>
        <v>42618</v>
      </c>
      <c r="C1102" s="41"/>
      <c r="D1102" s="42" t="str">
        <f ca="1">IFERROR(__xludf.DUMMYFUNCTION("""COMPUTED_VALUE"""),"Red-necked Grebe")</f>
        <v>Red-necked Grebe</v>
      </c>
      <c r="E1102" s="53">
        <f ca="1">IFERROR(__xludf.DUMMYFUNCTION("""COMPUTED_VALUE"""),1)</f>
        <v>1</v>
      </c>
      <c r="F1102" s="15"/>
      <c r="G1102" s="44" t="str">
        <f ca="1">IFERROR(__xludf.DUMMYFUNCTION("""COMPUTED_VALUE"""),"Frodsham Marsh")</f>
        <v>Frodsham Marsh</v>
      </c>
      <c r="H1102" s="12">
        <f ca="1">IFERROR(__xludf.DUMMYFUNCTION("""COMPUTED_VALUE"""),42292)</f>
        <v>42292</v>
      </c>
      <c r="I1102" s="12">
        <f ca="1">IFERROR(__xludf.DUMMYFUNCTION("""COMPUTED_VALUE"""),42292)</f>
        <v>42292</v>
      </c>
      <c r="J1102" s="14" t="str">
        <f ca="1">IFERROR(__xludf.DUMMYFUNCTION("""COMPUTED_VALUE"""),"Birdguides")</f>
        <v>Birdguides</v>
      </c>
      <c r="K1102" s="15"/>
      <c r="L1102" s="17" t="str">
        <f ca="1">IFERROR(__xludf.DUMMYFUNCTION("""COMPUTED_VALUE"""),"closed")</f>
        <v>closed</v>
      </c>
      <c r="M1102" s="17" t="str">
        <f ca="1">IFERROR(__xludf.DUMMYFUNCTION("""COMPUTED_VALUE"""),"proxy")</f>
        <v>proxy</v>
      </c>
      <c r="N1102" s="15" t="str">
        <f ca="1">IFERROR(__xludf.DUMMYFUNCTION("""COMPUTED_VALUE"""),"accepted")</f>
        <v>accepted</v>
      </c>
      <c r="O1102" s="18"/>
      <c r="P1102" s="15"/>
      <c r="Q1102" s="15"/>
      <c r="R1102" s="15"/>
      <c r="S1102" s="15"/>
      <c r="T1102" s="15"/>
      <c r="U1102" s="15"/>
      <c r="V1102" s="15"/>
      <c r="W1102" s="15"/>
      <c r="X1102" s="15"/>
      <c r="Y1102" s="15"/>
      <c r="Z1102" s="15"/>
      <c r="AA1102" s="15"/>
      <c r="AB1102" s="15"/>
      <c r="AC1102" s="15"/>
      <c r="AD1102" s="15"/>
      <c r="AE1102" s="15"/>
      <c r="AF1102" s="15"/>
      <c r="AG1102" s="15"/>
      <c r="AH1102" s="15"/>
      <c r="AI1102" s="15"/>
      <c r="AJ1102" s="15"/>
      <c r="AK1102" s="15"/>
      <c r="AL1102" s="15"/>
      <c r="AM1102" s="15"/>
      <c r="AN1102" s="15"/>
      <c r="AO1102" s="15"/>
      <c r="AP1102" s="15"/>
      <c r="AQ1102" s="15"/>
      <c r="AR1102" s="15"/>
      <c r="AS1102" s="15"/>
      <c r="AT1102" s="15"/>
      <c r="AU1102" s="15"/>
      <c r="AV1102" s="15"/>
      <c r="AW1102" s="15"/>
      <c r="AX1102" s="15"/>
      <c r="AY1102" s="15"/>
      <c r="AZ1102" s="15"/>
      <c r="BA1102" s="15"/>
      <c r="BB1102" s="15"/>
      <c r="BC1102" s="15"/>
      <c r="BD1102" s="15"/>
      <c r="BE1102" s="15"/>
      <c r="BF1102" s="15"/>
      <c r="BG1102" s="15"/>
      <c r="BH1102" s="15"/>
      <c r="BI1102" s="15"/>
      <c r="BJ1102" s="15"/>
      <c r="BK1102" s="15"/>
      <c r="BL1102" s="15"/>
      <c r="BM1102" s="15"/>
      <c r="BN1102" s="15"/>
      <c r="BO1102" s="15"/>
      <c r="BP1102" s="15"/>
      <c r="BQ1102" s="15"/>
      <c r="BR1102" s="15"/>
      <c r="BS1102" s="15"/>
      <c r="BT1102" s="15"/>
      <c r="BU1102" s="15"/>
      <c r="BV1102" s="15"/>
      <c r="BW1102" s="15"/>
      <c r="BX1102" s="15"/>
      <c r="BY1102" s="15"/>
      <c r="BZ1102" s="15"/>
      <c r="CA1102" s="15"/>
      <c r="CB1102" s="15"/>
    </row>
    <row r="1103" spans="1:80" ht="12.75" hidden="1" customHeight="1">
      <c r="A1103" s="20">
        <f ca="1">IFERROR(__xludf.DUMMYFUNCTION("""COMPUTED_VALUE"""),2015)</f>
        <v>2015</v>
      </c>
      <c r="B1103" s="45">
        <f ca="1">IFERROR(__xludf.DUMMYFUNCTION("""COMPUTED_VALUE"""),42618)</f>
        <v>42618</v>
      </c>
      <c r="C1103" s="46">
        <f ca="1">IFERROR(__xludf.DUMMYFUNCTION("""COMPUTED_VALUE"""),42639)</f>
        <v>42639</v>
      </c>
      <c r="D1103" s="47" t="str">
        <f ca="1">IFERROR(__xludf.DUMMYFUNCTION("""COMPUTED_VALUE"""),"Slavonian Grebe")</f>
        <v>Slavonian Grebe</v>
      </c>
      <c r="E1103" s="52">
        <f ca="1">IFERROR(__xludf.DUMMYFUNCTION("""COMPUTED_VALUE"""),1)</f>
        <v>1</v>
      </c>
      <c r="F1103" s="25"/>
      <c r="G1103" s="48" t="str">
        <f ca="1">IFERROR(__xludf.DUMMYFUNCTION("""COMPUTED_VALUE"""),"Hoylake")</f>
        <v>Hoylake</v>
      </c>
      <c r="H1103" s="22">
        <f ca="1">IFERROR(__xludf.DUMMYFUNCTION("""COMPUTED_VALUE"""),42039)</f>
        <v>42039</v>
      </c>
      <c r="I1103" s="22">
        <f ca="1">IFERROR(__xludf.DUMMYFUNCTION("""COMPUTED_VALUE"""),42039)</f>
        <v>42039</v>
      </c>
      <c r="J1103" s="24" t="str">
        <f ca="1">IFERROR(__xludf.DUMMYFUNCTION("""COMPUTED_VALUE"""),"Turner, JE")</f>
        <v>Turner, JE</v>
      </c>
      <c r="K1103" s="25" t="str">
        <f ca="1">IFERROR(__xludf.DUMMYFUNCTION("""COMPUTED_VALUE"""),"Turner, JE")</f>
        <v>Turner, JE</v>
      </c>
      <c r="L1103" s="27" t="str">
        <f ca="1">IFERROR(__xludf.DUMMYFUNCTION("""COMPUTED_VALUE"""),"closed")</f>
        <v>closed</v>
      </c>
      <c r="M1103" s="27" t="str">
        <f ca="1">IFERROR(__xludf.DUMMYFUNCTION("""COMPUTED_VALUE"""),"1st M")</f>
        <v>1st M</v>
      </c>
      <c r="N1103" s="25" t="str">
        <f ca="1">IFERROR(__xludf.DUMMYFUNCTION("""COMPUTED_VALUE"""),"accepted")</f>
        <v>accepted</v>
      </c>
      <c r="O1103" s="28"/>
      <c r="P1103" s="25"/>
      <c r="Q1103" s="25"/>
      <c r="R1103" s="25"/>
      <c r="S1103" s="25"/>
      <c r="T1103" s="25"/>
      <c r="U1103" s="25"/>
      <c r="V1103" s="25"/>
      <c r="W1103" s="25"/>
      <c r="X1103" s="25"/>
      <c r="Y1103" s="25"/>
      <c r="Z1103" s="25"/>
      <c r="AA1103" s="25"/>
      <c r="AB1103" s="25"/>
      <c r="AC1103" s="25"/>
      <c r="AD1103" s="25"/>
      <c r="AE1103" s="25"/>
      <c r="AF1103" s="25"/>
      <c r="AG1103" s="25"/>
      <c r="AH1103" s="25"/>
      <c r="AI1103" s="25"/>
      <c r="AJ1103" s="25"/>
      <c r="AK1103" s="25"/>
      <c r="AL1103" s="25"/>
      <c r="AM1103" s="25"/>
      <c r="AN1103" s="25"/>
      <c r="AO1103" s="25"/>
      <c r="AP1103" s="25"/>
      <c r="AQ1103" s="25"/>
      <c r="AR1103" s="25"/>
      <c r="AS1103" s="25"/>
      <c r="AT1103" s="25"/>
      <c r="AU1103" s="25"/>
      <c r="AV1103" s="25"/>
      <c r="AW1103" s="25"/>
      <c r="AX1103" s="25"/>
      <c r="AY1103" s="25"/>
      <c r="AZ1103" s="25"/>
      <c r="BA1103" s="25"/>
      <c r="BB1103" s="25"/>
      <c r="BC1103" s="25"/>
      <c r="BD1103" s="25"/>
      <c r="BE1103" s="25"/>
      <c r="BF1103" s="25"/>
      <c r="BG1103" s="25"/>
      <c r="BH1103" s="25"/>
      <c r="BI1103" s="25"/>
      <c r="BJ1103" s="25"/>
      <c r="BK1103" s="25"/>
      <c r="BL1103" s="25"/>
      <c r="BM1103" s="25"/>
      <c r="BN1103" s="25"/>
      <c r="BO1103" s="25"/>
      <c r="BP1103" s="25"/>
      <c r="BQ1103" s="25"/>
      <c r="BR1103" s="25"/>
      <c r="BS1103" s="25"/>
      <c r="BT1103" s="25"/>
      <c r="BU1103" s="25"/>
      <c r="BV1103" s="25"/>
      <c r="BW1103" s="25"/>
      <c r="BX1103" s="25"/>
      <c r="BY1103" s="25"/>
      <c r="BZ1103" s="25"/>
      <c r="CA1103" s="25"/>
      <c r="CB1103" s="25"/>
    </row>
    <row r="1104" spans="1:80" ht="12.75" hidden="1" customHeight="1">
      <c r="A1104" s="10">
        <f ca="1">IFERROR(__xludf.DUMMYFUNCTION("""COMPUTED_VALUE"""),2015)</f>
        <v>2015</v>
      </c>
      <c r="B1104" s="50">
        <f ca="1">IFERROR(__xludf.DUMMYFUNCTION("""COMPUTED_VALUE"""),42618)</f>
        <v>42618</v>
      </c>
      <c r="C1104" s="41">
        <f ca="1">IFERROR(__xludf.DUMMYFUNCTION("""COMPUTED_VALUE"""),42639)</f>
        <v>42639</v>
      </c>
      <c r="D1104" s="42" t="str">
        <f ca="1">IFERROR(__xludf.DUMMYFUNCTION("""COMPUTED_VALUE"""),"Slavonian Grebe")</f>
        <v>Slavonian Grebe</v>
      </c>
      <c r="E1104" s="53">
        <f ca="1">IFERROR(__xludf.DUMMYFUNCTION("""COMPUTED_VALUE"""),1)</f>
        <v>1</v>
      </c>
      <c r="F1104" s="15"/>
      <c r="G1104" s="44" t="str">
        <f ca="1">IFERROR(__xludf.DUMMYFUNCTION("""COMPUTED_VALUE"""),"Rostherne Mere NNR")</f>
        <v>Rostherne Mere NNR</v>
      </c>
      <c r="H1104" s="12">
        <f ca="1">IFERROR(__xludf.DUMMYFUNCTION("""COMPUTED_VALUE"""),42192)</f>
        <v>42192</v>
      </c>
      <c r="I1104" s="12">
        <f ca="1">IFERROR(__xludf.DUMMYFUNCTION("""COMPUTED_VALUE"""),42192)</f>
        <v>42192</v>
      </c>
      <c r="J1104" s="14" t="str">
        <f ca="1">IFERROR(__xludf.DUMMYFUNCTION("""COMPUTED_VALUE"""),"S Collins")</f>
        <v>S Collins</v>
      </c>
      <c r="K1104" s="15" t="str">
        <f ca="1">IFERROR(__xludf.DUMMYFUNCTION("""COMPUTED_VALUE"""),"S Collins")</f>
        <v>S Collins</v>
      </c>
      <c r="L1104" s="17" t="str">
        <f ca="1">IFERROR(__xludf.DUMMYFUNCTION("""COMPUTED_VALUE"""),"closed")</f>
        <v>closed</v>
      </c>
      <c r="M1104" s="17" t="str">
        <f ca="1">IFERROR(__xludf.DUMMYFUNCTION("""COMPUTED_VALUE"""),"1st U")</f>
        <v>1st U</v>
      </c>
      <c r="N1104" s="15" t="str">
        <f ca="1">IFERROR(__xludf.DUMMYFUNCTION("""COMPUTED_VALUE"""),"accepted")</f>
        <v>accepted</v>
      </c>
      <c r="O1104" s="18"/>
      <c r="P1104" s="15"/>
      <c r="Q1104" s="15"/>
      <c r="R1104" s="15"/>
      <c r="S1104" s="15"/>
      <c r="T1104" s="15"/>
      <c r="U1104" s="15"/>
      <c r="V1104" s="15"/>
      <c r="W1104" s="15"/>
      <c r="X1104" s="15"/>
      <c r="Y1104" s="15"/>
      <c r="Z1104" s="15"/>
      <c r="AA1104" s="15"/>
      <c r="AB1104" s="15"/>
      <c r="AC1104" s="15"/>
      <c r="AD1104" s="15"/>
      <c r="AE1104" s="15"/>
      <c r="AF1104" s="15"/>
      <c r="AG1104" s="15"/>
      <c r="AH1104" s="15"/>
      <c r="AI1104" s="15"/>
      <c r="AJ1104" s="15"/>
      <c r="AK1104" s="15"/>
      <c r="AL1104" s="15"/>
      <c r="AM1104" s="15"/>
      <c r="AN1104" s="15"/>
      <c r="AO1104" s="15"/>
      <c r="AP1104" s="15"/>
      <c r="AQ1104" s="15"/>
      <c r="AR1104" s="15"/>
      <c r="AS1104" s="15"/>
      <c r="AT1104" s="15"/>
      <c r="AU1104" s="15"/>
      <c r="AV1104" s="15"/>
      <c r="AW1104" s="15"/>
      <c r="AX1104" s="15"/>
      <c r="AY1104" s="15"/>
      <c r="AZ1104" s="15"/>
      <c r="BA1104" s="15"/>
      <c r="BB1104" s="15"/>
      <c r="BC1104" s="15"/>
      <c r="BD1104" s="15"/>
      <c r="BE1104" s="15"/>
      <c r="BF1104" s="15"/>
      <c r="BG1104" s="15"/>
      <c r="BH1104" s="15"/>
      <c r="BI1104" s="15"/>
      <c r="BJ1104" s="15"/>
      <c r="BK1104" s="15"/>
      <c r="BL1104" s="15"/>
      <c r="BM1104" s="15"/>
      <c r="BN1104" s="15"/>
      <c r="BO1104" s="15"/>
      <c r="BP1104" s="15"/>
      <c r="BQ1104" s="15"/>
      <c r="BR1104" s="15"/>
      <c r="BS1104" s="15"/>
      <c r="BT1104" s="15"/>
      <c r="BU1104" s="15"/>
      <c r="BV1104" s="15"/>
      <c r="BW1104" s="15"/>
      <c r="BX1104" s="15"/>
      <c r="BY1104" s="15"/>
      <c r="BZ1104" s="15"/>
      <c r="CA1104" s="15"/>
      <c r="CB1104" s="15"/>
    </row>
    <row r="1105" spans="1:80" ht="12.75" hidden="1" customHeight="1">
      <c r="A1105" s="20">
        <f ca="1">IFERROR(__xludf.DUMMYFUNCTION("""COMPUTED_VALUE"""),2015)</f>
        <v>2015</v>
      </c>
      <c r="B1105" s="45">
        <f ca="1">IFERROR(__xludf.DUMMYFUNCTION("""COMPUTED_VALUE"""),44571)</f>
        <v>44571</v>
      </c>
      <c r="C1105" s="46"/>
      <c r="D1105" s="47" t="str">
        <f ca="1">IFERROR(__xludf.DUMMYFUNCTION("""COMPUTED_VALUE"""),"Black-winged Stilt")</f>
        <v>Black-winged Stilt</v>
      </c>
      <c r="E1105" s="52">
        <f ca="1">IFERROR(__xludf.DUMMYFUNCTION("""COMPUTED_VALUE"""),2)</f>
        <v>2</v>
      </c>
      <c r="F1105" s="25"/>
      <c r="G1105" s="48" t="str">
        <f ca="1">IFERROR(__xludf.DUMMYFUNCTION("""COMPUTED_VALUE"""),"Ashton's Flash")</f>
        <v>Ashton's Flash</v>
      </c>
      <c r="H1105" s="22">
        <f ca="1">IFERROR(__xludf.DUMMYFUNCTION("""COMPUTED_VALUE"""),42113)</f>
        <v>42113</v>
      </c>
      <c r="I1105" s="22"/>
      <c r="J1105" s="24"/>
      <c r="K1105" s="25"/>
      <c r="L1105" s="27" t="str">
        <f ca="1">IFERROR(__xludf.DUMMYFUNCTION("""COMPUTED_VALUE"""),"closed")</f>
        <v>closed</v>
      </c>
      <c r="M1105" s="27"/>
      <c r="N1105" s="25" t="str">
        <f ca="1">IFERROR(__xludf.DUMMYFUNCTION("""COMPUTED_VALUE"""),"BBRC-OK")</f>
        <v>BBRC-OK</v>
      </c>
      <c r="O1105" s="28" t="str">
        <f ca="1">IFERROR(__xludf.DUMMYFUNCTION("""COMPUTED_VALUE"""),"photo")</f>
        <v>photo</v>
      </c>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c r="AK1105" s="25"/>
      <c r="AL1105" s="25"/>
      <c r="AM1105" s="25"/>
      <c r="AN1105" s="25"/>
      <c r="AO1105" s="25"/>
      <c r="AP1105" s="25"/>
      <c r="AQ1105" s="25"/>
      <c r="AR1105" s="25"/>
      <c r="AS1105" s="25"/>
      <c r="AT1105" s="25"/>
      <c r="AU1105" s="25"/>
      <c r="AV1105" s="25"/>
      <c r="AW1105" s="25"/>
      <c r="AX1105" s="25"/>
      <c r="AY1105" s="25"/>
      <c r="AZ1105" s="25"/>
      <c r="BA1105" s="25"/>
      <c r="BB1105" s="25"/>
      <c r="BC1105" s="25"/>
      <c r="BD1105" s="25"/>
      <c r="BE1105" s="25"/>
      <c r="BF1105" s="25"/>
      <c r="BG1105" s="25"/>
      <c r="BH1105" s="25"/>
      <c r="BI1105" s="25"/>
      <c r="BJ1105" s="25"/>
      <c r="BK1105" s="25"/>
      <c r="BL1105" s="25"/>
      <c r="BM1105" s="25"/>
      <c r="BN1105" s="25"/>
      <c r="BO1105" s="25"/>
      <c r="BP1105" s="25"/>
      <c r="BQ1105" s="25"/>
      <c r="BR1105" s="25"/>
      <c r="BS1105" s="25"/>
      <c r="BT1105" s="25"/>
      <c r="BU1105" s="25"/>
      <c r="BV1105" s="25"/>
      <c r="BW1105" s="25"/>
      <c r="BX1105" s="25"/>
      <c r="BY1105" s="25"/>
      <c r="BZ1105" s="25"/>
      <c r="CA1105" s="25"/>
      <c r="CB1105" s="25"/>
    </row>
    <row r="1106" spans="1:80" ht="12.75" hidden="1" customHeight="1">
      <c r="A1106" s="10">
        <f ca="1">IFERROR(__xludf.DUMMYFUNCTION("""COMPUTED_VALUE"""),2015)</f>
        <v>2015</v>
      </c>
      <c r="B1106" s="50">
        <f ca="1">IFERROR(__xludf.DUMMYFUNCTION("""COMPUTED_VALUE"""),42618)</f>
        <v>42618</v>
      </c>
      <c r="C1106" s="41"/>
      <c r="D1106" s="42" t="str">
        <f ca="1">IFERROR(__xludf.DUMMYFUNCTION("""COMPUTED_VALUE"""),"Dotterel")</f>
        <v>Dotterel</v>
      </c>
      <c r="E1106" s="53">
        <f ca="1">IFERROR(__xludf.DUMMYFUNCTION("""COMPUTED_VALUE"""),1)</f>
        <v>1</v>
      </c>
      <c r="F1106" s="15"/>
      <c r="G1106" s="44" t="str">
        <f ca="1">IFERROR(__xludf.DUMMYFUNCTION("""COMPUTED_VALUE"""),"Red Rocks, Hoylake")</f>
        <v>Red Rocks, Hoylake</v>
      </c>
      <c r="H1106" s="12">
        <f ca="1">IFERROR(__xludf.DUMMYFUNCTION("""COMPUTED_VALUE"""),42117)</f>
        <v>42117</v>
      </c>
      <c r="I1106" s="12">
        <f ca="1">IFERROR(__xludf.DUMMYFUNCTION("""COMPUTED_VALUE"""),42117)</f>
        <v>42117</v>
      </c>
      <c r="J1106" s="14" t="str">
        <f ca="1">IFERROR(__xludf.DUMMYFUNCTION("""COMPUTED_VALUE"""),"Turner, M &amp; JE")</f>
        <v>Turner, M &amp; JE</v>
      </c>
      <c r="K1106" s="15" t="str">
        <f ca="1">IFERROR(__xludf.DUMMYFUNCTION("""COMPUTED_VALUE"""),"Turner, M &amp; JE")</f>
        <v>Turner, M &amp; JE</v>
      </c>
      <c r="L1106" s="17" t="str">
        <f ca="1">IFERROR(__xludf.DUMMYFUNCTION("""COMPUTED_VALUE"""),"closed")</f>
        <v>closed</v>
      </c>
      <c r="M1106" s="17" t="str">
        <f ca="1">IFERROR(__xludf.DUMMYFUNCTION("""COMPUTED_VALUE"""),"1st U")</f>
        <v>1st U</v>
      </c>
      <c r="N1106" s="15" t="str">
        <f ca="1">IFERROR(__xludf.DUMMYFUNCTION("""COMPUTED_VALUE"""),"accepted")</f>
        <v>accepted</v>
      </c>
      <c r="O1106" s="18" t="str">
        <f ca="1">IFERROR(__xludf.DUMMYFUNCTION("""COMPUTED_VALUE"""),"sound recorded")</f>
        <v>sound recorded</v>
      </c>
      <c r="P1106" s="15"/>
      <c r="Q1106" s="15"/>
      <c r="R1106" s="15"/>
      <c r="S1106" s="15"/>
      <c r="T1106" s="15"/>
      <c r="U1106" s="15"/>
      <c r="V1106" s="15"/>
      <c r="W1106" s="15"/>
      <c r="X1106" s="15"/>
      <c r="Y1106" s="15"/>
      <c r="Z1106" s="15"/>
      <c r="AA1106" s="15"/>
      <c r="AB1106" s="15"/>
      <c r="AC1106" s="15"/>
      <c r="AD1106" s="15"/>
      <c r="AE1106" s="15"/>
      <c r="AF1106" s="15"/>
      <c r="AG1106" s="15"/>
      <c r="AH1106" s="15"/>
      <c r="AI1106" s="15"/>
      <c r="AJ1106" s="15"/>
      <c r="AK1106" s="15"/>
      <c r="AL1106" s="15"/>
      <c r="AM1106" s="15"/>
      <c r="AN1106" s="15"/>
      <c r="AO1106" s="15"/>
      <c r="AP1106" s="15"/>
      <c r="AQ1106" s="15"/>
      <c r="AR1106" s="15"/>
      <c r="AS1106" s="15"/>
      <c r="AT1106" s="15"/>
      <c r="AU1106" s="15"/>
      <c r="AV1106" s="15"/>
      <c r="AW1106" s="15"/>
      <c r="AX1106" s="15"/>
      <c r="AY1106" s="15"/>
      <c r="AZ1106" s="15"/>
      <c r="BA1106" s="15"/>
      <c r="BB1106" s="15"/>
      <c r="BC1106" s="15"/>
      <c r="BD1106" s="15"/>
      <c r="BE1106" s="15"/>
      <c r="BF1106" s="15"/>
      <c r="BG1106" s="15"/>
      <c r="BH1106" s="15"/>
      <c r="BI1106" s="15"/>
      <c r="BJ1106" s="15"/>
      <c r="BK1106" s="15"/>
      <c r="BL1106" s="15"/>
      <c r="BM1106" s="15"/>
      <c r="BN1106" s="15"/>
      <c r="BO1106" s="15"/>
      <c r="BP1106" s="15"/>
      <c r="BQ1106" s="15"/>
      <c r="BR1106" s="15"/>
      <c r="BS1106" s="15"/>
      <c r="BT1106" s="15"/>
      <c r="BU1106" s="15"/>
      <c r="BV1106" s="15"/>
      <c r="BW1106" s="15"/>
      <c r="BX1106" s="15"/>
      <c r="BY1106" s="15"/>
      <c r="BZ1106" s="15"/>
      <c r="CA1106" s="15"/>
      <c r="CB1106" s="15"/>
    </row>
    <row r="1107" spans="1:80" ht="1.5" hidden="1" customHeight="1">
      <c r="A1107" s="20">
        <f ca="1">IFERROR(__xludf.DUMMYFUNCTION("""COMPUTED_VALUE"""),2015)</f>
        <v>2015</v>
      </c>
      <c r="B1107" s="45">
        <f ca="1">IFERROR(__xludf.DUMMYFUNCTION("""COMPUTED_VALUE"""),42618)</f>
        <v>42618</v>
      </c>
      <c r="C1107" s="46"/>
      <c r="D1107" s="47" t="str">
        <f ca="1">IFERROR(__xludf.DUMMYFUNCTION("""COMPUTED_VALUE"""),"Dotterel")</f>
        <v>Dotterel</v>
      </c>
      <c r="E1107" s="52">
        <f ca="1">IFERROR(__xludf.DUMMYFUNCTION("""COMPUTED_VALUE"""),3)</f>
        <v>3</v>
      </c>
      <c r="F1107" s="25"/>
      <c r="G1107" s="48" t="str">
        <f ca="1">IFERROR(__xludf.DUMMYFUNCTION("""COMPUTED_VALUE"""),"Meols")</f>
        <v>Meols</v>
      </c>
      <c r="H1107" s="22">
        <f ca="1">IFERROR(__xludf.DUMMYFUNCTION("""COMPUTED_VALUE"""),42127)</f>
        <v>42127</v>
      </c>
      <c r="I1107" s="22">
        <f ca="1">IFERROR(__xludf.DUMMYFUNCTION("""COMPUTED_VALUE"""),42127)</f>
        <v>42127</v>
      </c>
      <c r="J1107" s="24" t="str">
        <f ca="1">IFERROR(__xludf.DUMMYFUNCTION("""COMPUTED_VALUE"""),"R Wilkinson")</f>
        <v>R Wilkinson</v>
      </c>
      <c r="K1107" s="25"/>
      <c r="L1107" s="27" t="str">
        <f ca="1">IFERROR(__xludf.DUMMYFUNCTION("""COMPUTED_VALUE"""),"closed")</f>
        <v>closed</v>
      </c>
      <c r="M1107" s="27" t="str">
        <f ca="1">IFERROR(__xludf.DUMMYFUNCTION("""COMPUTED_VALUE"""),"proxy")</f>
        <v>proxy</v>
      </c>
      <c r="N1107" s="25" t="str">
        <f ca="1">IFERROR(__xludf.DUMMYFUNCTION("""COMPUTED_VALUE"""),"accepted")</f>
        <v>accepted</v>
      </c>
      <c r="O1107" s="28"/>
      <c r="P1107" s="25"/>
      <c r="Q1107" s="25"/>
      <c r="R1107" s="25"/>
      <c r="S1107" s="25"/>
      <c r="T1107" s="25"/>
      <c r="U1107" s="25"/>
      <c r="V1107" s="25"/>
      <c r="W1107" s="25"/>
      <c r="X1107" s="25"/>
      <c r="Y1107" s="25"/>
      <c r="Z1107" s="25"/>
      <c r="AA1107" s="25"/>
      <c r="AB1107" s="25"/>
      <c r="AC1107" s="25"/>
      <c r="AD1107" s="25"/>
      <c r="AE1107" s="25"/>
      <c r="AF1107" s="25"/>
      <c r="AG1107" s="25"/>
      <c r="AH1107" s="25"/>
      <c r="AI1107" s="25"/>
      <c r="AJ1107" s="25"/>
      <c r="AK1107" s="25"/>
      <c r="AL1107" s="25"/>
      <c r="AM1107" s="25"/>
      <c r="AN1107" s="25"/>
      <c r="AO1107" s="25"/>
      <c r="AP1107" s="25"/>
      <c r="AQ1107" s="25"/>
      <c r="AR1107" s="25"/>
      <c r="AS1107" s="25"/>
      <c r="AT1107" s="25"/>
      <c r="AU1107" s="25"/>
      <c r="AV1107" s="25"/>
      <c r="AW1107" s="25"/>
      <c r="AX1107" s="25"/>
      <c r="AY1107" s="25"/>
      <c r="AZ1107" s="25"/>
      <c r="BA1107" s="25"/>
      <c r="BB1107" s="25"/>
      <c r="BC1107" s="25"/>
      <c r="BD1107" s="25"/>
      <c r="BE1107" s="25"/>
      <c r="BF1107" s="25"/>
      <c r="BG1107" s="25"/>
      <c r="BH1107" s="25"/>
      <c r="BI1107" s="25"/>
      <c r="BJ1107" s="25"/>
      <c r="BK1107" s="25"/>
      <c r="BL1107" s="25"/>
      <c r="BM1107" s="25"/>
      <c r="BN1107" s="25"/>
      <c r="BO1107" s="25"/>
      <c r="BP1107" s="25"/>
      <c r="BQ1107" s="25"/>
      <c r="BR1107" s="25"/>
      <c r="BS1107" s="25"/>
      <c r="BT1107" s="25"/>
      <c r="BU1107" s="25"/>
      <c r="BV1107" s="25"/>
      <c r="BW1107" s="25"/>
      <c r="BX1107" s="25"/>
      <c r="BY1107" s="25"/>
      <c r="BZ1107" s="25"/>
      <c r="CA1107" s="25"/>
      <c r="CB1107" s="25"/>
    </row>
    <row r="1108" spans="1:80" ht="12.75" hidden="1" customHeight="1">
      <c r="A1108" s="10">
        <f ca="1">IFERROR(__xludf.DUMMYFUNCTION("""COMPUTED_VALUE"""),2015)</f>
        <v>2015</v>
      </c>
      <c r="B1108" s="50">
        <f ca="1">IFERROR(__xludf.DUMMYFUNCTION("""COMPUTED_VALUE"""),42618)</f>
        <v>42618</v>
      </c>
      <c r="C1108" s="41"/>
      <c r="D1108" s="42" t="str">
        <f ca="1">IFERROR(__xludf.DUMMYFUNCTION("""COMPUTED_VALUE"""),"Dotterel")</f>
        <v>Dotterel</v>
      </c>
      <c r="E1108" s="53">
        <f ca="1">IFERROR(__xludf.DUMMYFUNCTION("""COMPUTED_VALUE"""),3)</f>
        <v>3</v>
      </c>
      <c r="F1108" s="15"/>
      <c r="G1108" s="44" t="str">
        <f ca="1">IFERROR(__xludf.DUMMYFUNCTION("""COMPUTED_VALUE"""),"Meols Foreshore")</f>
        <v>Meols Foreshore</v>
      </c>
      <c r="H1108" s="12">
        <f ca="1">IFERROR(__xludf.DUMMYFUNCTION("""COMPUTED_VALUE"""),42127)</f>
        <v>42127</v>
      </c>
      <c r="I1108" s="12">
        <f ca="1">IFERROR(__xludf.DUMMYFUNCTION("""COMPUTED_VALUE"""),42127)</f>
        <v>42127</v>
      </c>
      <c r="J1108" s="14" t="str">
        <f ca="1">IFERROR(__xludf.DUMMYFUNCTION("""COMPUTED_VALUE"""),"Turner, M &amp; JE")</f>
        <v>Turner, M &amp; JE</v>
      </c>
      <c r="K1108" s="15" t="str">
        <f ca="1">IFERROR(__xludf.DUMMYFUNCTION("""COMPUTED_VALUE"""),"Turner, M &amp; JE")</f>
        <v>Turner, M &amp; JE</v>
      </c>
      <c r="L1108" s="17" t="str">
        <f ca="1">IFERROR(__xludf.DUMMYFUNCTION("""COMPUTED_VALUE"""),"closed")</f>
        <v>closed</v>
      </c>
      <c r="M1108" s="17" t="str">
        <f ca="1">IFERROR(__xludf.DUMMYFUNCTION("""COMPUTED_VALUE"""),"1st U")</f>
        <v>1st U</v>
      </c>
      <c r="N1108" s="15" t="str">
        <f ca="1">IFERROR(__xludf.DUMMYFUNCTION("""COMPUTED_VALUE"""),"accepted")</f>
        <v>accepted</v>
      </c>
      <c r="O1108" s="18" t="str">
        <f ca="1">IFERROR(__xludf.DUMMYFUNCTION("""COMPUTED_VALUE"""),"photographed")</f>
        <v>photographed</v>
      </c>
      <c r="P1108" s="15"/>
      <c r="Q1108" s="15"/>
      <c r="R1108" s="15"/>
      <c r="S1108" s="15"/>
      <c r="T1108" s="15"/>
      <c r="U1108" s="15"/>
      <c r="V1108" s="15"/>
      <c r="W1108" s="15"/>
      <c r="X1108" s="15"/>
      <c r="Y1108" s="15"/>
      <c r="Z1108" s="15"/>
      <c r="AA1108" s="15"/>
      <c r="AB1108" s="15"/>
      <c r="AC1108" s="15"/>
      <c r="AD1108" s="15"/>
      <c r="AE1108" s="15"/>
      <c r="AF1108" s="15"/>
      <c r="AG1108" s="15"/>
      <c r="AH1108" s="15"/>
      <c r="AI1108" s="15"/>
      <c r="AJ1108" s="15"/>
      <c r="AK1108" s="15"/>
      <c r="AL1108" s="15"/>
      <c r="AM1108" s="15"/>
      <c r="AN1108" s="15"/>
      <c r="AO1108" s="15"/>
      <c r="AP1108" s="15"/>
      <c r="AQ1108" s="15"/>
      <c r="AR1108" s="15"/>
      <c r="AS1108" s="15"/>
      <c r="AT1108" s="15"/>
      <c r="AU1108" s="15"/>
      <c r="AV1108" s="15"/>
      <c r="AW1108" s="15"/>
      <c r="AX1108" s="15"/>
      <c r="AY1108" s="15"/>
      <c r="AZ1108" s="15"/>
      <c r="BA1108" s="15"/>
      <c r="BB1108" s="15"/>
      <c r="BC1108" s="15"/>
      <c r="BD1108" s="15"/>
      <c r="BE1108" s="15"/>
      <c r="BF1108" s="15"/>
      <c r="BG1108" s="15"/>
      <c r="BH1108" s="15"/>
      <c r="BI1108" s="15"/>
      <c r="BJ1108" s="15"/>
      <c r="BK1108" s="15"/>
      <c r="BL1108" s="15"/>
      <c r="BM1108" s="15"/>
      <c r="BN1108" s="15"/>
      <c r="BO1108" s="15"/>
      <c r="BP1108" s="15"/>
      <c r="BQ1108" s="15"/>
      <c r="BR1108" s="15"/>
      <c r="BS1108" s="15"/>
      <c r="BT1108" s="15"/>
      <c r="BU1108" s="15"/>
      <c r="BV1108" s="15"/>
      <c r="BW1108" s="15"/>
      <c r="BX1108" s="15"/>
      <c r="BY1108" s="15"/>
      <c r="BZ1108" s="15"/>
      <c r="CA1108" s="15"/>
      <c r="CB1108" s="15"/>
    </row>
    <row r="1109" spans="1:80" ht="12.75" hidden="1" customHeight="1">
      <c r="A1109" s="20">
        <f ca="1">IFERROR(__xludf.DUMMYFUNCTION("""COMPUTED_VALUE"""),2015)</f>
        <v>2015</v>
      </c>
      <c r="B1109" s="45">
        <f ca="1">IFERROR(__xludf.DUMMYFUNCTION("""COMPUTED_VALUE"""),42618)</f>
        <v>42618</v>
      </c>
      <c r="C1109" s="46"/>
      <c r="D1109" s="47" t="str">
        <f ca="1">IFERROR(__xludf.DUMMYFUNCTION("""COMPUTED_VALUE"""),"Pectoral Sandpiper")</f>
        <v>Pectoral Sandpiper</v>
      </c>
      <c r="E1109" s="52">
        <f ca="1">IFERROR(__xludf.DUMMYFUNCTION("""COMPUTED_VALUE"""),1)</f>
        <v>1</v>
      </c>
      <c r="F1109" s="25"/>
      <c r="G1109" s="48" t="str">
        <f ca="1">IFERROR(__xludf.DUMMYFUNCTION("""COMPUTED_VALUE"""),"Frodsham Marsh")</f>
        <v>Frodsham Marsh</v>
      </c>
      <c r="H1109" s="22">
        <f ca="1">IFERROR(__xludf.DUMMYFUNCTION("""COMPUTED_VALUE"""),42240)</f>
        <v>42240</v>
      </c>
      <c r="I1109" s="22">
        <f ca="1">IFERROR(__xludf.DUMMYFUNCTION("""COMPUTED_VALUE"""),42240)</f>
        <v>42240</v>
      </c>
      <c r="J1109" s="24" t="str">
        <f ca="1">IFERROR(__xludf.DUMMYFUNCTION("""COMPUTED_VALUE"""),"Turner, JE (don't publish)")</f>
        <v>Turner, JE (don't publish)</v>
      </c>
      <c r="K1109" s="25" t="str">
        <f ca="1">IFERROR(__xludf.DUMMYFUNCTION("""COMPUTED_VALUE"""),"WS Morton")</f>
        <v>WS Morton</v>
      </c>
      <c r="L1109" s="27" t="str">
        <f ca="1">IFERROR(__xludf.DUMMYFUNCTION("""COMPUTED_VALUE"""),"closed")</f>
        <v>closed</v>
      </c>
      <c r="M1109" s="27" t="str">
        <f ca="1">IFERROR(__xludf.DUMMYFUNCTION("""COMPUTED_VALUE"""),"1st U")</f>
        <v>1st U</v>
      </c>
      <c r="N1109" s="25" t="str">
        <f ca="1">IFERROR(__xludf.DUMMYFUNCTION("""COMPUTED_VALUE"""),"accepted")</f>
        <v>accepted</v>
      </c>
      <c r="O1109" s="28"/>
      <c r="P1109" s="25"/>
      <c r="Q1109" s="25"/>
      <c r="R1109" s="25"/>
      <c r="S1109" s="25"/>
      <c r="T1109" s="25"/>
      <c r="U1109" s="25"/>
      <c r="V1109" s="25"/>
      <c r="W1109" s="25"/>
      <c r="X1109" s="25"/>
      <c r="Y1109" s="25"/>
      <c r="Z1109" s="25"/>
      <c r="AA1109" s="25"/>
      <c r="AB1109" s="25"/>
      <c r="AC1109" s="25"/>
      <c r="AD1109" s="25"/>
      <c r="AE1109" s="25"/>
      <c r="AF1109" s="25"/>
      <c r="AG1109" s="25"/>
      <c r="AH1109" s="25"/>
      <c r="AI1109" s="25"/>
      <c r="AJ1109" s="25"/>
      <c r="AK1109" s="25"/>
      <c r="AL1109" s="25"/>
      <c r="AM1109" s="25"/>
      <c r="AN1109" s="25"/>
      <c r="AO1109" s="25"/>
      <c r="AP1109" s="25"/>
      <c r="AQ1109" s="25"/>
      <c r="AR1109" s="25"/>
      <c r="AS1109" s="25"/>
      <c r="AT1109" s="25"/>
      <c r="AU1109" s="25"/>
      <c r="AV1109" s="25"/>
      <c r="AW1109" s="25"/>
      <c r="AX1109" s="25"/>
      <c r="AY1109" s="25"/>
      <c r="AZ1109" s="25"/>
      <c r="BA1109" s="25"/>
      <c r="BB1109" s="25"/>
      <c r="BC1109" s="25"/>
      <c r="BD1109" s="25"/>
      <c r="BE1109" s="25"/>
      <c r="BF1109" s="25"/>
      <c r="BG1109" s="25"/>
      <c r="BH1109" s="25"/>
      <c r="BI1109" s="25"/>
      <c r="BJ1109" s="25"/>
      <c r="BK1109" s="25"/>
      <c r="BL1109" s="25"/>
      <c r="BM1109" s="25"/>
      <c r="BN1109" s="25"/>
      <c r="BO1109" s="25"/>
      <c r="BP1109" s="25"/>
      <c r="BQ1109" s="25"/>
      <c r="BR1109" s="25"/>
      <c r="BS1109" s="25"/>
      <c r="BT1109" s="25"/>
      <c r="BU1109" s="25"/>
      <c r="BV1109" s="25"/>
      <c r="BW1109" s="25"/>
      <c r="BX1109" s="25"/>
      <c r="BY1109" s="25"/>
      <c r="BZ1109" s="25"/>
      <c r="CA1109" s="25"/>
      <c r="CB1109" s="25"/>
    </row>
    <row r="1110" spans="1:80" ht="12.75" hidden="1" customHeight="1">
      <c r="A1110" s="10">
        <f ca="1">IFERROR(__xludf.DUMMYFUNCTION("""COMPUTED_VALUE"""),2015)</f>
        <v>2015</v>
      </c>
      <c r="B1110" s="50">
        <f ca="1">IFERROR(__xludf.DUMMYFUNCTION("""COMPUTED_VALUE"""),42618)</f>
        <v>42618</v>
      </c>
      <c r="C1110" s="41"/>
      <c r="D1110" s="42" t="str">
        <f ca="1">IFERROR(__xludf.DUMMYFUNCTION("""COMPUTED_VALUE"""),"Pectoral Sandpiper")</f>
        <v>Pectoral Sandpiper</v>
      </c>
      <c r="E1110" s="53">
        <f ca="1">IFERROR(__xludf.DUMMYFUNCTION("""COMPUTED_VALUE"""),1)</f>
        <v>1</v>
      </c>
      <c r="F1110" s="15"/>
      <c r="G1110" s="44" t="str">
        <f ca="1">IFERROR(__xludf.DUMMYFUNCTION("""COMPUTED_VALUE"""),"Burton Mere Wetlands RSPB")</f>
        <v>Burton Mere Wetlands RSPB</v>
      </c>
      <c r="H1110" s="12">
        <f ca="1">IFERROR(__xludf.DUMMYFUNCTION("""COMPUTED_VALUE"""),42275)</f>
        <v>42275</v>
      </c>
      <c r="I1110" s="12">
        <f ca="1">IFERROR(__xludf.DUMMYFUNCTION("""COMPUTED_VALUE"""),42275)</f>
        <v>42275</v>
      </c>
      <c r="J1110" s="14" t="str">
        <f ca="1">IFERROR(__xludf.DUMMYFUNCTION("""COMPUTED_VALUE"""),"Cook, H")</f>
        <v>Cook, H</v>
      </c>
      <c r="K1110" s="15" t="str">
        <f ca="1">IFERROR(__xludf.DUMMYFUNCTION("""COMPUTED_VALUE"""),"?")</f>
        <v>?</v>
      </c>
      <c r="L1110" s="17" t="str">
        <f ca="1">IFERROR(__xludf.DUMMYFUNCTION("""COMPUTED_VALUE"""),"closed")</f>
        <v>closed</v>
      </c>
      <c r="M1110" s="17" t="str">
        <f ca="1">IFERROR(__xludf.DUMMYFUNCTION("""COMPUTED_VALUE"""),"1st U")</f>
        <v>1st U</v>
      </c>
      <c r="N1110" s="15" t="str">
        <f ca="1">IFERROR(__xludf.DUMMYFUNCTION("""COMPUTED_VALUE"""),"accepted")</f>
        <v>accepted</v>
      </c>
      <c r="O1110" s="18"/>
      <c r="P1110" s="15"/>
      <c r="Q1110" s="15"/>
      <c r="R1110" s="15"/>
      <c r="S1110" s="15"/>
      <c r="T1110" s="15"/>
      <c r="U1110" s="15"/>
      <c r="V1110" s="15"/>
      <c r="W1110" s="15"/>
      <c r="X1110" s="15"/>
      <c r="Y1110" s="15"/>
      <c r="Z1110" s="15"/>
      <c r="AA1110" s="15"/>
      <c r="AB1110" s="15"/>
      <c r="AC1110" s="15"/>
      <c r="AD1110" s="15"/>
      <c r="AE1110" s="15"/>
      <c r="AF1110" s="15"/>
      <c r="AG1110" s="15"/>
      <c r="AH1110" s="15"/>
      <c r="AI1110" s="15"/>
      <c r="AJ1110" s="15"/>
      <c r="AK1110" s="15"/>
      <c r="AL1110" s="15"/>
      <c r="AM1110" s="15"/>
      <c r="AN1110" s="15"/>
      <c r="AO1110" s="15"/>
      <c r="AP1110" s="15"/>
      <c r="AQ1110" s="15"/>
      <c r="AR1110" s="15"/>
      <c r="AS1110" s="15"/>
      <c r="AT1110" s="15"/>
      <c r="AU1110" s="15"/>
      <c r="AV1110" s="15"/>
      <c r="AW1110" s="15"/>
      <c r="AX1110" s="15"/>
      <c r="AY1110" s="15"/>
      <c r="AZ1110" s="15"/>
      <c r="BA1110" s="15"/>
      <c r="BB1110" s="15"/>
      <c r="BC1110" s="15"/>
      <c r="BD1110" s="15"/>
      <c r="BE1110" s="15"/>
      <c r="BF1110" s="15"/>
      <c r="BG1110" s="15"/>
      <c r="BH1110" s="15"/>
      <c r="BI1110" s="15"/>
      <c r="BJ1110" s="15"/>
      <c r="BK1110" s="15"/>
      <c r="BL1110" s="15"/>
      <c r="BM1110" s="15"/>
      <c r="BN1110" s="15"/>
      <c r="BO1110" s="15"/>
      <c r="BP1110" s="15"/>
      <c r="BQ1110" s="15"/>
      <c r="BR1110" s="15"/>
      <c r="BS1110" s="15"/>
      <c r="BT1110" s="15"/>
      <c r="BU1110" s="15"/>
      <c r="BV1110" s="15"/>
      <c r="BW1110" s="15"/>
      <c r="BX1110" s="15"/>
      <c r="BY1110" s="15"/>
      <c r="BZ1110" s="15"/>
      <c r="CA1110" s="15"/>
      <c r="CB1110" s="15"/>
    </row>
    <row r="1111" spans="1:80" ht="12.75" hidden="1" customHeight="1">
      <c r="A1111" s="20">
        <f ca="1">IFERROR(__xludf.DUMMYFUNCTION("""COMPUTED_VALUE"""),2015)</f>
        <v>2015</v>
      </c>
      <c r="B1111" s="45">
        <f ca="1">IFERROR(__xludf.DUMMYFUNCTION("""COMPUTED_VALUE"""),42618)</f>
        <v>42618</v>
      </c>
      <c r="C1111" s="46">
        <f ca="1">IFERROR(__xludf.DUMMYFUNCTION("""COMPUTED_VALUE"""),42675)</f>
        <v>42675</v>
      </c>
      <c r="D1111" s="47" t="str">
        <f ca="1">IFERROR(__xludf.DUMMYFUNCTION("""COMPUTED_VALUE"""),"Red-necked Phalarope")</f>
        <v>Red-necked Phalarope</v>
      </c>
      <c r="E1111" s="52">
        <f ca="1">IFERROR(__xludf.DUMMYFUNCTION("""COMPUTED_VALUE"""),1)</f>
        <v>1</v>
      </c>
      <c r="F1111" s="25"/>
      <c r="G1111" s="48" t="str">
        <f ca="1">IFERROR(__xludf.DUMMYFUNCTION("""COMPUTED_VALUE"""),"Burton Mere Wetlands RSPB")</f>
        <v>Burton Mere Wetlands RSPB</v>
      </c>
      <c r="H1111" s="22">
        <f ca="1">IFERROR(__xludf.DUMMYFUNCTION("""COMPUTED_VALUE"""),42158)</f>
        <v>42158</v>
      </c>
      <c r="I1111" s="22">
        <f ca="1">IFERROR(__xludf.DUMMYFUNCTION("""COMPUTED_VALUE"""),42158)</f>
        <v>42158</v>
      </c>
      <c r="J1111" s="24" t="str">
        <f ca="1">IFERROR(__xludf.DUMMYFUNCTION("""COMPUTED_VALUE"""),"R Eades")</f>
        <v>R Eades</v>
      </c>
      <c r="K1111" s="25"/>
      <c r="L1111" s="27" t="str">
        <f ca="1">IFERROR(__xludf.DUMMYFUNCTION("""COMPUTED_VALUE"""),"closed")</f>
        <v>closed</v>
      </c>
      <c r="M1111" s="27" t="str">
        <f ca="1">IFERROR(__xludf.DUMMYFUNCTION("""COMPUTED_VALUE"""),"1st U")</f>
        <v>1st U</v>
      </c>
      <c r="N1111" s="25" t="str">
        <f ca="1">IFERROR(__xludf.DUMMYFUNCTION("""COMPUTED_VALUE"""),"accepted")</f>
        <v>accepted</v>
      </c>
      <c r="O1111" s="28"/>
      <c r="P1111" s="25"/>
      <c r="Q1111" s="25"/>
      <c r="R1111" s="25"/>
      <c r="S1111" s="25"/>
      <c r="T1111" s="25"/>
      <c r="U1111" s="25"/>
      <c r="V1111" s="25"/>
      <c r="W1111" s="25"/>
      <c r="X1111" s="25"/>
      <c r="Y1111" s="25"/>
      <c r="Z1111" s="25"/>
      <c r="AA1111" s="25"/>
      <c r="AB1111" s="25"/>
      <c r="AC1111" s="25"/>
      <c r="AD1111" s="25"/>
      <c r="AE1111" s="25"/>
      <c r="AF1111" s="25"/>
      <c r="AG1111" s="25"/>
      <c r="AH1111" s="25"/>
      <c r="AI1111" s="25"/>
      <c r="AJ1111" s="25"/>
      <c r="AK1111" s="25"/>
      <c r="AL1111" s="25"/>
      <c r="AM1111" s="25"/>
      <c r="AN1111" s="25"/>
      <c r="AO1111" s="25"/>
      <c r="AP1111" s="25"/>
      <c r="AQ1111" s="25"/>
      <c r="AR1111" s="25"/>
      <c r="AS1111" s="25"/>
      <c r="AT1111" s="25"/>
      <c r="AU1111" s="25"/>
      <c r="AV1111" s="25"/>
      <c r="AW1111" s="25"/>
      <c r="AX1111" s="25"/>
      <c r="AY1111" s="25"/>
      <c r="AZ1111" s="25"/>
      <c r="BA1111" s="25"/>
      <c r="BB1111" s="25"/>
      <c r="BC1111" s="25"/>
      <c r="BD1111" s="25"/>
      <c r="BE1111" s="25"/>
      <c r="BF1111" s="25"/>
      <c r="BG1111" s="25"/>
      <c r="BH1111" s="25"/>
      <c r="BI1111" s="25"/>
      <c r="BJ1111" s="25"/>
      <c r="BK1111" s="25"/>
      <c r="BL1111" s="25"/>
      <c r="BM1111" s="25"/>
      <c r="BN1111" s="25"/>
      <c r="BO1111" s="25"/>
      <c r="BP1111" s="25"/>
      <c r="BQ1111" s="25"/>
      <c r="BR1111" s="25"/>
      <c r="BS1111" s="25"/>
      <c r="BT1111" s="25"/>
      <c r="BU1111" s="25"/>
      <c r="BV1111" s="25"/>
      <c r="BW1111" s="25"/>
      <c r="BX1111" s="25"/>
      <c r="BY1111" s="25"/>
      <c r="BZ1111" s="25"/>
      <c r="CA1111" s="25"/>
      <c r="CB1111" s="25"/>
    </row>
    <row r="1112" spans="1:80" ht="12.75" hidden="1" customHeight="1">
      <c r="A1112" s="10">
        <f ca="1">IFERROR(__xludf.DUMMYFUNCTION("""COMPUTED_VALUE"""),2015)</f>
        <v>2015</v>
      </c>
      <c r="B1112" s="50">
        <f ca="1">IFERROR(__xludf.DUMMYFUNCTION("""COMPUTED_VALUE"""),42502)</f>
        <v>42502</v>
      </c>
      <c r="C1112" s="41">
        <f ca="1">IFERROR(__xludf.DUMMYFUNCTION("""COMPUTED_VALUE"""),42502)</f>
        <v>42502</v>
      </c>
      <c r="D1112" s="42" t="str">
        <f ca="1">IFERROR(__xludf.DUMMYFUNCTION("""COMPUTED_VALUE"""),"Grey Phalarope")</f>
        <v>Grey Phalarope</v>
      </c>
      <c r="E1112" s="53">
        <f ca="1">IFERROR(__xludf.DUMMYFUNCTION("""COMPUTED_VALUE"""),1)</f>
        <v>1</v>
      </c>
      <c r="F1112" s="15"/>
      <c r="G1112" s="44" t="str">
        <f ca="1">IFERROR(__xludf.DUMMYFUNCTION("""COMPUTED_VALUE"""),"Seacombe")</f>
        <v>Seacombe</v>
      </c>
      <c r="H1112" s="12">
        <f ca="1">IFERROR(__xludf.DUMMYFUNCTION("""COMPUTED_VALUE"""),42008)</f>
        <v>42008</v>
      </c>
      <c r="I1112" s="12">
        <f ca="1">IFERROR(__xludf.DUMMYFUNCTION("""COMPUTED_VALUE"""),42008)</f>
        <v>42008</v>
      </c>
      <c r="J1112" s="14" t="str">
        <f ca="1">IFERROR(__xludf.DUMMYFUNCTION("""COMPUTED_VALUE"""),"Montieth, E")</f>
        <v>Montieth, E</v>
      </c>
      <c r="K1112" s="15" t="str">
        <f ca="1">IFERROR(__xludf.DUMMYFUNCTION("""COMPUTED_VALUE"""),"Montieth, E")</f>
        <v>Montieth, E</v>
      </c>
      <c r="L1112" s="17" t="str">
        <f ca="1">IFERROR(__xludf.DUMMYFUNCTION("""COMPUTED_VALUE"""),"closed")</f>
        <v>closed</v>
      </c>
      <c r="M1112" s="17" t="str">
        <f ca="1">IFERROR(__xludf.DUMMYFUNCTION("""COMPUTED_VALUE"""),"1st U")</f>
        <v>1st U</v>
      </c>
      <c r="N1112" s="15" t="str">
        <f ca="1">IFERROR(__xludf.DUMMYFUNCTION("""COMPUTED_VALUE"""),"accepted")</f>
        <v>accepted</v>
      </c>
      <c r="O1112" s="18"/>
      <c r="P1112" s="15"/>
      <c r="Q1112" s="15"/>
      <c r="R1112" s="15"/>
      <c r="S1112" s="15"/>
      <c r="T1112" s="15"/>
      <c r="U1112" s="15"/>
      <c r="V1112" s="15"/>
      <c r="W1112" s="15"/>
      <c r="X1112" s="15"/>
      <c r="Y1112" s="15"/>
      <c r="Z1112" s="15"/>
      <c r="AA1112" s="15"/>
      <c r="AB1112" s="15"/>
      <c r="AC1112" s="15"/>
      <c r="AD1112" s="15"/>
      <c r="AE1112" s="15"/>
      <c r="AF1112" s="15"/>
      <c r="AG1112" s="15"/>
      <c r="AH1112" s="15"/>
      <c r="AI1112" s="15"/>
      <c r="AJ1112" s="15"/>
      <c r="AK1112" s="15"/>
      <c r="AL1112" s="15"/>
      <c r="AM1112" s="15"/>
      <c r="AN1112" s="15"/>
      <c r="AO1112" s="15"/>
      <c r="AP1112" s="15"/>
      <c r="AQ1112" s="15"/>
      <c r="AR1112" s="15"/>
      <c r="AS1112" s="15"/>
      <c r="AT1112" s="15"/>
      <c r="AU1112" s="15"/>
      <c r="AV1112" s="15"/>
      <c r="AW1112" s="15"/>
      <c r="AX1112" s="15"/>
      <c r="AY1112" s="15"/>
      <c r="AZ1112" s="15"/>
      <c r="BA1112" s="15"/>
      <c r="BB1112" s="15"/>
      <c r="BC1112" s="15"/>
      <c r="BD1112" s="15"/>
      <c r="BE1112" s="15"/>
      <c r="BF1112" s="15"/>
      <c r="BG1112" s="15"/>
      <c r="BH1112" s="15"/>
      <c r="BI1112" s="15"/>
      <c r="BJ1112" s="15"/>
      <c r="BK1112" s="15"/>
      <c r="BL1112" s="15"/>
      <c r="BM1112" s="15"/>
      <c r="BN1112" s="15"/>
      <c r="BO1112" s="15"/>
      <c r="BP1112" s="15"/>
      <c r="BQ1112" s="15"/>
      <c r="BR1112" s="15"/>
      <c r="BS1112" s="15"/>
      <c r="BT1112" s="15"/>
      <c r="BU1112" s="15"/>
      <c r="BV1112" s="15"/>
      <c r="BW1112" s="15"/>
      <c r="BX1112" s="15"/>
      <c r="BY1112" s="15"/>
      <c r="BZ1112" s="15"/>
      <c r="CA1112" s="15"/>
      <c r="CB1112" s="15"/>
    </row>
    <row r="1113" spans="1:80" ht="12.75" hidden="1" customHeight="1">
      <c r="A1113" s="20">
        <f ca="1">IFERROR(__xludf.DUMMYFUNCTION("""COMPUTED_VALUE"""),2015)</f>
        <v>2015</v>
      </c>
      <c r="B1113" s="45">
        <f ca="1">IFERROR(__xludf.DUMMYFUNCTION("""COMPUTED_VALUE"""),42616)</f>
        <v>42616</v>
      </c>
      <c r="C1113" s="46">
        <f ca="1">IFERROR(__xludf.DUMMYFUNCTION("""COMPUTED_VALUE"""),42502)</f>
        <v>42502</v>
      </c>
      <c r="D1113" s="47" t="str">
        <f ca="1">IFERROR(__xludf.DUMMYFUNCTION("""COMPUTED_VALUE"""),"Green Sandpiper")</f>
        <v>Green Sandpiper</v>
      </c>
      <c r="E1113" s="52">
        <f ca="1">IFERROR(__xludf.DUMMYFUNCTION("""COMPUTED_VALUE"""),1)</f>
        <v>1</v>
      </c>
      <c r="F1113" s="25"/>
      <c r="G1113" s="48" t="str">
        <f ca="1">IFERROR(__xludf.DUMMYFUNCTION("""COMPUTED_VALUE"""),"Woodford, Old Hall farm")</f>
        <v>Woodford, Old Hall farm</v>
      </c>
      <c r="H1113" s="22">
        <f ca="1">IFERROR(__xludf.DUMMYFUNCTION("""COMPUTED_VALUE"""),42019)</f>
        <v>42019</v>
      </c>
      <c r="I1113" s="23"/>
      <c r="J1113" s="24" t="str">
        <f ca="1">IFERROR(__xludf.DUMMYFUNCTION("""COMPUTED_VALUE"""),"Jones, A")</f>
        <v>Jones, A</v>
      </c>
      <c r="K1113" s="25" t="str">
        <f ca="1">IFERROR(__xludf.DUMMYFUNCTION("""COMPUTED_VALUE"""),"Jones, A")</f>
        <v>Jones, A</v>
      </c>
      <c r="L1113" s="27" t="str">
        <f ca="1">IFERROR(__xludf.DUMMYFUNCTION("""COMPUTED_VALUE"""),"closed")</f>
        <v>closed</v>
      </c>
      <c r="M1113" s="27" t="str">
        <f ca="1">IFERROR(__xludf.DUMMYFUNCTION("""COMPUTED_VALUE"""),"1st U")</f>
        <v>1st U</v>
      </c>
      <c r="N1113" s="25" t="str">
        <f ca="1">IFERROR(__xludf.DUMMYFUNCTION("""COMPUTED_VALUE"""),"accepted")</f>
        <v>accepted</v>
      </c>
      <c r="O1113" s="28"/>
      <c r="P1113" s="25"/>
      <c r="Q1113" s="25"/>
      <c r="R1113" s="25"/>
      <c r="S1113" s="25"/>
      <c r="T1113" s="25"/>
      <c r="U1113" s="25"/>
      <c r="V1113" s="25"/>
      <c r="W1113" s="25"/>
      <c r="X1113" s="25"/>
      <c r="Y1113" s="25"/>
      <c r="Z1113" s="25"/>
      <c r="AA1113" s="25"/>
      <c r="AB1113" s="25"/>
      <c r="AC1113" s="25"/>
      <c r="AD1113" s="25"/>
      <c r="AE1113" s="25"/>
      <c r="AF1113" s="25"/>
      <c r="AG1113" s="25"/>
      <c r="AH1113" s="25"/>
      <c r="AI1113" s="25"/>
      <c r="AJ1113" s="25"/>
      <c r="AK1113" s="25"/>
      <c r="AL1113" s="25"/>
      <c r="AM1113" s="25"/>
      <c r="AN1113" s="25"/>
      <c r="AO1113" s="25"/>
      <c r="AP1113" s="25"/>
      <c r="AQ1113" s="25"/>
      <c r="AR1113" s="25"/>
      <c r="AS1113" s="25"/>
      <c r="AT1113" s="25"/>
      <c r="AU1113" s="25"/>
      <c r="AV1113" s="25"/>
      <c r="AW1113" s="25"/>
      <c r="AX1113" s="25"/>
      <c r="AY1113" s="25"/>
      <c r="AZ1113" s="25"/>
      <c r="BA1113" s="25"/>
      <c r="BB1113" s="25"/>
      <c r="BC1113" s="25"/>
      <c r="BD1113" s="25"/>
      <c r="BE1113" s="25"/>
      <c r="BF1113" s="25"/>
      <c r="BG1113" s="25"/>
      <c r="BH1113" s="25"/>
      <c r="BI1113" s="25"/>
      <c r="BJ1113" s="25"/>
      <c r="BK1113" s="25"/>
      <c r="BL1113" s="25"/>
      <c r="BM1113" s="25"/>
      <c r="BN1113" s="25"/>
      <c r="BO1113" s="25"/>
      <c r="BP1113" s="25"/>
      <c r="BQ1113" s="25"/>
      <c r="BR1113" s="25"/>
      <c r="BS1113" s="25"/>
      <c r="BT1113" s="25"/>
      <c r="BU1113" s="25"/>
      <c r="BV1113" s="25"/>
      <c r="BW1113" s="25"/>
      <c r="BX1113" s="25"/>
      <c r="BY1113" s="25"/>
      <c r="BZ1113" s="25"/>
      <c r="CA1113" s="25"/>
      <c r="CB1113" s="25"/>
    </row>
    <row r="1114" spans="1:80" ht="12.75" hidden="1" customHeight="1">
      <c r="A1114" s="10">
        <f ca="1">IFERROR(__xludf.DUMMYFUNCTION("""COMPUTED_VALUE"""),2015)</f>
        <v>2015</v>
      </c>
      <c r="B1114" s="50">
        <f ca="1">IFERROR(__xludf.DUMMYFUNCTION("""COMPUTED_VALUE"""),44568)</f>
        <v>44568</v>
      </c>
      <c r="C1114" s="41"/>
      <c r="D1114" s="42" t="str">
        <f ca="1">IFERROR(__xludf.DUMMYFUNCTION("""COMPUTED_VALUE"""),"Laughing Gull")</f>
        <v>Laughing Gull</v>
      </c>
      <c r="E1114" s="53">
        <f ca="1">IFERROR(__xludf.DUMMYFUNCTION("""COMPUTED_VALUE"""),1)</f>
        <v>1</v>
      </c>
      <c r="F1114" s="15" t="str">
        <f ca="1">IFERROR(__xludf.DUMMYFUNCTION("""COMPUTED_VALUE"""),"2 CY")</f>
        <v>2 CY</v>
      </c>
      <c r="G1114" s="44" t="str">
        <f ca="1">IFERROR(__xludf.DUMMYFUNCTION("""COMPUTED_VALUE"""),"New Brighton")</f>
        <v>New Brighton</v>
      </c>
      <c r="H1114" s="12">
        <f ca="1">IFERROR(__xludf.DUMMYFUNCTION("""COMPUTED_VALUE"""),42038)</f>
        <v>42038</v>
      </c>
      <c r="I1114" s="12">
        <f ca="1">IFERROR(__xludf.DUMMYFUNCTION("""COMPUTED_VALUE"""),42114)</f>
        <v>42114</v>
      </c>
      <c r="J1114" s="14"/>
      <c r="K1114" s="15"/>
      <c r="L1114" s="17" t="str">
        <f ca="1">IFERROR(__xludf.DUMMYFUNCTION("""COMPUTED_VALUE"""),"closed")</f>
        <v>closed</v>
      </c>
      <c r="M1114" s="17"/>
      <c r="N1114" s="15" t="str">
        <f ca="1">IFERROR(__xludf.DUMMYFUNCTION("""COMPUTED_VALUE"""),"BBRC-OK")</f>
        <v>BBRC-OK</v>
      </c>
      <c r="O1114" s="18" t="str">
        <f ca="1">IFERROR(__xludf.DUMMYFUNCTION("""COMPUTED_VALUE"""),"2CY (photo)")</f>
        <v>2CY (photo)</v>
      </c>
      <c r="P1114" s="15"/>
      <c r="Q1114" s="15"/>
      <c r="R1114" s="15"/>
      <c r="S1114" s="15"/>
      <c r="T1114" s="15"/>
      <c r="U1114" s="15"/>
      <c r="V1114" s="15"/>
      <c r="W1114" s="15"/>
      <c r="X1114" s="15"/>
      <c r="Y1114" s="15"/>
      <c r="Z1114" s="15"/>
      <c r="AA1114" s="15"/>
      <c r="AB1114" s="15"/>
      <c r="AC1114" s="15"/>
      <c r="AD1114" s="15"/>
      <c r="AE1114" s="15"/>
      <c r="AF1114" s="15"/>
      <c r="AG1114" s="15"/>
      <c r="AH1114" s="15"/>
      <c r="AI1114" s="15"/>
      <c r="AJ1114" s="15"/>
      <c r="AK1114" s="15"/>
      <c r="AL1114" s="15"/>
      <c r="AM1114" s="15"/>
      <c r="AN1114" s="15"/>
      <c r="AO1114" s="15"/>
      <c r="AP1114" s="15"/>
      <c r="AQ1114" s="15"/>
      <c r="AR1114" s="15"/>
      <c r="AS1114" s="15"/>
      <c r="AT1114" s="15"/>
      <c r="AU1114" s="15"/>
      <c r="AV1114" s="15"/>
      <c r="AW1114" s="15"/>
      <c r="AX1114" s="15"/>
      <c r="AY1114" s="15"/>
      <c r="AZ1114" s="15"/>
      <c r="BA1114" s="15"/>
      <c r="BB1114" s="15"/>
      <c r="BC1114" s="15"/>
      <c r="BD1114" s="15"/>
      <c r="BE1114" s="15"/>
      <c r="BF1114" s="15"/>
      <c r="BG1114" s="15"/>
      <c r="BH1114" s="15"/>
      <c r="BI1114" s="15"/>
      <c r="BJ1114" s="15"/>
      <c r="BK1114" s="15"/>
      <c r="BL1114" s="15"/>
      <c r="BM1114" s="15"/>
      <c r="BN1114" s="15"/>
      <c r="BO1114" s="15"/>
      <c r="BP1114" s="15"/>
      <c r="BQ1114" s="15"/>
      <c r="BR1114" s="15"/>
      <c r="BS1114" s="15"/>
      <c r="BT1114" s="15"/>
      <c r="BU1114" s="15"/>
      <c r="BV1114" s="15"/>
      <c r="BW1114" s="15"/>
      <c r="BX1114" s="15"/>
      <c r="BY1114" s="15"/>
      <c r="BZ1114" s="15"/>
      <c r="CA1114" s="15"/>
      <c r="CB1114" s="15"/>
    </row>
    <row r="1115" spans="1:80" ht="12.75" hidden="1" customHeight="1">
      <c r="A1115" s="20">
        <f ca="1">IFERROR(__xludf.DUMMYFUNCTION("""COMPUTED_VALUE"""),2015)</f>
        <v>2015</v>
      </c>
      <c r="B1115" s="45">
        <f ca="1">IFERROR(__xludf.DUMMYFUNCTION("""COMPUTED_VALUE"""),42618)</f>
        <v>42618</v>
      </c>
      <c r="C1115" s="46">
        <f ca="1">IFERROR(__xludf.DUMMYFUNCTION("""COMPUTED_VALUE"""),42724)</f>
        <v>42724</v>
      </c>
      <c r="D1115" s="47" t="str">
        <f ca="1">IFERROR(__xludf.DUMMYFUNCTION("""COMPUTED_VALUE"""),"Ring-billed Gull")</f>
        <v>Ring-billed Gull</v>
      </c>
      <c r="E1115" s="52">
        <f ca="1">IFERROR(__xludf.DUMMYFUNCTION("""COMPUTED_VALUE"""),1)</f>
        <v>1</v>
      </c>
      <c r="F1115" s="25" t="str">
        <f ca="1">IFERROR(__xludf.DUMMYFUNCTION("""COMPUTED_VALUE"""),"1st w")</f>
        <v>1st w</v>
      </c>
      <c r="G1115" s="48" t="str">
        <f ca="1">IFERROR(__xludf.DUMMYFUNCTION("""COMPUTED_VALUE"""),"Burton Mere Wetlands RSPB")</f>
        <v>Burton Mere Wetlands RSPB</v>
      </c>
      <c r="H1115" s="22">
        <f ca="1">IFERROR(__xludf.DUMMYFUNCTION("""COMPUTED_VALUE"""),42119)</f>
        <v>42119</v>
      </c>
      <c r="I1115" s="22">
        <f ca="1">IFERROR(__xludf.DUMMYFUNCTION("""COMPUTED_VALUE"""),42119)</f>
        <v>42119</v>
      </c>
      <c r="J1115" s="24" t="str">
        <f ca="1">IFERROR(__xludf.DUMMYFUNCTION("""COMPUTED_VALUE"""),"Montieth, E")</f>
        <v>Montieth, E</v>
      </c>
      <c r="K1115" s="25" t="str">
        <f ca="1">IFERROR(__xludf.DUMMYFUNCTION("""COMPUTED_VALUE"""),"Montieth, E")</f>
        <v>Montieth, E</v>
      </c>
      <c r="L1115" s="27" t="str">
        <f ca="1">IFERROR(__xludf.DUMMYFUNCTION("""COMPUTED_VALUE"""),"closed")</f>
        <v>closed</v>
      </c>
      <c r="M1115" s="27" t="str">
        <f ca="1">IFERROR(__xludf.DUMMYFUNCTION("""COMPUTED_VALUE"""),"1st U")</f>
        <v>1st U</v>
      </c>
      <c r="N1115" s="25" t="str">
        <f ca="1">IFERROR(__xludf.DUMMYFUNCTION("""COMPUTED_VALUE"""),"accepted")</f>
        <v>accepted</v>
      </c>
      <c r="O1115" s="28"/>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K1115" s="25"/>
      <c r="AL1115" s="25"/>
      <c r="AM1115" s="25"/>
      <c r="AN1115" s="25"/>
      <c r="AO1115" s="25"/>
      <c r="AP1115" s="25"/>
      <c r="AQ1115" s="25"/>
      <c r="AR1115" s="25"/>
      <c r="AS1115" s="25"/>
      <c r="AT1115" s="25"/>
      <c r="AU1115" s="25"/>
      <c r="AV1115" s="25"/>
      <c r="AW1115" s="25"/>
      <c r="AX1115" s="25"/>
      <c r="AY1115" s="25"/>
      <c r="AZ1115" s="25"/>
      <c r="BA1115" s="25"/>
      <c r="BB1115" s="25"/>
      <c r="BC1115" s="25"/>
      <c r="BD1115" s="25"/>
      <c r="BE1115" s="25"/>
      <c r="BF1115" s="25"/>
      <c r="BG1115" s="25"/>
      <c r="BH1115" s="25"/>
      <c r="BI1115" s="25"/>
      <c r="BJ1115" s="25"/>
      <c r="BK1115" s="25"/>
      <c r="BL1115" s="25"/>
      <c r="BM1115" s="25"/>
      <c r="BN1115" s="25"/>
      <c r="BO1115" s="25"/>
      <c r="BP1115" s="25"/>
      <c r="BQ1115" s="25"/>
      <c r="BR1115" s="25"/>
      <c r="BS1115" s="25"/>
      <c r="BT1115" s="25"/>
      <c r="BU1115" s="25"/>
      <c r="BV1115" s="25"/>
      <c r="BW1115" s="25"/>
      <c r="BX1115" s="25"/>
      <c r="BY1115" s="25"/>
      <c r="BZ1115" s="25"/>
      <c r="CA1115" s="25"/>
      <c r="CB1115" s="25"/>
    </row>
    <row r="1116" spans="1:80" ht="12.75" hidden="1" customHeight="1">
      <c r="A1116" s="10">
        <f ca="1">IFERROR(__xludf.DUMMYFUNCTION("""COMPUTED_VALUE"""),2015)</f>
        <v>2015</v>
      </c>
      <c r="B1116" s="50">
        <f ca="1">IFERROR(__xludf.DUMMYFUNCTION("""COMPUTED_VALUE"""),42618)</f>
        <v>42618</v>
      </c>
      <c r="C1116" s="41"/>
      <c r="D1116" s="42" t="str">
        <f ca="1">IFERROR(__xludf.DUMMYFUNCTION("""COMPUTED_VALUE"""),"Caspian Gull")</f>
        <v>Caspian Gull</v>
      </c>
      <c r="E1116" s="53">
        <f ca="1">IFERROR(__xludf.DUMMYFUNCTION("""COMPUTED_VALUE"""),1)</f>
        <v>1</v>
      </c>
      <c r="F1116" s="15" t="str">
        <f ca="1">IFERROR(__xludf.DUMMYFUNCTION("""COMPUTED_VALUE"""),"4th cal")</f>
        <v>4th cal</v>
      </c>
      <c r="G1116" s="44" t="str">
        <f ca="1">IFERROR(__xludf.DUMMYFUNCTION("""COMPUTED_VALUE"""),"Elton Hall Flash, Sandbach")</f>
        <v>Elton Hall Flash, Sandbach</v>
      </c>
      <c r="H1116" s="12">
        <f ca="1">IFERROR(__xludf.DUMMYFUNCTION("""COMPUTED_VALUE"""),42199)</f>
        <v>42199</v>
      </c>
      <c r="I1116" s="12">
        <f ca="1">IFERROR(__xludf.DUMMYFUNCTION("""COMPUTED_VALUE"""),42199)</f>
        <v>42199</v>
      </c>
      <c r="J1116" s="14" t="str">
        <f ca="1">IFERROR(__xludf.DUMMYFUNCTION("""COMPUTED_VALUE"""),"G Baker")</f>
        <v>G Baker</v>
      </c>
      <c r="K1116" s="15"/>
      <c r="L1116" s="17" t="str">
        <f ca="1">IFERROR(__xludf.DUMMYFUNCTION("""COMPUTED_VALUE"""),"closed")</f>
        <v>closed</v>
      </c>
      <c r="M1116" s="17" t="str">
        <f ca="1">IFERROR(__xludf.DUMMYFUNCTION("""COMPUTED_VALUE"""),"panel")</f>
        <v>panel</v>
      </c>
      <c r="N1116" s="15" t="str">
        <f ca="1">IFERROR(__xludf.DUMMYFUNCTION("""COMPUTED_VALUE"""),"accepted")</f>
        <v>accepted</v>
      </c>
      <c r="O1116" s="18" t="str">
        <f ca="1">IFERROR(__xludf.DUMMYFUNCTION("""COMPUTED_VALUE"""),"4th calendar year immature - description previously submitted")</f>
        <v>4th calendar year immature - description previously submitted</v>
      </c>
      <c r="P1116" s="15"/>
      <c r="Q1116" s="15"/>
      <c r="R1116" s="15"/>
      <c r="S1116" s="15"/>
      <c r="T1116" s="15"/>
      <c r="U1116" s="15"/>
      <c r="V1116" s="15"/>
      <c r="W1116" s="15"/>
      <c r="X1116" s="15"/>
      <c r="Y1116" s="15"/>
      <c r="Z1116" s="15"/>
      <c r="AA1116" s="15"/>
      <c r="AB1116" s="15"/>
      <c r="AC1116" s="15"/>
      <c r="AD1116" s="15"/>
      <c r="AE1116" s="15"/>
      <c r="AF1116" s="15"/>
      <c r="AG1116" s="15"/>
      <c r="AH1116" s="15"/>
      <c r="AI1116" s="15"/>
      <c r="AJ1116" s="15"/>
      <c r="AK1116" s="15"/>
      <c r="AL1116" s="15"/>
      <c r="AM1116" s="15"/>
      <c r="AN1116" s="15"/>
      <c r="AO1116" s="15"/>
      <c r="AP1116" s="15"/>
      <c r="AQ1116" s="15"/>
      <c r="AR1116" s="15"/>
      <c r="AS1116" s="15"/>
      <c r="AT1116" s="15"/>
      <c r="AU1116" s="15"/>
      <c r="AV1116" s="15"/>
      <c r="AW1116" s="15"/>
      <c r="AX1116" s="15"/>
      <c r="AY1116" s="15"/>
      <c r="AZ1116" s="15"/>
      <c r="BA1116" s="15"/>
      <c r="BB1116" s="15"/>
      <c r="BC1116" s="15"/>
      <c r="BD1116" s="15"/>
      <c r="BE1116" s="15"/>
      <c r="BF1116" s="15"/>
      <c r="BG1116" s="15"/>
      <c r="BH1116" s="15"/>
      <c r="BI1116" s="15"/>
      <c r="BJ1116" s="15"/>
      <c r="BK1116" s="15"/>
      <c r="BL1116" s="15"/>
      <c r="BM1116" s="15"/>
      <c r="BN1116" s="15"/>
      <c r="BO1116" s="15"/>
      <c r="BP1116" s="15"/>
      <c r="BQ1116" s="15"/>
      <c r="BR1116" s="15"/>
      <c r="BS1116" s="15"/>
      <c r="BT1116" s="15"/>
      <c r="BU1116" s="15"/>
      <c r="BV1116" s="15"/>
      <c r="BW1116" s="15"/>
      <c r="BX1116" s="15"/>
      <c r="BY1116" s="15"/>
      <c r="BZ1116" s="15"/>
      <c r="CA1116" s="15"/>
      <c r="CB1116" s="15"/>
    </row>
    <row r="1117" spans="1:80" ht="12.75" hidden="1" customHeight="1">
      <c r="A1117" s="20">
        <f ca="1">IFERROR(__xludf.DUMMYFUNCTION("""COMPUTED_VALUE"""),2015)</f>
        <v>2015</v>
      </c>
      <c r="B1117" s="45">
        <f ca="1">IFERROR(__xludf.DUMMYFUNCTION("""COMPUTED_VALUE"""),42618)</f>
        <v>42618</v>
      </c>
      <c r="C1117" s="46"/>
      <c r="D1117" s="47" t="str">
        <f ca="1">IFERROR(__xludf.DUMMYFUNCTION("""COMPUTED_VALUE"""),"Caspian Gull")</f>
        <v>Caspian Gull</v>
      </c>
      <c r="E1117" s="52">
        <f ca="1">IFERROR(__xludf.DUMMYFUNCTION("""COMPUTED_VALUE"""),1)</f>
        <v>1</v>
      </c>
      <c r="F1117" s="25"/>
      <c r="G1117" s="48" t="str">
        <f ca="1">IFERROR(__xludf.DUMMYFUNCTION("""COMPUTED_VALUE"""),"North Arclid SQ")</f>
        <v>North Arclid SQ</v>
      </c>
      <c r="H1117" s="22">
        <f ca="1">IFERROR(__xludf.DUMMYFUNCTION("""COMPUTED_VALUE"""),42337)</f>
        <v>42337</v>
      </c>
      <c r="I1117" s="22">
        <f ca="1">IFERROR(__xludf.DUMMYFUNCTION("""COMPUTED_VALUE"""),42337)</f>
        <v>42337</v>
      </c>
      <c r="J1117" s="24" t="str">
        <f ca="1">IFERROR(__xludf.DUMMYFUNCTION("""COMPUTED_VALUE"""),"Arclid Sand Quarry Bird Report")</f>
        <v>Arclid Sand Quarry Bird Report</v>
      </c>
      <c r="K1117" s="25"/>
      <c r="L1117" s="27" t="str">
        <f ca="1">IFERROR(__xludf.DUMMYFUNCTION("""COMPUTED_VALUE"""),"closed")</f>
        <v>closed</v>
      </c>
      <c r="M1117" s="27" t="str">
        <f ca="1">IFERROR(__xludf.DUMMYFUNCTION("""COMPUTED_VALUE"""),"panel")</f>
        <v>panel</v>
      </c>
      <c r="N1117" s="25" t="str">
        <f ca="1">IFERROR(__xludf.DUMMYFUNCTION("""COMPUTED_VALUE"""),"accepted")</f>
        <v>accepted</v>
      </c>
      <c r="O1117" s="28" t="str">
        <f ca="1">IFERROR(__xludf.DUMMYFUNCTION("""COMPUTED_VALUE"""),"A gull believed to be of this species was noted in the company of lesser black-backs (PA – rarity report and photos have been submitted to CAWOS).")</f>
        <v>A gull believed to be of this species was noted in the company of lesser black-backs (PA – rarity report and photos have been submitted to CAWOS).</v>
      </c>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c r="AK1117" s="25"/>
      <c r="AL1117" s="25"/>
      <c r="AM1117" s="25"/>
      <c r="AN1117" s="25"/>
      <c r="AO1117" s="25"/>
      <c r="AP1117" s="25"/>
      <c r="AQ1117" s="25"/>
      <c r="AR1117" s="25"/>
      <c r="AS1117" s="25"/>
      <c r="AT1117" s="25"/>
      <c r="AU1117" s="25"/>
      <c r="AV1117" s="25"/>
      <c r="AW1117" s="25"/>
      <c r="AX1117" s="25"/>
      <c r="AY1117" s="25"/>
      <c r="AZ1117" s="25"/>
      <c r="BA1117" s="25"/>
      <c r="BB1117" s="25"/>
      <c r="BC1117" s="25"/>
      <c r="BD1117" s="25"/>
      <c r="BE1117" s="25"/>
      <c r="BF1117" s="25"/>
      <c r="BG1117" s="25"/>
      <c r="BH1117" s="25"/>
      <c r="BI1117" s="25"/>
      <c r="BJ1117" s="25"/>
      <c r="BK1117" s="25"/>
      <c r="BL1117" s="25"/>
      <c r="BM1117" s="25"/>
      <c r="BN1117" s="25"/>
      <c r="BO1117" s="25"/>
      <c r="BP1117" s="25"/>
      <c r="BQ1117" s="25"/>
      <c r="BR1117" s="25"/>
      <c r="BS1117" s="25"/>
      <c r="BT1117" s="25"/>
      <c r="BU1117" s="25"/>
      <c r="BV1117" s="25"/>
      <c r="BW1117" s="25"/>
      <c r="BX1117" s="25"/>
      <c r="BY1117" s="25"/>
      <c r="BZ1117" s="25"/>
      <c r="CA1117" s="25"/>
      <c r="CB1117" s="25"/>
    </row>
    <row r="1118" spans="1:80" ht="12.75" hidden="1" customHeight="1">
      <c r="A1118" s="10">
        <f ca="1">IFERROR(__xludf.DUMMYFUNCTION("""COMPUTED_VALUE"""),2015)</f>
        <v>2015</v>
      </c>
      <c r="B1118" s="50">
        <f ca="1">IFERROR(__xludf.DUMMYFUNCTION("""COMPUTED_VALUE"""),44568)</f>
        <v>44568</v>
      </c>
      <c r="C1118" s="41"/>
      <c r="D1118" s="42" t="str">
        <f ca="1">IFERROR(__xludf.DUMMYFUNCTION("""COMPUTED_VALUE"""),"Gull-billed Tern")</f>
        <v>Gull-billed Tern</v>
      </c>
      <c r="E1118" s="53">
        <f ca="1">IFERROR(__xludf.DUMMYFUNCTION("""COMPUTED_VALUE"""),1)</f>
        <v>1</v>
      </c>
      <c r="F1118" s="15" t="str">
        <f ca="1">IFERROR(__xludf.DUMMYFUNCTION("""COMPUTED_VALUE"""),"3rd CY+")</f>
        <v>3rd CY+</v>
      </c>
      <c r="G1118" s="44" t="str">
        <f ca="1">IFERROR(__xludf.DUMMYFUNCTION("""COMPUTED_VALUE"""),"Burton Mere Wetlands RSPB")</f>
        <v>Burton Mere Wetlands RSPB</v>
      </c>
      <c r="H1118" s="12">
        <f ca="1">IFERROR(__xludf.DUMMYFUNCTION("""COMPUTED_VALUE"""),42188)</f>
        <v>42188</v>
      </c>
      <c r="I1118" s="13"/>
      <c r="J1118" s="14"/>
      <c r="K1118" s="15"/>
      <c r="L1118" s="17" t="str">
        <f ca="1">IFERROR(__xludf.DUMMYFUNCTION("""COMPUTED_VALUE"""),"closed")</f>
        <v>closed</v>
      </c>
      <c r="M1118" s="17"/>
      <c r="N1118" s="15" t="str">
        <f ca="1">IFERROR(__xludf.DUMMYFUNCTION("""COMPUTED_VALUE"""),"BBRC-OK")</f>
        <v>BBRC-OK</v>
      </c>
      <c r="O1118" s="18" t="str">
        <f ca="1">IFERROR(__xludf.DUMMYFUNCTION("""COMPUTED_VALUE"""),"same as Ceregidion")</f>
        <v>same as Ceregidion</v>
      </c>
      <c r="P1118" s="15"/>
      <c r="Q1118" s="15"/>
      <c r="R1118" s="15"/>
      <c r="S1118" s="15"/>
      <c r="T1118" s="15"/>
      <c r="U1118" s="15"/>
      <c r="V1118" s="15"/>
      <c r="W1118" s="15"/>
      <c r="X1118" s="15"/>
      <c r="Y1118" s="15"/>
      <c r="Z1118" s="15"/>
      <c r="AA1118" s="15"/>
      <c r="AB1118" s="15"/>
      <c r="AC1118" s="15"/>
      <c r="AD1118" s="15"/>
      <c r="AE1118" s="15"/>
      <c r="AF1118" s="15"/>
      <c r="AG1118" s="15"/>
      <c r="AH1118" s="15"/>
      <c r="AI1118" s="15"/>
      <c r="AJ1118" s="15"/>
      <c r="AK1118" s="15"/>
      <c r="AL1118" s="15"/>
      <c r="AM1118" s="15"/>
      <c r="AN1118" s="15"/>
      <c r="AO1118" s="15"/>
      <c r="AP1118" s="15"/>
      <c r="AQ1118" s="15"/>
      <c r="AR1118" s="15"/>
      <c r="AS1118" s="15"/>
      <c r="AT1118" s="15"/>
      <c r="AU1118" s="15"/>
      <c r="AV1118" s="15"/>
      <c r="AW1118" s="15"/>
      <c r="AX1118" s="15"/>
      <c r="AY1118" s="15"/>
      <c r="AZ1118" s="15"/>
      <c r="BA1118" s="15"/>
      <c r="BB1118" s="15"/>
      <c r="BC1118" s="15"/>
      <c r="BD1118" s="15"/>
      <c r="BE1118" s="15"/>
      <c r="BF1118" s="15"/>
      <c r="BG1118" s="15"/>
      <c r="BH1118" s="15"/>
      <c r="BI1118" s="15"/>
      <c r="BJ1118" s="15"/>
      <c r="BK1118" s="15"/>
      <c r="BL1118" s="15"/>
      <c r="BM1118" s="15"/>
      <c r="BN1118" s="15"/>
      <c r="BO1118" s="15"/>
      <c r="BP1118" s="15"/>
      <c r="BQ1118" s="15"/>
      <c r="BR1118" s="15"/>
      <c r="BS1118" s="15"/>
      <c r="BT1118" s="15"/>
      <c r="BU1118" s="15"/>
      <c r="BV1118" s="15"/>
      <c r="BW1118" s="15"/>
      <c r="BX1118" s="15"/>
      <c r="BY1118" s="15"/>
      <c r="BZ1118" s="15"/>
      <c r="CA1118" s="15"/>
      <c r="CB1118" s="15"/>
    </row>
    <row r="1119" spans="1:80" ht="12.75" hidden="1" customHeight="1">
      <c r="A1119" s="20">
        <f ca="1">IFERROR(__xludf.DUMMYFUNCTION("""COMPUTED_VALUE"""),2015)</f>
        <v>2015</v>
      </c>
      <c r="B1119" s="45">
        <f ca="1">IFERROR(__xludf.DUMMYFUNCTION("""COMPUTED_VALUE"""),44568)</f>
        <v>44568</v>
      </c>
      <c r="C1119" s="46"/>
      <c r="D1119" s="47" t="str">
        <f ca="1">IFERROR(__xludf.DUMMYFUNCTION("""COMPUTED_VALUE"""),"Gull-billed Tern")</f>
        <v>Gull-billed Tern</v>
      </c>
      <c r="E1119" s="52">
        <f ca="1">IFERROR(__xludf.DUMMYFUNCTION("""COMPUTED_VALUE"""),1)</f>
        <v>1</v>
      </c>
      <c r="F1119" s="25" t="str">
        <f ca="1">IFERROR(__xludf.DUMMYFUNCTION("""COMPUTED_VALUE"""),"3rd CY+")</f>
        <v>3rd CY+</v>
      </c>
      <c r="G1119" s="48" t="str">
        <f ca="1">IFERROR(__xludf.DUMMYFUNCTION("""COMPUTED_VALUE"""),"Thurstaston")</f>
        <v>Thurstaston</v>
      </c>
      <c r="H1119" s="22">
        <f ca="1">IFERROR(__xludf.DUMMYFUNCTION("""COMPUTED_VALUE"""),42188)</f>
        <v>42188</v>
      </c>
      <c r="I1119" s="22">
        <f ca="1">IFERROR(__xludf.DUMMYFUNCTION("""COMPUTED_VALUE"""),43653)</f>
        <v>43653</v>
      </c>
      <c r="J1119" s="24"/>
      <c r="K1119" s="25"/>
      <c r="L1119" s="27" t="str">
        <f ca="1">IFERROR(__xludf.DUMMYFUNCTION("""COMPUTED_VALUE"""),"closed")</f>
        <v>closed</v>
      </c>
      <c r="M1119" s="27"/>
      <c r="N1119" s="25" t="str">
        <f ca="1">IFERROR(__xludf.DUMMYFUNCTION("""COMPUTED_VALUE"""),"BBRC-OK")</f>
        <v>BBRC-OK</v>
      </c>
      <c r="O1119" s="28" t="str">
        <f ca="1">IFERROR(__xludf.DUMMYFUNCTION("""COMPUTED_VALUE"""),"photo")</f>
        <v>photo</v>
      </c>
      <c r="P1119" s="25"/>
      <c r="Q1119" s="25"/>
      <c r="R1119" s="25"/>
      <c r="S1119" s="25"/>
      <c r="T1119" s="25"/>
      <c r="U1119" s="25"/>
      <c r="V1119" s="25"/>
      <c r="W1119" s="25"/>
      <c r="X1119" s="25"/>
      <c r="Y1119" s="25"/>
      <c r="Z1119" s="25"/>
      <c r="AA1119" s="25"/>
      <c r="AB1119" s="25"/>
      <c r="AC1119" s="25"/>
      <c r="AD1119" s="25"/>
      <c r="AE1119" s="25"/>
      <c r="AF1119" s="25"/>
      <c r="AG1119" s="25"/>
      <c r="AH1119" s="25"/>
      <c r="AI1119" s="25"/>
      <c r="AJ1119" s="25"/>
      <c r="AK1119" s="25"/>
      <c r="AL1119" s="25"/>
      <c r="AM1119" s="25"/>
      <c r="AN1119" s="25"/>
      <c r="AO1119" s="25"/>
      <c r="AP1119" s="25"/>
      <c r="AQ1119" s="25"/>
      <c r="AR1119" s="25"/>
      <c r="AS1119" s="25"/>
      <c r="AT1119" s="25"/>
      <c r="AU1119" s="25"/>
      <c r="AV1119" s="25"/>
      <c r="AW1119" s="25"/>
      <c r="AX1119" s="25"/>
      <c r="AY1119" s="25"/>
      <c r="AZ1119" s="25"/>
      <c r="BA1119" s="25"/>
      <c r="BB1119" s="25"/>
      <c r="BC1119" s="25"/>
      <c r="BD1119" s="25"/>
      <c r="BE1119" s="25"/>
      <c r="BF1119" s="25"/>
      <c r="BG1119" s="25"/>
      <c r="BH1119" s="25"/>
      <c r="BI1119" s="25"/>
      <c r="BJ1119" s="25"/>
      <c r="BK1119" s="25"/>
      <c r="BL1119" s="25"/>
      <c r="BM1119" s="25"/>
      <c r="BN1119" s="25"/>
      <c r="BO1119" s="25"/>
      <c r="BP1119" s="25"/>
      <c r="BQ1119" s="25"/>
      <c r="BR1119" s="25"/>
      <c r="BS1119" s="25"/>
      <c r="BT1119" s="25"/>
      <c r="BU1119" s="25"/>
      <c r="BV1119" s="25"/>
      <c r="BW1119" s="25"/>
      <c r="BX1119" s="25"/>
      <c r="BY1119" s="25"/>
      <c r="BZ1119" s="25"/>
      <c r="CA1119" s="25"/>
      <c r="CB1119" s="25"/>
    </row>
    <row r="1120" spans="1:80" ht="12.75" hidden="1" customHeight="1">
      <c r="A1120" s="10">
        <f ca="1">IFERROR(__xludf.DUMMYFUNCTION("""COMPUTED_VALUE"""),2015)</f>
        <v>2015</v>
      </c>
      <c r="B1120" s="50">
        <f ca="1">IFERROR(__xludf.DUMMYFUNCTION("""COMPUTED_VALUE"""),42618)</f>
        <v>42618</v>
      </c>
      <c r="C1120" s="41"/>
      <c r="D1120" s="42" t="str">
        <f ca="1">IFERROR(__xludf.DUMMYFUNCTION("""COMPUTED_VALUE"""),"Black-throated Diver")</f>
        <v>Black-throated Diver</v>
      </c>
      <c r="E1120" s="53">
        <f ca="1">IFERROR(__xludf.DUMMYFUNCTION("""COMPUTED_VALUE"""),1)</f>
        <v>1</v>
      </c>
      <c r="F1120" s="15"/>
      <c r="G1120" s="44" t="str">
        <f ca="1">IFERROR(__xludf.DUMMYFUNCTION("""COMPUTED_VALUE"""),"Hilbre")</f>
        <v>Hilbre</v>
      </c>
      <c r="H1120" s="12">
        <f ca="1">IFERROR(__xludf.DUMMYFUNCTION("""COMPUTED_VALUE"""),42042)</f>
        <v>42042</v>
      </c>
      <c r="I1120" s="12">
        <f ca="1">IFERROR(__xludf.DUMMYFUNCTION("""COMPUTED_VALUE"""),42042)</f>
        <v>42042</v>
      </c>
      <c r="J1120" s="14" t="str">
        <f ca="1">IFERROR(__xludf.DUMMYFUNCTION("""COMPUTED_VALUE"""),"Hilbre Bird Observatory")</f>
        <v>Hilbre Bird Observatory</v>
      </c>
      <c r="K1120" s="15"/>
      <c r="L1120" s="17" t="str">
        <f ca="1">IFERROR(__xludf.DUMMYFUNCTION("""COMPUTED_VALUE"""),"closed")</f>
        <v>closed</v>
      </c>
      <c r="M1120" s="17" t="str">
        <f ca="1">IFERROR(__xludf.DUMMYFUNCTION("""COMPUTED_VALUE"""),"proxy")</f>
        <v>proxy</v>
      </c>
      <c r="N1120" s="15" t="str">
        <f ca="1">IFERROR(__xludf.DUMMYFUNCTION("""COMPUTED_VALUE"""),"accepted")</f>
        <v>accepted</v>
      </c>
      <c r="O1120" s="18"/>
      <c r="P1120" s="15"/>
      <c r="Q1120" s="15"/>
      <c r="R1120" s="15"/>
      <c r="S1120" s="15"/>
      <c r="T1120" s="15"/>
      <c r="U1120" s="15"/>
      <c r="V1120" s="15"/>
      <c r="W1120" s="15"/>
      <c r="X1120" s="15"/>
      <c r="Y1120" s="15"/>
      <c r="Z1120" s="15"/>
      <c r="AA1120" s="15"/>
      <c r="AB1120" s="15"/>
      <c r="AC1120" s="15"/>
      <c r="AD1120" s="15"/>
      <c r="AE1120" s="15"/>
      <c r="AF1120" s="15"/>
      <c r="AG1120" s="15"/>
      <c r="AH1120" s="15"/>
      <c r="AI1120" s="15"/>
      <c r="AJ1120" s="15"/>
      <c r="AK1120" s="15"/>
      <c r="AL1120" s="15"/>
      <c r="AM1120" s="15"/>
      <c r="AN1120" s="15"/>
      <c r="AO1120" s="15"/>
      <c r="AP1120" s="15"/>
      <c r="AQ1120" s="15"/>
      <c r="AR1120" s="15"/>
      <c r="AS1120" s="15"/>
      <c r="AT1120" s="15"/>
      <c r="AU1120" s="15"/>
      <c r="AV1120" s="15"/>
      <c r="AW1120" s="15"/>
      <c r="AX1120" s="15"/>
      <c r="AY1120" s="15"/>
      <c r="AZ1120" s="15"/>
      <c r="BA1120" s="15"/>
      <c r="BB1120" s="15"/>
      <c r="BC1120" s="15"/>
      <c r="BD1120" s="15"/>
      <c r="BE1120" s="15"/>
      <c r="BF1120" s="15"/>
      <c r="BG1120" s="15"/>
      <c r="BH1120" s="15"/>
      <c r="BI1120" s="15"/>
      <c r="BJ1120" s="15"/>
      <c r="BK1120" s="15"/>
      <c r="BL1120" s="15"/>
      <c r="BM1120" s="15"/>
      <c r="BN1120" s="15"/>
      <c r="BO1120" s="15"/>
      <c r="BP1120" s="15"/>
      <c r="BQ1120" s="15"/>
      <c r="BR1120" s="15"/>
      <c r="BS1120" s="15"/>
      <c r="BT1120" s="15"/>
      <c r="BU1120" s="15"/>
      <c r="BV1120" s="15"/>
      <c r="BW1120" s="15"/>
      <c r="BX1120" s="15"/>
      <c r="BY1120" s="15"/>
      <c r="BZ1120" s="15"/>
      <c r="CA1120" s="15"/>
      <c r="CB1120" s="15"/>
    </row>
    <row r="1121" spans="1:80" ht="12.75" hidden="1" customHeight="1">
      <c r="A1121" s="20">
        <f ca="1">IFERROR(__xludf.DUMMYFUNCTION("""COMPUTED_VALUE"""),2015)</f>
        <v>2015</v>
      </c>
      <c r="B1121" s="45">
        <f ca="1">IFERROR(__xludf.DUMMYFUNCTION("""COMPUTED_VALUE"""),42618)</f>
        <v>42618</v>
      </c>
      <c r="C1121" s="46">
        <f ca="1">IFERROR(__xludf.DUMMYFUNCTION("""COMPUTED_VALUE"""),42674)</f>
        <v>42674</v>
      </c>
      <c r="D1121" s="47" t="str">
        <f ca="1">IFERROR(__xludf.DUMMYFUNCTION("""COMPUTED_VALUE"""),"Black-throated Diver")</f>
        <v>Black-throated Diver</v>
      </c>
      <c r="E1121" s="52">
        <f ca="1">IFERROR(__xludf.DUMMYFUNCTION("""COMPUTED_VALUE"""),1)</f>
        <v>1</v>
      </c>
      <c r="F1121" s="25"/>
      <c r="G1121" s="48" t="str">
        <f ca="1">IFERROR(__xludf.DUMMYFUNCTION("""COMPUTED_VALUE"""),"Hoylake")</f>
        <v>Hoylake</v>
      </c>
      <c r="H1121" s="22">
        <f ca="1">IFERROR(__xludf.DUMMYFUNCTION("""COMPUTED_VALUE"""),42042)</f>
        <v>42042</v>
      </c>
      <c r="I1121" s="22">
        <f ca="1">IFERROR(__xludf.DUMMYFUNCTION("""COMPUTED_VALUE"""),42042)</f>
        <v>42042</v>
      </c>
      <c r="J1121" s="24" t="str">
        <f ca="1">IFERROR(__xludf.DUMMYFUNCTION("""COMPUTED_VALUE"""),"Turner, JE")</f>
        <v>Turner, JE</v>
      </c>
      <c r="K1121" s="25" t="str">
        <f ca="1">IFERROR(__xludf.DUMMYFUNCTION("""COMPUTED_VALUE"""),"Turner, JE")</f>
        <v>Turner, JE</v>
      </c>
      <c r="L1121" s="27" t="str">
        <f ca="1">IFERROR(__xludf.DUMMYFUNCTION("""COMPUTED_VALUE"""),"closed")</f>
        <v>closed</v>
      </c>
      <c r="M1121" s="27" t="str">
        <f ca="1">IFERROR(__xludf.DUMMYFUNCTION("""COMPUTED_VALUE"""),"1st U")</f>
        <v>1st U</v>
      </c>
      <c r="N1121" s="25" t="str">
        <f ca="1">IFERROR(__xludf.DUMMYFUNCTION("""COMPUTED_VALUE"""),"accepted")</f>
        <v>accepted</v>
      </c>
      <c r="O1121" s="28"/>
      <c r="P1121" s="25"/>
      <c r="Q1121" s="25"/>
      <c r="R1121" s="25"/>
      <c r="S1121" s="25"/>
      <c r="T1121" s="25"/>
      <c r="U1121" s="25"/>
      <c r="V1121" s="25"/>
      <c r="W1121" s="25"/>
      <c r="X1121" s="25"/>
      <c r="Y1121" s="25"/>
      <c r="Z1121" s="25"/>
      <c r="AA1121" s="25"/>
      <c r="AB1121" s="25"/>
      <c r="AC1121" s="25"/>
      <c r="AD1121" s="25"/>
      <c r="AE1121" s="25"/>
      <c r="AF1121" s="25"/>
      <c r="AG1121" s="25"/>
      <c r="AH1121" s="25"/>
      <c r="AI1121" s="25"/>
      <c r="AJ1121" s="25"/>
      <c r="AK1121" s="25"/>
      <c r="AL1121" s="25"/>
      <c r="AM1121" s="25"/>
      <c r="AN1121" s="25"/>
      <c r="AO1121" s="25"/>
      <c r="AP1121" s="25"/>
      <c r="AQ1121" s="25"/>
      <c r="AR1121" s="25"/>
      <c r="AS1121" s="25"/>
      <c r="AT1121" s="25"/>
      <c r="AU1121" s="25"/>
      <c r="AV1121" s="25"/>
      <c r="AW1121" s="25"/>
      <c r="AX1121" s="25"/>
      <c r="AY1121" s="25"/>
      <c r="AZ1121" s="25"/>
      <c r="BA1121" s="25"/>
      <c r="BB1121" s="25"/>
      <c r="BC1121" s="25"/>
      <c r="BD1121" s="25"/>
      <c r="BE1121" s="25"/>
      <c r="BF1121" s="25"/>
      <c r="BG1121" s="25"/>
      <c r="BH1121" s="25"/>
      <c r="BI1121" s="25"/>
      <c r="BJ1121" s="25"/>
      <c r="BK1121" s="25"/>
      <c r="BL1121" s="25"/>
      <c r="BM1121" s="25"/>
      <c r="BN1121" s="25"/>
      <c r="BO1121" s="25"/>
      <c r="BP1121" s="25"/>
      <c r="BQ1121" s="25"/>
      <c r="BR1121" s="25"/>
      <c r="BS1121" s="25"/>
      <c r="BT1121" s="25"/>
      <c r="BU1121" s="25"/>
      <c r="BV1121" s="25"/>
      <c r="BW1121" s="25"/>
      <c r="BX1121" s="25"/>
      <c r="BY1121" s="25"/>
      <c r="BZ1121" s="25"/>
      <c r="CA1121" s="25"/>
      <c r="CB1121" s="25"/>
    </row>
    <row r="1122" spans="1:80" ht="12.75" hidden="1" customHeight="1">
      <c r="A1122" s="10">
        <f ca="1">IFERROR(__xludf.DUMMYFUNCTION("""COMPUTED_VALUE"""),2015)</f>
        <v>2015</v>
      </c>
      <c r="B1122" s="50">
        <f ca="1">IFERROR(__xludf.DUMMYFUNCTION("""COMPUTED_VALUE"""),42618)</f>
        <v>42618</v>
      </c>
      <c r="C1122" s="41"/>
      <c r="D1122" s="42" t="str">
        <f ca="1">IFERROR(__xludf.DUMMYFUNCTION("""COMPUTED_VALUE"""),"Black-throated Diver")</f>
        <v>Black-throated Diver</v>
      </c>
      <c r="E1122" s="53">
        <f ca="1">IFERROR(__xludf.DUMMYFUNCTION("""COMPUTED_VALUE"""),1)</f>
        <v>1</v>
      </c>
      <c r="F1122" s="15"/>
      <c r="G1122" s="44" t="str">
        <f ca="1">IFERROR(__xludf.DUMMYFUNCTION("""COMPUTED_VALUE"""),"Hilbre")</f>
        <v>Hilbre</v>
      </c>
      <c r="H1122" s="12">
        <f ca="1">IFERROR(__xludf.DUMMYFUNCTION("""COMPUTED_VALUE"""),42097)</f>
        <v>42097</v>
      </c>
      <c r="I1122" s="12">
        <f ca="1">IFERROR(__xludf.DUMMYFUNCTION("""COMPUTED_VALUE"""),42097)</f>
        <v>42097</v>
      </c>
      <c r="J1122" s="14" t="str">
        <f ca="1">IFERROR(__xludf.DUMMYFUNCTION("""COMPUTED_VALUE"""),"Hilbre Bird Observatory")</f>
        <v>Hilbre Bird Observatory</v>
      </c>
      <c r="K1122" s="15"/>
      <c r="L1122" s="17" t="str">
        <f ca="1">IFERROR(__xludf.DUMMYFUNCTION("""COMPUTED_VALUE"""),"closed")</f>
        <v>closed</v>
      </c>
      <c r="M1122" s="17" t="str">
        <f ca="1">IFERROR(__xludf.DUMMYFUNCTION("""COMPUTED_VALUE"""),"proxy")</f>
        <v>proxy</v>
      </c>
      <c r="N1122" s="15" t="str">
        <f ca="1">IFERROR(__xludf.DUMMYFUNCTION("""COMPUTED_VALUE"""),"accepted")</f>
        <v>accepted</v>
      </c>
      <c r="O1122" s="18" t="str">
        <f ca="1">IFERROR(__xludf.DUMMYFUNCTION("""COMPUTED_VALUE"""),"1 wp")</f>
        <v>1 wp</v>
      </c>
      <c r="P1122" s="15"/>
      <c r="Q1122" s="15"/>
      <c r="R1122" s="15"/>
      <c r="S1122" s="15"/>
      <c r="T1122" s="15"/>
      <c r="U1122" s="15"/>
      <c r="V1122" s="15"/>
      <c r="W1122" s="15"/>
      <c r="X1122" s="15"/>
      <c r="Y1122" s="15"/>
      <c r="Z1122" s="15"/>
      <c r="AA1122" s="15"/>
      <c r="AB1122" s="15"/>
      <c r="AC1122" s="15"/>
      <c r="AD1122" s="15"/>
      <c r="AE1122" s="15"/>
      <c r="AF1122" s="15"/>
      <c r="AG1122" s="15"/>
      <c r="AH1122" s="15"/>
      <c r="AI1122" s="15"/>
      <c r="AJ1122" s="15"/>
      <c r="AK1122" s="15"/>
      <c r="AL1122" s="15"/>
      <c r="AM1122" s="15"/>
      <c r="AN1122" s="15"/>
      <c r="AO1122" s="15"/>
      <c r="AP1122" s="15"/>
      <c r="AQ1122" s="15"/>
      <c r="AR1122" s="15"/>
      <c r="AS1122" s="15"/>
      <c r="AT1122" s="15"/>
      <c r="AU1122" s="15"/>
      <c r="AV1122" s="15"/>
      <c r="AW1122" s="15"/>
      <c r="AX1122" s="15"/>
      <c r="AY1122" s="15"/>
      <c r="AZ1122" s="15"/>
      <c r="BA1122" s="15"/>
      <c r="BB1122" s="15"/>
      <c r="BC1122" s="15"/>
      <c r="BD1122" s="15"/>
      <c r="BE1122" s="15"/>
      <c r="BF1122" s="15"/>
      <c r="BG1122" s="15"/>
      <c r="BH1122" s="15"/>
      <c r="BI1122" s="15"/>
      <c r="BJ1122" s="15"/>
      <c r="BK1122" s="15"/>
      <c r="BL1122" s="15"/>
      <c r="BM1122" s="15"/>
      <c r="BN1122" s="15"/>
      <c r="BO1122" s="15"/>
      <c r="BP1122" s="15"/>
      <c r="BQ1122" s="15"/>
      <c r="BR1122" s="15"/>
      <c r="BS1122" s="15"/>
      <c r="BT1122" s="15"/>
      <c r="BU1122" s="15"/>
      <c r="BV1122" s="15"/>
      <c r="BW1122" s="15"/>
      <c r="BX1122" s="15"/>
      <c r="BY1122" s="15"/>
      <c r="BZ1122" s="15"/>
      <c r="CA1122" s="15"/>
      <c r="CB1122" s="15"/>
    </row>
    <row r="1123" spans="1:80" ht="12.75" hidden="1" customHeight="1">
      <c r="A1123" s="20">
        <f ca="1">IFERROR(__xludf.DUMMYFUNCTION("""COMPUTED_VALUE"""),2015)</f>
        <v>2015</v>
      </c>
      <c r="B1123" s="45">
        <f ca="1">IFERROR(__xludf.DUMMYFUNCTION("""COMPUTED_VALUE"""),42618)</f>
        <v>42618</v>
      </c>
      <c r="C1123" s="46">
        <f ca="1">IFERROR(__xludf.DUMMYFUNCTION("""COMPUTED_VALUE"""),42674)</f>
        <v>42674</v>
      </c>
      <c r="D1123" s="47" t="str">
        <f ca="1">IFERROR(__xludf.DUMMYFUNCTION("""COMPUTED_VALUE"""),"Black-throated Diver")</f>
        <v>Black-throated Diver</v>
      </c>
      <c r="E1123" s="52">
        <f ca="1">IFERROR(__xludf.DUMMYFUNCTION("""COMPUTED_VALUE"""),1)</f>
        <v>1</v>
      </c>
      <c r="F1123" s="25"/>
      <c r="G1123" s="48" t="str">
        <f ca="1">IFERROR(__xludf.DUMMYFUNCTION("""COMPUTED_VALUE"""),"Red Rocks, Hoylake")</f>
        <v>Red Rocks, Hoylake</v>
      </c>
      <c r="H1123" s="22">
        <f ca="1">IFERROR(__xludf.DUMMYFUNCTION("""COMPUTED_VALUE"""),42099)</f>
        <v>42099</v>
      </c>
      <c r="I1123" s="22">
        <f ca="1">IFERROR(__xludf.DUMMYFUNCTION("""COMPUTED_VALUE"""),42099)</f>
        <v>42099</v>
      </c>
      <c r="J1123" s="24" t="str">
        <f ca="1">IFERROR(__xludf.DUMMYFUNCTION("""COMPUTED_VALUE"""),"Turner, JE")</f>
        <v>Turner, JE</v>
      </c>
      <c r="K1123" s="25" t="str">
        <f ca="1">IFERROR(__xludf.DUMMYFUNCTION("""COMPUTED_VALUE"""),"Turner, JE")</f>
        <v>Turner, JE</v>
      </c>
      <c r="L1123" s="27" t="str">
        <f ca="1">IFERROR(__xludf.DUMMYFUNCTION("""COMPUTED_VALUE"""),"closed")</f>
        <v>closed</v>
      </c>
      <c r="M1123" s="27" t="str">
        <f ca="1">IFERROR(__xludf.DUMMYFUNCTION("""COMPUTED_VALUE"""),"1st U")</f>
        <v>1st U</v>
      </c>
      <c r="N1123" s="25" t="str">
        <f ca="1">IFERROR(__xludf.DUMMYFUNCTION("""COMPUTED_VALUE"""),"accepted")</f>
        <v>accepted</v>
      </c>
      <c r="O1123" s="28"/>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c r="AK1123" s="25"/>
      <c r="AL1123" s="25"/>
      <c r="AM1123" s="25"/>
      <c r="AN1123" s="25"/>
      <c r="AO1123" s="25"/>
      <c r="AP1123" s="25"/>
      <c r="AQ1123" s="25"/>
      <c r="AR1123" s="25"/>
      <c r="AS1123" s="25"/>
      <c r="AT1123" s="25"/>
      <c r="AU1123" s="25"/>
      <c r="AV1123" s="25"/>
      <c r="AW1123" s="25"/>
      <c r="AX1123" s="25"/>
      <c r="AY1123" s="25"/>
      <c r="AZ1123" s="25"/>
      <c r="BA1123" s="25"/>
      <c r="BB1123" s="25"/>
      <c r="BC1123" s="25"/>
      <c r="BD1123" s="25"/>
      <c r="BE1123" s="25"/>
      <c r="BF1123" s="25"/>
      <c r="BG1123" s="25"/>
      <c r="BH1123" s="25"/>
      <c r="BI1123" s="25"/>
      <c r="BJ1123" s="25"/>
      <c r="BK1123" s="25"/>
      <c r="BL1123" s="25"/>
      <c r="BM1123" s="25"/>
      <c r="BN1123" s="25"/>
      <c r="BO1123" s="25"/>
      <c r="BP1123" s="25"/>
      <c r="BQ1123" s="25"/>
      <c r="BR1123" s="25"/>
      <c r="BS1123" s="25"/>
      <c r="BT1123" s="25"/>
      <c r="BU1123" s="25"/>
      <c r="BV1123" s="25"/>
      <c r="BW1123" s="25"/>
      <c r="BX1123" s="25"/>
      <c r="BY1123" s="25"/>
      <c r="BZ1123" s="25"/>
      <c r="CA1123" s="25"/>
      <c r="CB1123" s="25"/>
    </row>
    <row r="1124" spans="1:80" ht="12.75" hidden="1" customHeight="1">
      <c r="A1124" s="10">
        <f ca="1">IFERROR(__xludf.DUMMYFUNCTION("""COMPUTED_VALUE"""),2015)</f>
        <v>2015</v>
      </c>
      <c r="B1124" s="50">
        <f ca="1">IFERROR(__xludf.DUMMYFUNCTION("""COMPUTED_VALUE"""),42618)</f>
        <v>42618</v>
      </c>
      <c r="C1124" s="41">
        <f ca="1">IFERROR(__xludf.DUMMYFUNCTION("""COMPUTED_VALUE"""),42674)</f>
        <v>42674</v>
      </c>
      <c r="D1124" s="42" t="str">
        <f ca="1">IFERROR(__xludf.DUMMYFUNCTION("""COMPUTED_VALUE"""),"Black-throated Diver")</f>
        <v>Black-throated Diver</v>
      </c>
      <c r="E1124" s="53">
        <f ca="1">IFERROR(__xludf.DUMMYFUNCTION("""COMPUTED_VALUE"""),1)</f>
        <v>1</v>
      </c>
      <c r="F1124" s="15"/>
      <c r="G1124" s="44" t="str">
        <f ca="1">IFERROR(__xludf.DUMMYFUNCTION("""COMPUTED_VALUE"""),"Hoylake")</f>
        <v>Hoylake</v>
      </c>
      <c r="H1124" s="12">
        <f ca="1">IFERROR(__xludf.DUMMYFUNCTION("""COMPUTED_VALUE"""),42107)</f>
        <v>42107</v>
      </c>
      <c r="I1124" s="12">
        <f ca="1">IFERROR(__xludf.DUMMYFUNCTION("""COMPUTED_VALUE"""),42107)</f>
        <v>42107</v>
      </c>
      <c r="J1124" s="14" t="str">
        <f ca="1">IFERROR(__xludf.DUMMYFUNCTION("""COMPUTED_VALUE"""),"Turner, JE")</f>
        <v>Turner, JE</v>
      </c>
      <c r="K1124" s="15" t="str">
        <f ca="1">IFERROR(__xludf.DUMMYFUNCTION("""COMPUTED_VALUE"""),"Turner, JE")</f>
        <v>Turner, JE</v>
      </c>
      <c r="L1124" s="17" t="str">
        <f ca="1">IFERROR(__xludf.DUMMYFUNCTION("""COMPUTED_VALUE"""),"closed")</f>
        <v>closed</v>
      </c>
      <c r="M1124" s="17" t="str">
        <f ca="1">IFERROR(__xludf.DUMMYFUNCTION("""COMPUTED_VALUE"""),"1st U")</f>
        <v>1st U</v>
      </c>
      <c r="N1124" s="15" t="str">
        <f ca="1">IFERROR(__xludf.DUMMYFUNCTION("""COMPUTED_VALUE"""),"accepted")</f>
        <v>accepted</v>
      </c>
      <c r="O1124" s="18"/>
      <c r="P1124" s="15"/>
      <c r="Q1124" s="15"/>
      <c r="R1124" s="15"/>
      <c r="S1124" s="15"/>
      <c r="T1124" s="15"/>
      <c r="U1124" s="15"/>
      <c r="V1124" s="15"/>
      <c r="W1124" s="15"/>
      <c r="X1124" s="15"/>
      <c r="Y1124" s="15"/>
      <c r="Z1124" s="15"/>
      <c r="AA1124" s="15"/>
      <c r="AB1124" s="15"/>
      <c r="AC1124" s="15"/>
      <c r="AD1124" s="15"/>
      <c r="AE1124" s="15"/>
      <c r="AF1124" s="15"/>
      <c r="AG1124" s="15"/>
      <c r="AH1124" s="15"/>
      <c r="AI1124" s="15"/>
      <c r="AJ1124" s="15"/>
      <c r="AK1124" s="15"/>
      <c r="AL1124" s="15"/>
      <c r="AM1124" s="15"/>
      <c r="AN1124" s="15"/>
      <c r="AO1124" s="15"/>
      <c r="AP1124" s="15"/>
      <c r="AQ1124" s="15"/>
      <c r="AR1124" s="15"/>
      <c r="AS1124" s="15"/>
      <c r="AT1124" s="15"/>
      <c r="AU1124" s="15"/>
      <c r="AV1124" s="15"/>
      <c r="AW1124" s="15"/>
      <c r="AX1124" s="15"/>
      <c r="AY1124" s="15"/>
      <c r="AZ1124" s="15"/>
      <c r="BA1124" s="15"/>
      <c r="BB1124" s="15"/>
      <c r="BC1124" s="15"/>
      <c r="BD1124" s="15"/>
      <c r="BE1124" s="15"/>
      <c r="BF1124" s="15"/>
      <c r="BG1124" s="15"/>
      <c r="BH1124" s="15"/>
      <c r="BI1124" s="15"/>
      <c r="BJ1124" s="15"/>
      <c r="BK1124" s="15"/>
      <c r="BL1124" s="15"/>
      <c r="BM1124" s="15"/>
      <c r="BN1124" s="15"/>
      <c r="BO1124" s="15"/>
      <c r="BP1124" s="15"/>
      <c r="BQ1124" s="15"/>
      <c r="BR1124" s="15"/>
      <c r="BS1124" s="15"/>
      <c r="BT1124" s="15"/>
      <c r="BU1124" s="15"/>
      <c r="BV1124" s="15"/>
      <c r="BW1124" s="15"/>
      <c r="BX1124" s="15"/>
      <c r="BY1124" s="15"/>
      <c r="BZ1124" s="15"/>
      <c r="CA1124" s="15"/>
      <c r="CB1124" s="15"/>
    </row>
    <row r="1125" spans="1:80" ht="12.75" hidden="1" customHeight="1">
      <c r="A1125" s="20">
        <f ca="1">IFERROR(__xludf.DUMMYFUNCTION("""COMPUTED_VALUE"""),2015)</f>
        <v>2015</v>
      </c>
      <c r="B1125" s="45">
        <f ca="1">IFERROR(__xludf.DUMMYFUNCTION("""COMPUTED_VALUE"""),42618)</f>
        <v>42618</v>
      </c>
      <c r="C1125" s="46">
        <f ca="1">IFERROR(__xludf.DUMMYFUNCTION("""COMPUTED_VALUE"""),42674)</f>
        <v>42674</v>
      </c>
      <c r="D1125" s="47" t="str">
        <f ca="1">IFERROR(__xludf.DUMMYFUNCTION("""COMPUTED_VALUE"""),"Black-throated Diver")</f>
        <v>Black-throated Diver</v>
      </c>
      <c r="E1125" s="52">
        <f ca="1">IFERROR(__xludf.DUMMYFUNCTION("""COMPUTED_VALUE"""),1)</f>
        <v>1</v>
      </c>
      <c r="F1125" s="25"/>
      <c r="G1125" s="48" t="str">
        <f ca="1">IFERROR(__xludf.DUMMYFUNCTION("""COMPUTED_VALUE"""),"Hoylake")</f>
        <v>Hoylake</v>
      </c>
      <c r="H1125" s="22">
        <f ca="1">IFERROR(__xludf.DUMMYFUNCTION("""COMPUTED_VALUE"""),42108)</f>
        <v>42108</v>
      </c>
      <c r="I1125" s="22">
        <f ca="1">IFERROR(__xludf.DUMMYFUNCTION("""COMPUTED_VALUE"""),42108)</f>
        <v>42108</v>
      </c>
      <c r="J1125" s="24" t="str">
        <f ca="1">IFERROR(__xludf.DUMMYFUNCTION("""COMPUTED_VALUE"""),"Turner, JE")</f>
        <v>Turner, JE</v>
      </c>
      <c r="K1125" s="25" t="str">
        <f ca="1">IFERROR(__xludf.DUMMYFUNCTION("""COMPUTED_VALUE"""),"Turner, JE")</f>
        <v>Turner, JE</v>
      </c>
      <c r="L1125" s="27" t="str">
        <f ca="1">IFERROR(__xludf.DUMMYFUNCTION("""COMPUTED_VALUE"""),"closed")</f>
        <v>closed</v>
      </c>
      <c r="M1125" s="27" t="str">
        <f ca="1">IFERROR(__xludf.DUMMYFUNCTION("""COMPUTED_VALUE"""),"1st U")</f>
        <v>1st U</v>
      </c>
      <c r="N1125" s="25" t="str">
        <f ca="1">IFERROR(__xludf.DUMMYFUNCTION("""COMPUTED_VALUE"""),"accepted")</f>
        <v>accepted</v>
      </c>
      <c r="O1125" s="28"/>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c r="AK1125" s="25"/>
      <c r="AL1125" s="25"/>
      <c r="AM1125" s="25"/>
      <c r="AN1125" s="25"/>
      <c r="AO1125" s="25"/>
      <c r="AP1125" s="25"/>
      <c r="AQ1125" s="25"/>
      <c r="AR1125" s="25"/>
      <c r="AS1125" s="25"/>
      <c r="AT1125" s="25"/>
      <c r="AU1125" s="25"/>
      <c r="AV1125" s="25"/>
      <c r="AW1125" s="25"/>
      <c r="AX1125" s="25"/>
      <c r="AY1125" s="25"/>
      <c r="AZ1125" s="25"/>
      <c r="BA1125" s="25"/>
      <c r="BB1125" s="25"/>
      <c r="BC1125" s="25"/>
      <c r="BD1125" s="25"/>
      <c r="BE1125" s="25"/>
      <c r="BF1125" s="25"/>
      <c r="BG1125" s="25"/>
      <c r="BH1125" s="25"/>
      <c r="BI1125" s="25"/>
      <c r="BJ1125" s="25"/>
      <c r="BK1125" s="25"/>
      <c r="BL1125" s="25"/>
      <c r="BM1125" s="25"/>
      <c r="BN1125" s="25"/>
      <c r="BO1125" s="25"/>
      <c r="BP1125" s="25"/>
      <c r="BQ1125" s="25"/>
      <c r="BR1125" s="25"/>
      <c r="BS1125" s="25"/>
      <c r="BT1125" s="25"/>
      <c r="BU1125" s="25"/>
      <c r="BV1125" s="25"/>
      <c r="BW1125" s="25"/>
      <c r="BX1125" s="25"/>
      <c r="BY1125" s="25"/>
      <c r="BZ1125" s="25"/>
      <c r="CA1125" s="25"/>
      <c r="CB1125" s="25"/>
    </row>
    <row r="1126" spans="1:80" ht="12.75" hidden="1" customHeight="1">
      <c r="A1126" s="10">
        <f ca="1">IFERROR(__xludf.DUMMYFUNCTION("""COMPUTED_VALUE"""),2015)</f>
        <v>2015</v>
      </c>
      <c r="B1126" s="50">
        <f ca="1">IFERROR(__xludf.DUMMYFUNCTION("""COMPUTED_VALUE"""),42618)</f>
        <v>42618</v>
      </c>
      <c r="C1126" s="41"/>
      <c r="D1126" s="42" t="str">
        <f ca="1">IFERROR(__xludf.DUMMYFUNCTION("""COMPUTED_VALUE"""),"Black-throated Diver")</f>
        <v>Black-throated Diver</v>
      </c>
      <c r="E1126" s="53">
        <f ca="1">IFERROR(__xludf.DUMMYFUNCTION("""COMPUTED_VALUE"""),1)</f>
        <v>1</v>
      </c>
      <c r="F1126" s="15"/>
      <c r="G1126" s="44" t="str">
        <f ca="1">IFERROR(__xludf.DUMMYFUNCTION("""COMPUTED_VALUE"""),"Hilbre")</f>
        <v>Hilbre</v>
      </c>
      <c r="H1126" s="12">
        <f ca="1">IFERROR(__xludf.DUMMYFUNCTION("""COMPUTED_VALUE"""),42110)</f>
        <v>42110</v>
      </c>
      <c r="I1126" s="12">
        <f ca="1">IFERROR(__xludf.DUMMYFUNCTION("""COMPUTED_VALUE"""),42110)</f>
        <v>42110</v>
      </c>
      <c r="J1126" s="75" t="str">
        <f ca="1">IFERROR(__xludf.DUMMYFUNCTION("""COMPUTED_VALUE"""),"Hilbre Bird Observatory")</f>
        <v>Hilbre Bird Observatory</v>
      </c>
      <c r="K1126" s="15"/>
      <c r="L1126" s="17" t="str">
        <f ca="1">IFERROR(__xludf.DUMMYFUNCTION("""COMPUTED_VALUE"""),"closed")</f>
        <v>closed</v>
      </c>
      <c r="M1126" s="17" t="str">
        <f ca="1">IFERROR(__xludf.DUMMYFUNCTION("""COMPUTED_VALUE"""),"proxy")</f>
        <v>proxy</v>
      </c>
      <c r="N1126" s="58" t="str">
        <f ca="1">IFERROR(__xludf.DUMMYFUNCTION("""COMPUTED_VALUE"""),"accepted")</f>
        <v>accepted</v>
      </c>
      <c r="O1126" s="76" t="str">
        <f ca="1">IFERROR(__xludf.DUMMYFUNCTION("""COMPUTED_VALUE"""),"1 partial sp")</f>
        <v>1 partial sp</v>
      </c>
      <c r="P1126" s="15"/>
      <c r="Q1126" s="15"/>
      <c r="R1126" s="15"/>
      <c r="S1126" s="15"/>
      <c r="T1126" s="15"/>
      <c r="U1126" s="15"/>
      <c r="V1126" s="15"/>
      <c r="W1126" s="15"/>
      <c r="X1126" s="15"/>
      <c r="Y1126" s="15"/>
      <c r="Z1126" s="15"/>
      <c r="AA1126" s="15"/>
      <c r="AB1126" s="15"/>
      <c r="AC1126" s="15"/>
      <c r="AD1126" s="15"/>
      <c r="AE1126" s="15"/>
      <c r="AF1126" s="15"/>
      <c r="AG1126" s="15"/>
      <c r="AH1126" s="15"/>
      <c r="AI1126" s="15"/>
      <c r="AJ1126" s="15"/>
      <c r="AK1126" s="15"/>
      <c r="AL1126" s="15"/>
      <c r="AM1126" s="15"/>
      <c r="AN1126" s="15"/>
      <c r="AO1126" s="15"/>
      <c r="AP1126" s="15"/>
      <c r="AQ1126" s="15"/>
      <c r="AR1126" s="15"/>
      <c r="AS1126" s="15"/>
      <c r="AT1126" s="15"/>
      <c r="AU1126" s="15"/>
      <c r="AV1126" s="15"/>
      <c r="AW1126" s="15"/>
      <c r="AX1126" s="15"/>
      <c r="AY1126" s="15"/>
      <c r="AZ1126" s="15"/>
      <c r="BA1126" s="15"/>
      <c r="BB1126" s="15"/>
      <c r="BC1126" s="15"/>
      <c r="BD1126" s="15"/>
      <c r="BE1126" s="15"/>
      <c r="BF1126" s="15"/>
      <c r="BG1126" s="15"/>
      <c r="BH1126" s="15"/>
      <c r="BI1126" s="15"/>
      <c r="BJ1126" s="15"/>
      <c r="BK1126" s="15"/>
      <c r="BL1126" s="15"/>
      <c r="BM1126" s="15"/>
      <c r="BN1126" s="15"/>
      <c r="BO1126" s="15"/>
      <c r="BP1126" s="15"/>
      <c r="BQ1126" s="15"/>
      <c r="BR1126" s="15"/>
      <c r="BS1126" s="15"/>
      <c r="BT1126" s="15"/>
      <c r="BU1126" s="15"/>
      <c r="BV1126" s="15"/>
      <c r="BW1126" s="15"/>
      <c r="BX1126" s="15"/>
      <c r="BY1126" s="15"/>
      <c r="BZ1126" s="15"/>
      <c r="CA1126" s="15"/>
      <c r="CB1126" s="15"/>
    </row>
    <row r="1127" spans="1:80" ht="12.75" hidden="1" customHeight="1">
      <c r="A1127" s="20">
        <f ca="1">IFERROR(__xludf.DUMMYFUNCTION("""COMPUTED_VALUE"""),2015)</f>
        <v>2015</v>
      </c>
      <c r="B1127" s="45">
        <f ca="1">IFERROR(__xludf.DUMMYFUNCTION("""COMPUTED_VALUE"""),42618)</f>
        <v>42618</v>
      </c>
      <c r="C1127" s="46">
        <f ca="1">IFERROR(__xludf.DUMMYFUNCTION("""COMPUTED_VALUE"""),42674)</f>
        <v>42674</v>
      </c>
      <c r="D1127" s="47" t="str">
        <f ca="1">IFERROR(__xludf.DUMMYFUNCTION("""COMPUTED_VALUE"""),"Black-throated Diver")</f>
        <v>Black-throated Diver</v>
      </c>
      <c r="E1127" s="52">
        <f ca="1">IFERROR(__xludf.DUMMYFUNCTION("""COMPUTED_VALUE"""),1)</f>
        <v>1</v>
      </c>
      <c r="F1127" s="25"/>
      <c r="G1127" s="48" t="str">
        <f ca="1">IFERROR(__xludf.DUMMYFUNCTION("""COMPUTED_VALUE"""),"Hoylake")</f>
        <v>Hoylake</v>
      </c>
      <c r="H1127" s="22">
        <f ca="1">IFERROR(__xludf.DUMMYFUNCTION("""COMPUTED_VALUE"""),42112)</f>
        <v>42112</v>
      </c>
      <c r="I1127" s="22">
        <f ca="1">IFERROR(__xludf.DUMMYFUNCTION("""COMPUTED_VALUE"""),42112)</f>
        <v>42112</v>
      </c>
      <c r="J1127" s="73" t="str">
        <f ca="1">IFERROR(__xludf.DUMMYFUNCTION("""COMPUTED_VALUE"""),"Turner, JE")</f>
        <v>Turner, JE</v>
      </c>
      <c r="K1127" s="25" t="str">
        <f ca="1">IFERROR(__xludf.DUMMYFUNCTION("""COMPUTED_VALUE"""),"Turner, JE")</f>
        <v>Turner, JE</v>
      </c>
      <c r="L1127" s="27" t="str">
        <f ca="1">IFERROR(__xludf.DUMMYFUNCTION("""COMPUTED_VALUE"""),"closed")</f>
        <v>closed</v>
      </c>
      <c r="M1127" s="27" t="str">
        <f ca="1">IFERROR(__xludf.DUMMYFUNCTION("""COMPUTED_VALUE"""),"1st U")</f>
        <v>1st U</v>
      </c>
      <c r="N1127" s="40" t="str">
        <f ca="1">IFERROR(__xludf.DUMMYFUNCTION("""COMPUTED_VALUE"""),"accepted")</f>
        <v>accepted</v>
      </c>
      <c r="O1127" s="74"/>
      <c r="P1127" s="25"/>
      <c r="Q1127" s="25"/>
      <c r="R1127" s="25"/>
      <c r="S1127" s="25"/>
      <c r="T1127" s="25"/>
      <c r="U1127" s="25"/>
      <c r="V1127" s="25"/>
      <c r="W1127" s="25"/>
      <c r="X1127" s="25"/>
      <c r="Y1127" s="25"/>
      <c r="Z1127" s="25"/>
      <c r="AA1127" s="25"/>
      <c r="AB1127" s="25"/>
      <c r="AC1127" s="25"/>
      <c r="AD1127" s="25"/>
      <c r="AE1127" s="25"/>
      <c r="AF1127" s="25"/>
      <c r="AG1127" s="25"/>
      <c r="AH1127" s="25"/>
      <c r="AI1127" s="25"/>
      <c r="AJ1127" s="25"/>
      <c r="AK1127" s="25"/>
      <c r="AL1127" s="25"/>
      <c r="AM1127" s="25"/>
      <c r="AN1127" s="25"/>
      <c r="AO1127" s="25"/>
      <c r="AP1127" s="25"/>
      <c r="AQ1127" s="25"/>
      <c r="AR1127" s="25"/>
      <c r="AS1127" s="25"/>
      <c r="AT1127" s="25"/>
      <c r="AU1127" s="25"/>
      <c r="AV1127" s="25"/>
      <c r="AW1127" s="25"/>
      <c r="AX1127" s="25"/>
      <c r="AY1127" s="25"/>
      <c r="AZ1127" s="25"/>
      <c r="BA1127" s="25"/>
      <c r="BB1127" s="25"/>
      <c r="BC1127" s="25"/>
      <c r="BD1127" s="25"/>
      <c r="BE1127" s="25"/>
      <c r="BF1127" s="25"/>
      <c r="BG1127" s="25"/>
      <c r="BH1127" s="25"/>
      <c r="BI1127" s="25"/>
      <c r="BJ1127" s="25"/>
      <c r="BK1127" s="25"/>
      <c r="BL1127" s="25"/>
      <c r="BM1127" s="25"/>
      <c r="BN1127" s="25"/>
      <c r="BO1127" s="25"/>
      <c r="BP1127" s="25"/>
      <c r="BQ1127" s="25"/>
      <c r="BR1127" s="25"/>
      <c r="BS1127" s="25"/>
      <c r="BT1127" s="25"/>
      <c r="BU1127" s="25"/>
      <c r="BV1127" s="25"/>
      <c r="BW1127" s="25"/>
      <c r="BX1127" s="25"/>
      <c r="BY1127" s="25"/>
      <c r="BZ1127" s="25"/>
      <c r="CA1127" s="25"/>
      <c r="CB1127" s="25"/>
    </row>
    <row r="1128" spans="1:80" ht="12.75" hidden="1" customHeight="1">
      <c r="A1128" s="10">
        <f ca="1">IFERROR(__xludf.DUMMYFUNCTION("""COMPUTED_VALUE"""),2015)</f>
        <v>2015</v>
      </c>
      <c r="B1128" s="50">
        <f ca="1">IFERROR(__xludf.DUMMYFUNCTION("""COMPUTED_VALUE"""),42618)</f>
        <v>42618</v>
      </c>
      <c r="C1128" s="41">
        <f ca="1">IFERROR(__xludf.DUMMYFUNCTION("""COMPUTED_VALUE"""),42674)</f>
        <v>42674</v>
      </c>
      <c r="D1128" s="42" t="str">
        <f ca="1">IFERROR(__xludf.DUMMYFUNCTION("""COMPUTED_VALUE"""),"Black-throated Diver")</f>
        <v>Black-throated Diver</v>
      </c>
      <c r="E1128" s="53">
        <f ca="1">IFERROR(__xludf.DUMMYFUNCTION("""COMPUTED_VALUE"""),1)</f>
        <v>1</v>
      </c>
      <c r="F1128" s="15"/>
      <c r="G1128" s="44" t="str">
        <f ca="1">IFERROR(__xludf.DUMMYFUNCTION("""COMPUTED_VALUE"""),"Hoylake")</f>
        <v>Hoylake</v>
      </c>
      <c r="H1128" s="12">
        <f ca="1">IFERROR(__xludf.DUMMYFUNCTION("""COMPUTED_VALUE"""),42113)</f>
        <v>42113</v>
      </c>
      <c r="I1128" s="12">
        <f ca="1">IFERROR(__xludf.DUMMYFUNCTION("""COMPUTED_VALUE"""),42113)</f>
        <v>42113</v>
      </c>
      <c r="J1128" s="14" t="str">
        <f ca="1">IFERROR(__xludf.DUMMYFUNCTION("""COMPUTED_VALUE"""),"Turner, JE")</f>
        <v>Turner, JE</v>
      </c>
      <c r="K1128" s="15" t="str">
        <f ca="1">IFERROR(__xludf.DUMMYFUNCTION("""COMPUTED_VALUE"""),"Turner, JE")</f>
        <v>Turner, JE</v>
      </c>
      <c r="L1128" s="17" t="str">
        <f ca="1">IFERROR(__xludf.DUMMYFUNCTION("""COMPUTED_VALUE"""),"closed")</f>
        <v>closed</v>
      </c>
      <c r="M1128" s="17" t="str">
        <f ca="1">IFERROR(__xludf.DUMMYFUNCTION("""COMPUTED_VALUE"""),"1st U")</f>
        <v>1st U</v>
      </c>
      <c r="N1128" s="15" t="str">
        <f ca="1">IFERROR(__xludf.DUMMYFUNCTION("""COMPUTED_VALUE"""),"accepted")</f>
        <v>accepted</v>
      </c>
      <c r="O1128" s="18"/>
      <c r="P1128" s="15"/>
      <c r="Q1128" s="15"/>
      <c r="R1128" s="15"/>
      <c r="S1128" s="15"/>
      <c r="T1128" s="15"/>
      <c r="U1128" s="15"/>
      <c r="V1128" s="15"/>
      <c r="W1128" s="15"/>
      <c r="X1128" s="15"/>
      <c r="Y1128" s="15"/>
      <c r="Z1128" s="15"/>
      <c r="AA1128" s="15"/>
      <c r="AB1128" s="15"/>
      <c r="AC1128" s="15"/>
      <c r="AD1128" s="15"/>
      <c r="AE1128" s="15"/>
      <c r="AF1128" s="15"/>
      <c r="AG1128" s="15"/>
      <c r="AH1128" s="15"/>
      <c r="AI1128" s="15"/>
      <c r="AJ1128" s="15"/>
      <c r="AK1128" s="15"/>
      <c r="AL1128" s="15"/>
      <c r="AM1128" s="15"/>
      <c r="AN1128" s="15"/>
      <c r="AO1128" s="15"/>
      <c r="AP1128" s="15"/>
      <c r="AQ1128" s="15"/>
      <c r="AR1128" s="15"/>
      <c r="AS1128" s="15"/>
      <c r="AT1128" s="15"/>
      <c r="AU1128" s="15"/>
      <c r="AV1128" s="15"/>
      <c r="AW1128" s="15"/>
      <c r="AX1128" s="15"/>
      <c r="AY1128" s="15"/>
      <c r="AZ1128" s="15"/>
      <c r="BA1128" s="15"/>
      <c r="BB1128" s="15"/>
      <c r="BC1128" s="15"/>
      <c r="BD1128" s="15"/>
      <c r="BE1128" s="15"/>
      <c r="BF1128" s="15"/>
      <c r="BG1128" s="15"/>
      <c r="BH1128" s="15"/>
      <c r="BI1128" s="15"/>
      <c r="BJ1128" s="15"/>
      <c r="BK1128" s="15"/>
      <c r="BL1128" s="15"/>
      <c r="BM1128" s="15"/>
      <c r="BN1128" s="15"/>
      <c r="BO1128" s="15"/>
      <c r="BP1128" s="15"/>
      <c r="BQ1128" s="15"/>
      <c r="BR1128" s="15"/>
      <c r="BS1128" s="15"/>
      <c r="BT1128" s="15"/>
      <c r="BU1128" s="15"/>
      <c r="BV1128" s="15"/>
      <c r="BW1128" s="15"/>
      <c r="BX1128" s="15"/>
      <c r="BY1128" s="15"/>
      <c r="BZ1128" s="15"/>
      <c r="CA1128" s="15"/>
      <c r="CB1128" s="15"/>
    </row>
    <row r="1129" spans="1:80" ht="12.75" hidden="1" customHeight="1">
      <c r="A1129" s="20">
        <f ca="1">IFERROR(__xludf.DUMMYFUNCTION("""COMPUTED_VALUE"""),2015)</f>
        <v>2015</v>
      </c>
      <c r="B1129" s="45">
        <f ca="1">IFERROR(__xludf.DUMMYFUNCTION("""COMPUTED_VALUE"""),42618)</f>
        <v>42618</v>
      </c>
      <c r="C1129" s="46">
        <f ca="1">IFERROR(__xludf.DUMMYFUNCTION("""COMPUTED_VALUE"""),42674)</f>
        <v>42674</v>
      </c>
      <c r="D1129" s="47" t="str">
        <f ca="1">IFERROR(__xludf.DUMMYFUNCTION("""COMPUTED_VALUE"""),"Black-throated Diver/Diver spp")</f>
        <v>Black-throated Diver/Diver spp</v>
      </c>
      <c r="E1129" s="52">
        <f ca="1">IFERROR(__xludf.DUMMYFUNCTION("""COMPUTED_VALUE"""),1)</f>
        <v>1</v>
      </c>
      <c r="F1129" s="25"/>
      <c r="G1129" s="48" t="str">
        <f ca="1">IFERROR(__xludf.DUMMYFUNCTION("""COMPUTED_VALUE"""),"Hoylake")</f>
        <v>Hoylake</v>
      </c>
      <c r="H1129" s="22">
        <f ca="1">IFERROR(__xludf.DUMMYFUNCTION("""COMPUTED_VALUE"""),42110)</f>
        <v>42110</v>
      </c>
      <c r="I1129" s="22">
        <f ca="1">IFERROR(__xludf.DUMMYFUNCTION("""COMPUTED_VALUE"""),42110)</f>
        <v>42110</v>
      </c>
      <c r="J1129" s="24" t="str">
        <f ca="1">IFERROR(__xludf.DUMMYFUNCTION("""COMPUTED_VALUE"""),"Turner, JE")</f>
        <v>Turner, JE</v>
      </c>
      <c r="K1129" s="25" t="str">
        <f ca="1">IFERROR(__xludf.DUMMYFUNCTION("""COMPUTED_VALUE"""),"Turner, JE")</f>
        <v>Turner, JE</v>
      </c>
      <c r="L1129" s="27" t="str">
        <f ca="1">IFERROR(__xludf.DUMMYFUNCTION("""COMPUTED_VALUE"""),"closed")</f>
        <v>closed</v>
      </c>
      <c r="M1129" s="27"/>
      <c r="N1129" s="25" t="str">
        <f ca="1">IFERROR(__xludf.DUMMYFUNCTION("""COMPUTED_VALUE"""),"accepted as spp")</f>
        <v>accepted as spp</v>
      </c>
      <c r="O1129" s="28" t="str">
        <f ca="1">IFERROR(__xludf.DUMMYFUNCTION("""COMPUTED_VALUE"""),"should decide what to do with this - BTD off Hilbre same day. Pacific not ruled out despite attempts to")</f>
        <v>should decide what to do with this - BTD off Hilbre same day. Pacific not ruled out despite attempts to</v>
      </c>
      <c r="P1129" s="25"/>
      <c r="Q1129" s="25"/>
      <c r="R1129" s="25"/>
      <c r="S1129" s="25"/>
      <c r="T1129" s="25"/>
      <c r="U1129" s="25"/>
      <c r="V1129" s="25"/>
      <c r="W1129" s="25"/>
      <c r="X1129" s="25"/>
      <c r="Y1129" s="25"/>
      <c r="Z1129" s="25"/>
      <c r="AA1129" s="25"/>
      <c r="AB1129" s="25"/>
      <c r="AC1129" s="25"/>
      <c r="AD1129" s="25"/>
      <c r="AE1129" s="25"/>
      <c r="AF1129" s="25"/>
      <c r="AG1129" s="25"/>
      <c r="AH1129" s="25"/>
      <c r="AI1129" s="25"/>
      <c r="AJ1129" s="25"/>
      <c r="AK1129" s="25"/>
      <c r="AL1129" s="25"/>
      <c r="AM1129" s="25"/>
      <c r="AN1129" s="25"/>
      <c r="AO1129" s="25"/>
      <c r="AP1129" s="25"/>
      <c r="AQ1129" s="25"/>
      <c r="AR1129" s="25"/>
      <c r="AS1129" s="25"/>
      <c r="AT1129" s="25"/>
      <c r="AU1129" s="25"/>
      <c r="AV1129" s="25"/>
      <c r="AW1129" s="25"/>
      <c r="AX1129" s="25"/>
      <c r="AY1129" s="25"/>
      <c r="AZ1129" s="25"/>
      <c r="BA1129" s="25"/>
      <c r="BB1129" s="25"/>
      <c r="BC1129" s="25"/>
      <c r="BD1129" s="25"/>
      <c r="BE1129" s="25"/>
      <c r="BF1129" s="25"/>
      <c r="BG1129" s="25"/>
      <c r="BH1129" s="25"/>
      <c r="BI1129" s="25"/>
      <c r="BJ1129" s="25"/>
      <c r="BK1129" s="25"/>
      <c r="BL1129" s="25"/>
      <c r="BM1129" s="25"/>
      <c r="BN1129" s="25"/>
      <c r="BO1129" s="25"/>
      <c r="BP1129" s="25"/>
      <c r="BQ1129" s="25"/>
      <c r="BR1129" s="25"/>
      <c r="BS1129" s="25"/>
      <c r="BT1129" s="25"/>
      <c r="BU1129" s="25"/>
      <c r="BV1129" s="25"/>
      <c r="BW1129" s="25"/>
      <c r="BX1129" s="25"/>
      <c r="BY1129" s="25"/>
      <c r="BZ1129" s="25"/>
      <c r="CA1129" s="25"/>
      <c r="CB1129" s="25"/>
    </row>
    <row r="1130" spans="1:80" ht="12.75" hidden="1" customHeight="1">
      <c r="A1130" s="10">
        <f ca="1">IFERROR(__xludf.DUMMYFUNCTION("""COMPUTED_VALUE"""),2015)</f>
        <v>2015</v>
      </c>
      <c r="B1130" s="50">
        <f ca="1">IFERROR(__xludf.DUMMYFUNCTION("""COMPUTED_VALUE"""),42618)</f>
        <v>42618</v>
      </c>
      <c r="C1130" s="41"/>
      <c r="D1130" s="42" t="str">
        <f ca="1">IFERROR(__xludf.DUMMYFUNCTION("""COMPUTED_VALUE"""),"Great Northern Diver")</f>
        <v>Great Northern Diver</v>
      </c>
      <c r="E1130" s="53">
        <f ca="1">IFERROR(__xludf.DUMMYFUNCTION("""COMPUTED_VALUE"""),1)</f>
        <v>1</v>
      </c>
      <c r="F1130" s="15"/>
      <c r="G1130" s="44" t="str">
        <f ca="1">IFERROR(__xludf.DUMMYFUNCTION("""COMPUTED_VALUE"""),"Hilbre")</f>
        <v>Hilbre</v>
      </c>
      <c r="H1130" s="12">
        <f ca="1">IFERROR(__xludf.DUMMYFUNCTION("""COMPUTED_VALUE"""),42274)</f>
        <v>42274</v>
      </c>
      <c r="I1130" s="12">
        <f ca="1">IFERROR(__xludf.DUMMYFUNCTION("""COMPUTED_VALUE"""),42274)</f>
        <v>42274</v>
      </c>
      <c r="J1130" s="14" t="str">
        <f ca="1">IFERROR(__xludf.DUMMYFUNCTION("""COMPUTED_VALUE"""),"Hilbre Bird Observatory")</f>
        <v>Hilbre Bird Observatory</v>
      </c>
      <c r="K1130" s="15"/>
      <c r="L1130" s="17" t="str">
        <f ca="1">IFERROR(__xludf.DUMMYFUNCTION("""COMPUTED_VALUE"""),"closed")</f>
        <v>closed</v>
      </c>
      <c r="M1130" s="17" t="str">
        <f ca="1">IFERROR(__xludf.DUMMYFUNCTION("""COMPUTED_VALUE"""),"proxy")</f>
        <v>proxy</v>
      </c>
      <c r="N1130" s="58" t="str">
        <f ca="1">IFERROR(__xludf.DUMMYFUNCTION("""COMPUTED_VALUE"""),"accepted")</f>
        <v>accepted</v>
      </c>
      <c r="O1130" s="18"/>
      <c r="P1130" s="15"/>
      <c r="Q1130" s="15"/>
      <c r="R1130" s="15"/>
      <c r="S1130" s="15"/>
      <c r="T1130" s="15"/>
      <c r="U1130" s="15"/>
      <c r="V1130" s="15"/>
      <c r="W1130" s="15"/>
      <c r="X1130" s="15"/>
      <c r="Y1130" s="15"/>
      <c r="Z1130" s="15"/>
      <c r="AA1130" s="15"/>
      <c r="AB1130" s="15"/>
      <c r="AC1130" s="15"/>
      <c r="AD1130" s="15"/>
      <c r="AE1130" s="15"/>
      <c r="AF1130" s="15"/>
      <c r="AG1130" s="15"/>
      <c r="AH1130" s="15"/>
      <c r="AI1130" s="15"/>
      <c r="AJ1130" s="15"/>
      <c r="AK1130" s="15"/>
      <c r="AL1130" s="15"/>
      <c r="AM1130" s="15"/>
      <c r="AN1130" s="15"/>
      <c r="AO1130" s="15"/>
      <c r="AP1130" s="15"/>
      <c r="AQ1130" s="15"/>
      <c r="AR1130" s="15"/>
      <c r="AS1130" s="15"/>
      <c r="AT1130" s="15"/>
      <c r="AU1130" s="15"/>
      <c r="AV1130" s="15"/>
      <c r="AW1130" s="15"/>
      <c r="AX1130" s="15"/>
      <c r="AY1130" s="15"/>
      <c r="AZ1130" s="15"/>
      <c r="BA1130" s="15"/>
      <c r="BB1130" s="15"/>
      <c r="BC1130" s="15"/>
      <c r="BD1130" s="15"/>
      <c r="BE1130" s="15"/>
      <c r="BF1130" s="15"/>
      <c r="BG1130" s="15"/>
      <c r="BH1130" s="15"/>
      <c r="BI1130" s="15"/>
      <c r="BJ1130" s="15"/>
      <c r="BK1130" s="15"/>
      <c r="BL1130" s="15"/>
      <c r="BM1130" s="15"/>
      <c r="BN1130" s="15"/>
      <c r="BO1130" s="15"/>
      <c r="BP1130" s="15"/>
      <c r="BQ1130" s="15"/>
      <c r="BR1130" s="15"/>
      <c r="BS1130" s="15"/>
      <c r="BT1130" s="15"/>
      <c r="BU1130" s="15"/>
      <c r="BV1130" s="15"/>
      <c r="BW1130" s="15"/>
      <c r="BX1130" s="15"/>
      <c r="BY1130" s="15"/>
      <c r="BZ1130" s="15"/>
      <c r="CA1130" s="15"/>
      <c r="CB1130" s="15"/>
    </row>
    <row r="1131" spans="1:80" ht="12.75" hidden="1" customHeight="1">
      <c r="A1131" s="20">
        <f ca="1">IFERROR(__xludf.DUMMYFUNCTION("""COMPUTED_VALUE"""),2015)</f>
        <v>2015</v>
      </c>
      <c r="B1131" s="45">
        <f ca="1">IFERROR(__xludf.DUMMYFUNCTION("""COMPUTED_VALUE"""),42618)</f>
        <v>42618</v>
      </c>
      <c r="C1131" s="46"/>
      <c r="D1131" s="47" t="str">
        <f ca="1">IFERROR(__xludf.DUMMYFUNCTION("""COMPUTED_VALUE"""),"Great Northern Diver")</f>
        <v>Great Northern Diver</v>
      </c>
      <c r="E1131" s="52">
        <f ca="1">IFERROR(__xludf.DUMMYFUNCTION("""COMPUTED_VALUE"""),1)</f>
        <v>1</v>
      </c>
      <c r="F1131" s="25"/>
      <c r="G1131" s="48" t="str">
        <f ca="1">IFERROR(__xludf.DUMMYFUNCTION("""COMPUTED_VALUE"""),"Hilbre")</f>
        <v>Hilbre</v>
      </c>
      <c r="H1131" s="22">
        <f ca="1">IFERROR(__xludf.DUMMYFUNCTION("""COMPUTED_VALUE"""),42324)</f>
        <v>42324</v>
      </c>
      <c r="I1131" s="22">
        <f ca="1">IFERROR(__xludf.DUMMYFUNCTION("""COMPUTED_VALUE"""),42324)</f>
        <v>42324</v>
      </c>
      <c r="J1131" s="24" t="str">
        <f ca="1">IFERROR(__xludf.DUMMYFUNCTION("""COMPUTED_VALUE"""),"Hilbre Bird Observatory")</f>
        <v>Hilbre Bird Observatory</v>
      </c>
      <c r="K1131" s="25"/>
      <c r="L1131" s="27" t="str">
        <f ca="1">IFERROR(__xludf.DUMMYFUNCTION("""COMPUTED_VALUE"""),"closed")</f>
        <v>closed</v>
      </c>
      <c r="M1131" s="27" t="str">
        <f ca="1">IFERROR(__xludf.DUMMYFUNCTION("""COMPUTED_VALUE"""),"proxy")</f>
        <v>proxy</v>
      </c>
      <c r="N1131" s="25" t="str">
        <f ca="1">IFERROR(__xludf.DUMMYFUNCTION("""COMPUTED_VALUE"""),"accepted")</f>
        <v>accepted</v>
      </c>
      <c r="O1131" s="28" t="str">
        <f ca="1">IFERROR(__xludf.DUMMYFUNCTION("""COMPUTED_VALUE"""),"1 W")</f>
        <v>1 W</v>
      </c>
      <c r="P1131" s="25"/>
      <c r="Q1131" s="25"/>
      <c r="R1131" s="25"/>
      <c r="S1131" s="25"/>
      <c r="T1131" s="25"/>
      <c r="U1131" s="25"/>
      <c r="V1131" s="25"/>
      <c r="W1131" s="25"/>
      <c r="X1131" s="25"/>
      <c r="Y1131" s="25"/>
      <c r="Z1131" s="25"/>
      <c r="AA1131" s="25"/>
      <c r="AB1131" s="25"/>
      <c r="AC1131" s="25"/>
      <c r="AD1131" s="25"/>
      <c r="AE1131" s="25"/>
      <c r="AF1131" s="25"/>
      <c r="AG1131" s="25"/>
      <c r="AH1131" s="25"/>
      <c r="AI1131" s="25"/>
      <c r="AJ1131" s="25"/>
      <c r="AK1131" s="25"/>
      <c r="AL1131" s="25"/>
      <c r="AM1131" s="25"/>
      <c r="AN1131" s="25"/>
      <c r="AO1131" s="25"/>
      <c r="AP1131" s="25"/>
      <c r="AQ1131" s="25"/>
      <c r="AR1131" s="25"/>
      <c r="AS1131" s="25"/>
      <c r="AT1131" s="25"/>
      <c r="AU1131" s="25"/>
      <c r="AV1131" s="25"/>
      <c r="AW1131" s="25"/>
      <c r="AX1131" s="25"/>
      <c r="AY1131" s="25"/>
      <c r="AZ1131" s="25"/>
      <c r="BA1131" s="25"/>
      <c r="BB1131" s="25"/>
      <c r="BC1131" s="25"/>
      <c r="BD1131" s="25"/>
      <c r="BE1131" s="25"/>
      <c r="BF1131" s="25"/>
      <c r="BG1131" s="25"/>
      <c r="BH1131" s="25"/>
      <c r="BI1131" s="25"/>
      <c r="BJ1131" s="25"/>
      <c r="BK1131" s="25"/>
      <c r="BL1131" s="25"/>
      <c r="BM1131" s="25"/>
      <c r="BN1131" s="25"/>
      <c r="BO1131" s="25"/>
      <c r="BP1131" s="25"/>
      <c r="BQ1131" s="25"/>
      <c r="BR1131" s="25"/>
      <c r="BS1131" s="25"/>
      <c r="BT1131" s="25"/>
      <c r="BU1131" s="25"/>
      <c r="BV1131" s="25"/>
      <c r="BW1131" s="25"/>
      <c r="BX1131" s="25"/>
      <c r="BY1131" s="25"/>
      <c r="BZ1131" s="25"/>
      <c r="CA1131" s="25"/>
      <c r="CB1131" s="25"/>
    </row>
    <row r="1132" spans="1:80" ht="12.75" hidden="1" customHeight="1">
      <c r="A1132" s="10">
        <f ca="1">IFERROR(__xludf.DUMMYFUNCTION("""COMPUTED_VALUE"""),2015)</f>
        <v>2015</v>
      </c>
      <c r="B1132" s="50">
        <f ca="1">IFERROR(__xludf.DUMMYFUNCTION("""COMPUTED_VALUE"""),42618)</f>
        <v>42618</v>
      </c>
      <c r="C1132" s="41"/>
      <c r="D1132" s="42" t="str">
        <f ca="1">IFERROR(__xludf.DUMMYFUNCTION("""COMPUTED_VALUE"""),"Great Northern Diver")</f>
        <v>Great Northern Diver</v>
      </c>
      <c r="E1132" s="53">
        <f ca="1">IFERROR(__xludf.DUMMYFUNCTION("""COMPUTED_VALUE"""),1)</f>
        <v>1</v>
      </c>
      <c r="F1132" s="15"/>
      <c r="G1132" s="44" t="str">
        <f ca="1">IFERROR(__xludf.DUMMYFUNCTION("""COMPUTED_VALUE"""),"Hilbre")</f>
        <v>Hilbre</v>
      </c>
      <c r="H1132" s="12">
        <f ca="1">IFERROR(__xludf.DUMMYFUNCTION("""COMPUTED_VALUE"""),42326)</f>
        <v>42326</v>
      </c>
      <c r="I1132" s="12">
        <f ca="1">IFERROR(__xludf.DUMMYFUNCTION("""COMPUTED_VALUE"""),42326)</f>
        <v>42326</v>
      </c>
      <c r="J1132" s="14" t="str">
        <f ca="1">IFERROR(__xludf.DUMMYFUNCTION("""COMPUTED_VALUE"""),"Hilbre Bird Observatory")</f>
        <v>Hilbre Bird Observatory</v>
      </c>
      <c r="K1132" s="15"/>
      <c r="L1132" s="17" t="str">
        <f ca="1">IFERROR(__xludf.DUMMYFUNCTION("""COMPUTED_VALUE"""),"closed")</f>
        <v>closed</v>
      </c>
      <c r="M1132" s="17" t="str">
        <f ca="1">IFERROR(__xludf.DUMMYFUNCTION("""COMPUTED_VALUE"""),"proxy")</f>
        <v>proxy</v>
      </c>
      <c r="N1132" s="15" t="str">
        <f ca="1">IFERROR(__xludf.DUMMYFUNCTION("""COMPUTED_VALUE"""),"accepted")</f>
        <v>accepted</v>
      </c>
      <c r="O1132" s="18"/>
      <c r="P1132" s="15"/>
      <c r="Q1132" s="15"/>
      <c r="R1132" s="15"/>
      <c r="S1132" s="15"/>
      <c r="T1132" s="15"/>
      <c r="U1132" s="15"/>
      <c r="V1132" s="15"/>
      <c r="W1132" s="15"/>
      <c r="X1132" s="15"/>
      <c r="Y1132" s="15"/>
      <c r="Z1132" s="15"/>
      <c r="AA1132" s="15"/>
      <c r="AB1132" s="15"/>
      <c r="AC1132" s="15"/>
      <c r="AD1132" s="15"/>
      <c r="AE1132" s="15"/>
      <c r="AF1132" s="15"/>
      <c r="AG1132" s="15"/>
      <c r="AH1132" s="15"/>
      <c r="AI1132" s="15"/>
      <c r="AJ1132" s="15"/>
      <c r="AK1132" s="15"/>
      <c r="AL1132" s="15"/>
      <c r="AM1132" s="15"/>
      <c r="AN1132" s="15"/>
      <c r="AO1132" s="15"/>
      <c r="AP1132" s="15"/>
      <c r="AQ1132" s="15"/>
      <c r="AR1132" s="15"/>
      <c r="AS1132" s="15"/>
      <c r="AT1132" s="15"/>
      <c r="AU1132" s="15"/>
      <c r="AV1132" s="15"/>
      <c r="AW1132" s="15"/>
      <c r="AX1132" s="15"/>
      <c r="AY1132" s="15"/>
      <c r="AZ1132" s="15"/>
      <c r="BA1132" s="15"/>
      <c r="BB1132" s="15"/>
      <c r="BC1132" s="15"/>
      <c r="BD1132" s="15"/>
      <c r="BE1132" s="15"/>
      <c r="BF1132" s="15"/>
      <c r="BG1132" s="15"/>
      <c r="BH1132" s="15"/>
      <c r="BI1132" s="15"/>
      <c r="BJ1132" s="15"/>
      <c r="BK1132" s="15"/>
      <c r="BL1132" s="15"/>
      <c r="BM1132" s="15"/>
      <c r="BN1132" s="15"/>
      <c r="BO1132" s="15"/>
      <c r="BP1132" s="15"/>
      <c r="BQ1132" s="15"/>
      <c r="BR1132" s="15"/>
      <c r="BS1132" s="15"/>
      <c r="BT1132" s="15"/>
      <c r="BU1132" s="15"/>
      <c r="BV1132" s="15"/>
      <c r="BW1132" s="15"/>
      <c r="BX1132" s="15"/>
      <c r="BY1132" s="15"/>
      <c r="BZ1132" s="15"/>
      <c r="CA1132" s="15"/>
      <c r="CB1132" s="15"/>
    </row>
    <row r="1133" spans="1:80" ht="12.75" hidden="1" customHeight="1">
      <c r="A1133" s="20">
        <f ca="1">IFERROR(__xludf.DUMMYFUNCTION("""COMPUTED_VALUE"""),2015)</f>
        <v>2015</v>
      </c>
      <c r="B1133" s="45">
        <f ca="1">IFERROR(__xludf.DUMMYFUNCTION("""COMPUTED_VALUE"""),42618)</f>
        <v>42618</v>
      </c>
      <c r="C1133" s="46"/>
      <c r="D1133" s="47" t="str">
        <f ca="1">IFERROR(__xludf.DUMMYFUNCTION("""COMPUTED_VALUE"""),"Great Northern Diver")</f>
        <v>Great Northern Diver</v>
      </c>
      <c r="E1133" s="52">
        <f ca="1">IFERROR(__xludf.DUMMYFUNCTION("""COMPUTED_VALUE"""),1)</f>
        <v>1</v>
      </c>
      <c r="F1133" s="25"/>
      <c r="G1133" s="48" t="str">
        <f ca="1">IFERROR(__xludf.DUMMYFUNCTION("""COMPUTED_VALUE"""),"Hilbre")</f>
        <v>Hilbre</v>
      </c>
      <c r="H1133" s="22">
        <f ca="1">IFERROR(__xludf.DUMMYFUNCTION("""COMPUTED_VALUE"""),42327)</f>
        <v>42327</v>
      </c>
      <c r="I1133" s="22">
        <f ca="1">IFERROR(__xludf.DUMMYFUNCTION("""COMPUTED_VALUE"""),42327)</f>
        <v>42327</v>
      </c>
      <c r="J1133" s="24" t="str">
        <f ca="1">IFERROR(__xludf.DUMMYFUNCTION("""COMPUTED_VALUE"""),"Hilbre Bird Observatory")</f>
        <v>Hilbre Bird Observatory</v>
      </c>
      <c r="K1133" s="25"/>
      <c r="L1133" s="27" t="str">
        <f ca="1">IFERROR(__xludf.DUMMYFUNCTION("""COMPUTED_VALUE"""),"closed")</f>
        <v>closed</v>
      </c>
      <c r="M1133" s="27" t="str">
        <f ca="1">IFERROR(__xludf.DUMMYFUNCTION("""COMPUTED_VALUE"""),"proxy")</f>
        <v>proxy</v>
      </c>
      <c r="N1133" s="25" t="str">
        <f ca="1">IFERROR(__xludf.DUMMYFUNCTION("""COMPUTED_VALUE"""),"accepted")</f>
        <v>accepted</v>
      </c>
      <c r="O1133" s="28"/>
      <c r="P1133" s="25"/>
      <c r="Q1133" s="25"/>
      <c r="R1133" s="25"/>
      <c r="S1133" s="25"/>
      <c r="T1133" s="25"/>
      <c r="U1133" s="25"/>
      <c r="V1133" s="25"/>
      <c r="W1133" s="25"/>
      <c r="X1133" s="25"/>
      <c r="Y1133" s="25"/>
      <c r="Z1133" s="25"/>
      <c r="AA1133" s="25"/>
      <c r="AB1133" s="25"/>
      <c r="AC1133" s="25"/>
      <c r="AD1133" s="25"/>
      <c r="AE1133" s="25"/>
      <c r="AF1133" s="25"/>
      <c r="AG1133" s="25"/>
      <c r="AH1133" s="25"/>
      <c r="AI1133" s="25"/>
      <c r="AJ1133" s="25"/>
      <c r="AK1133" s="25"/>
      <c r="AL1133" s="25"/>
      <c r="AM1133" s="25"/>
      <c r="AN1133" s="25"/>
      <c r="AO1133" s="25"/>
      <c r="AP1133" s="25"/>
      <c r="AQ1133" s="25"/>
      <c r="AR1133" s="25"/>
      <c r="AS1133" s="25"/>
      <c r="AT1133" s="25"/>
      <c r="AU1133" s="25"/>
      <c r="AV1133" s="25"/>
      <c r="AW1133" s="25"/>
      <c r="AX1133" s="25"/>
      <c r="AY1133" s="25"/>
      <c r="AZ1133" s="25"/>
      <c r="BA1133" s="25"/>
      <c r="BB1133" s="25"/>
      <c r="BC1133" s="25"/>
      <c r="BD1133" s="25"/>
      <c r="BE1133" s="25"/>
      <c r="BF1133" s="25"/>
      <c r="BG1133" s="25"/>
      <c r="BH1133" s="25"/>
      <c r="BI1133" s="25"/>
      <c r="BJ1133" s="25"/>
      <c r="BK1133" s="25"/>
      <c r="BL1133" s="25"/>
      <c r="BM1133" s="25"/>
      <c r="BN1133" s="25"/>
      <c r="BO1133" s="25"/>
      <c r="BP1133" s="25"/>
      <c r="BQ1133" s="25"/>
      <c r="BR1133" s="25"/>
      <c r="BS1133" s="25"/>
      <c r="BT1133" s="25"/>
      <c r="BU1133" s="25"/>
      <c r="BV1133" s="25"/>
      <c r="BW1133" s="25"/>
      <c r="BX1133" s="25"/>
      <c r="BY1133" s="25"/>
      <c r="BZ1133" s="25"/>
      <c r="CA1133" s="25"/>
      <c r="CB1133" s="25"/>
    </row>
    <row r="1134" spans="1:80" ht="12.75" hidden="1" customHeight="1">
      <c r="A1134" s="10">
        <f ca="1">IFERROR(__xludf.DUMMYFUNCTION("""COMPUTED_VALUE"""),2015)</f>
        <v>2015</v>
      </c>
      <c r="B1134" s="50">
        <f ca="1">IFERROR(__xludf.DUMMYFUNCTION("""COMPUTED_VALUE"""),42618)</f>
        <v>42618</v>
      </c>
      <c r="C1134" s="41"/>
      <c r="D1134" s="42" t="str">
        <f ca="1">IFERROR(__xludf.DUMMYFUNCTION("""COMPUTED_VALUE"""),"Great Northern Diver")</f>
        <v>Great Northern Diver</v>
      </c>
      <c r="E1134" s="53">
        <f ca="1">IFERROR(__xludf.DUMMYFUNCTION("""COMPUTED_VALUE"""),1)</f>
        <v>1</v>
      </c>
      <c r="F1134" s="15"/>
      <c r="G1134" s="44" t="str">
        <f ca="1">IFERROR(__xludf.DUMMYFUNCTION("""COMPUTED_VALUE"""),"Hilbre")</f>
        <v>Hilbre</v>
      </c>
      <c r="H1134" s="12">
        <f ca="1">IFERROR(__xludf.DUMMYFUNCTION("""COMPUTED_VALUE"""),42329)</f>
        <v>42329</v>
      </c>
      <c r="I1134" s="12">
        <f ca="1">IFERROR(__xludf.DUMMYFUNCTION("""COMPUTED_VALUE"""),42329)</f>
        <v>42329</v>
      </c>
      <c r="J1134" s="14" t="str">
        <f ca="1">IFERROR(__xludf.DUMMYFUNCTION("""COMPUTED_VALUE"""),"Hilbre Bird Observatory")</f>
        <v>Hilbre Bird Observatory</v>
      </c>
      <c r="K1134" s="15"/>
      <c r="L1134" s="17" t="str">
        <f ca="1">IFERROR(__xludf.DUMMYFUNCTION("""COMPUTED_VALUE"""),"closed")</f>
        <v>closed</v>
      </c>
      <c r="M1134" s="17" t="str">
        <f ca="1">IFERROR(__xludf.DUMMYFUNCTION("""COMPUTED_VALUE"""),"proxy")</f>
        <v>proxy</v>
      </c>
      <c r="N1134" s="15" t="str">
        <f ca="1">IFERROR(__xludf.DUMMYFUNCTION("""COMPUTED_VALUE"""),"accepted")</f>
        <v>accepted</v>
      </c>
      <c r="O1134" s="18"/>
      <c r="P1134" s="15"/>
      <c r="Q1134" s="15"/>
      <c r="R1134" s="15"/>
      <c r="S1134" s="15"/>
      <c r="T1134" s="15"/>
      <c r="U1134" s="15"/>
      <c r="V1134" s="15"/>
      <c r="W1134" s="15"/>
      <c r="X1134" s="15"/>
      <c r="Y1134" s="15"/>
      <c r="Z1134" s="15"/>
      <c r="AA1134" s="15"/>
      <c r="AB1134" s="15"/>
      <c r="AC1134" s="15"/>
      <c r="AD1134" s="15"/>
      <c r="AE1134" s="15"/>
      <c r="AF1134" s="15"/>
      <c r="AG1134" s="15"/>
      <c r="AH1134" s="15"/>
      <c r="AI1134" s="15"/>
      <c r="AJ1134" s="15"/>
      <c r="AK1134" s="15"/>
      <c r="AL1134" s="15"/>
      <c r="AM1134" s="15"/>
      <c r="AN1134" s="15"/>
      <c r="AO1134" s="15"/>
      <c r="AP1134" s="15"/>
      <c r="AQ1134" s="15"/>
      <c r="AR1134" s="15"/>
      <c r="AS1134" s="15"/>
      <c r="AT1134" s="15"/>
      <c r="AU1134" s="15"/>
      <c r="AV1134" s="15"/>
      <c r="AW1134" s="15"/>
      <c r="AX1134" s="15"/>
      <c r="AY1134" s="15"/>
      <c r="AZ1134" s="15"/>
      <c r="BA1134" s="15"/>
      <c r="BB1134" s="15"/>
      <c r="BC1134" s="15"/>
      <c r="BD1134" s="15"/>
      <c r="BE1134" s="15"/>
      <c r="BF1134" s="15"/>
      <c r="BG1134" s="15"/>
      <c r="BH1134" s="15"/>
      <c r="BI1134" s="15"/>
      <c r="BJ1134" s="15"/>
      <c r="BK1134" s="15"/>
      <c r="BL1134" s="15"/>
      <c r="BM1134" s="15"/>
      <c r="BN1134" s="15"/>
      <c r="BO1134" s="15"/>
      <c r="BP1134" s="15"/>
      <c r="BQ1134" s="15"/>
      <c r="BR1134" s="15"/>
      <c r="BS1134" s="15"/>
      <c r="BT1134" s="15"/>
      <c r="BU1134" s="15"/>
      <c r="BV1134" s="15"/>
      <c r="BW1134" s="15"/>
      <c r="BX1134" s="15"/>
      <c r="BY1134" s="15"/>
      <c r="BZ1134" s="15"/>
      <c r="CA1134" s="15"/>
      <c r="CB1134" s="15"/>
    </row>
    <row r="1135" spans="1:80" ht="12.75" hidden="1" customHeight="1">
      <c r="A1135" s="20">
        <f ca="1">IFERROR(__xludf.DUMMYFUNCTION("""COMPUTED_VALUE"""),2015)</f>
        <v>2015</v>
      </c>
      <c r="B1135" s="45">
        <f ca="1">IFERROR(__xludf.DUMMYFUNCTION("""COMPUTED_VALUE"""),42618)</f>
        <v>42618</v>
      </c>
      <c r="C1135" s="46"/>
      <c r="D1135" s="47" t="str">
        <f ca="1">IFERROR(__xludf.DUMMYFUNCTION("""COMPUTED_VALUE"""),"Great Northern Diver")</f>
        <v>Great Northern Diver</v>
      </c>
      <c r="E1135" s="52">
        <f ca="1">IFERROR(__xludf.DUMMYFUNCTION("""COMPUTED_VALUE"""),1)</f>
        <v>1</v>
      </c>
      <c r="F1135" s="25"/>
      <c r="G1135" s="48" t="str">
        <f ca="1">IFERROR(__xludf.DUMMYFUNCTION("""COMPUTED_VALUE"""),"Hilbre")</f>
        <v>Hilbre</v>
      </c>
      <c r="H1135" s="22">
        <f ca="1">IFERROR(__xludf.DUMMYFUNCTION("""COMPUTED_VALUE"""),42330)</f>
        <v>42330</v>
      </c>
      <c r="I1135" s="22">
        <f ca="1">IFERROR(__xludf.DUMMYFUNCTION("""COMPUTED_VALUE"""),42330)</f>
        <v>42330</v>
      </c>
      <c r="J1135" s="24" t="str">
        <f ca="1">IFERROR(__xludf.DUMMYFUNCTION("""COMPUTED_VALUE"""),"Hilbre Bird Observatory")</f>
        <v>Hilbre Bird Observatory</v>
      </c>
      <c r="K1135" s="25"/>
      <c r="L1135" s="27" t="str">
        <f ca="1">IFERROR(__xludf.DUMMYFUNCTION("""COMPUTED_VALUE"""),"closed")</f>
        <v>closed</v>
      </c>
      <c r="M1135" s="27" t="str">
        <f ca="1">IFERROR(__xludf.DUMMYFUNCTION("""COMPUTED_VALUE"""),"proxy")</f>
        <v>proxy</v>
      </c>
      <c r="N1135" s="25" t="str">
        <f ca="1">IFERROR(__xludf.DUMMYFUNCTION("""COMPUTED_VALUE"""),"accepted")</f>
        <v>accepted</v>
      </c>
      <c r="O1135" s="28"/>
      <c r="P1135" s="25"/>
      <c r="Q1135" s="25"/>
      <c r="R1135" s="25"/>
      <c r="S1135" s="25"/>
      <c r="T1135" s="25"/>
      <c r="U1135" s="25"/>
      <c r="V1135" s="25"/>
      <c r="W1135" s="25"/>
      <c r="X1135" s="25"/>
      <c r="Y1135" s="25"/>
      <c r="Z1135" s="25"/>
      <c r="AA1135" s="25"/>
      <c r="AB1135" s="25"/>
      <c r="AC1135" s="25"/>
      <c r="AD1135" s="25"/>
      <c r="AE1135" s="25"/>
      <c r="AF1135" s="25"/>
      <c r="AG1135" s="25"/>
      <c r="AH1135" s="25"/>
      <c r="AI1135" s="25"/>
      <c r="AJ1135" s="25"/>
      <c r="AK1135" s="25"/>
      <c r="AL1135" s="25"/>
      <c r="AM1135" s="25"/>
      <c r="AN1135" s="25"/>
      <c r="AO1135" s="25"/>
      <c r="AP1135" s="25"/>
      <c r="AQ1135" s="25"/>
      <c r="AR1135" s="25"/>
      <c r="AS1135" s="25"/>
      <c r="AT1135" s="25"/>
      <c r="AU1135" s="25"/>
      <c r="AV1135" s="25"/>
      <c r="AW1135" s="25"/>
      <c r="AX1135" s="25"/>
      <c r="AY1135" s="25"/>
      <c r="AZ1135" s="25"/>
      <c r="BA1135" s="25"/>
      <c r="BB1135" s="25"/>
      <c r="BC1135" s="25"/>
      <c r="BD1135" s="25"/>
      <c r="BE1135" s="25"/>
      <c r="BF1135" s="25"/>
      <c r="BG1135" s="25"/>
      <c r="BH1135" s="25"/>
      <c r="BI1135" s="25"/>
      <c r="BJ1135" s="25"/>
      <c r="BK1135" s="25"/>
      <c r="BL1135" s="25"/>
      <c r="BM1135" s="25"/>
      <c r="BN1135" s="25"/>
      <c r="BO1135" s="25"/>
      <c r="BP1135" s="25"/>
      <c r="BQ1135" s="25"/>
      <c r="BR1135" s="25"/>
      <c r="BS1135" s="25"/>
      <c r="BT1135" s="25"/>
      <c r="BU1135" s="25"/>
      <c r="BV1135" s="25"/>
      <c r="BW1135" s="25"/>
      <c r="BX1135" s="25"/>
      <c r="BY1135" s="25"/>
      <c r="BZ1135" s="25"/>
      <c r="CA1135" s="25"/>
      <c r="CB1135" s="25"/>
    </row>
    <row r="1136" spans="1:80" ht="12.75" hidden="1" customHeight="1">
      <c r="A1136" s="10">
        <f ca="1">IFERROR(__xludf.DUMMYFUNCTION("""COMPUTED_VALUE"""),2015)</f>
        <v>2015</v>
      </c>
      <c r="B1136" s="50">
        <f ca="1">IFERROR(__xludf.DUMMYFUNCTION("""COMPUTED_VALUE"""),42618)</f>
        <v>42618</v>
      </c>
      <c r="C1136" s="41">
        <f ca="1">IFERROR(__xludf.DUMMYFUNCTION("""COMPUTED_VALUE"""),42683)</f>
        <v>42683</v>
      </c>
      <c r="D1136" s="42" t="str">
        <f ca="1">IFERROR(__xludf.DUMMYFUNCTION("""COMPUTED_VALUE"""),"Great Northern Diver")</f>
        <v>Great Northern Diver</v>
      </c>
      <c r="E1136" s="53">
        <f ca="1">IFERROR(__xludf.DUMMYFUNCTION("""COMPUTED_VALUE"""),1)</f>
        <v>1</v>
      </c>
      <c r="F1136" s="15"/>
      <c r="G1136" s="44" t="str">
        <f ca="1">IFERROR(__xludf.DUMMYFUNCTION("""COMPUTED_VALUE"""),"Birkenhead")</f>
        <v>Birkenhead</v>
      </c>
      <c r="H1136" s="60">
        <f ca="1">IFERROR(__xludf.DUMMYFUNCTION("""COMPUTED_VALUE"""),42336)</f>
        <v>42336</v>
      </c>
      <c r="I1136" s="12">
        <f ca="1">IFERROR(__xludf.DUMMYFUNCTION("""COMPUTED_VALUE"""),42336)</f>
        <v>42336</v>
      </c>
      <c r="J1136" s="14" t="str">
        <f ca="1">IFERROR(__xludf.DUMMYFUNCTION("""COMPUTED_VALUE"""),"Montieth, E")</f>
        <v>Montieth, E</v>
      </c>
      <c r="K1136" s="15" t="str">
        <f ca="1">IFERROR(__xludf.DUMMYFUNCTION("""COMPUTED_VALUE"""),"Montieth, E")</f>
        <v>Montieth, E</v>
      </c>
      <c r="L1136" s="17" t="str">
        <f ca="1">IFERROR(__xludf.DUMMYFUNCTION("""COMPUTED_VALUE"""),"closed")</f>
        <v>closed</v>
      </c>
      <c r="M1136" s="17"/>
      <c r="N1136" s="15" t="str">
        <f ca="1">IFERROR(__xludf.DUMMYFUNCTION("""COMPUTED_VALUE"""),"accepted")</f>
        <v>accepted</v>
      </c>
      <c r="O1136" s="18"/>
      <c r="P1136" s="15"/>
      <c r="Q1136" s="15"/>
      <c r="R1136" s="15"/>
      <c r="S1136" s="15"/>
      <c r="T1136" s="15"/>
      <c r="U1136" s="15"/>
      <c r="V1136" s="15"/>
      <c r="W1136" s="15"/>
      <c r="X1136" s="15"/>
      <c r="Y1136" s="15"/>
      <c r="Z1136" s="15"/>
      <c r="AA1136" s="15"/>
      <c r="AB1136" s="15"/>
      <c r="AC1136" s="15"/>
      <c r="AD1136" s="15"/>
      <c r="AE1136" s="15"/>
      <c r="AF1136" s="15"/>
      <c r="AG1136" s="15"/>
      <c r="AH1136" s="15"/>
      <c r="AI1136" s="15"/>
      <c r="AJ1136" s="15"/>
      <c r="AK1136" s="15"/>
      <c r="AL1136" s="15"/>
      <c r="AM1136" s="15"/>
      <c r="AN1136" s="15"/>
      <c r="AO1136" s="15"/>
      <c r="AP1136" s="15"/>
      <c r="AQ1136" s="15"/>
      <c r="AR1136" s="15"/>
      <c r="AS1136" s="15"/>
      <c r="AT1136" s="15"/>
      <c r="AU1136" s="15"/>
      <c r="AV1136" s="15"/>
      <c r="AW1136" s="15"/>
      <c r="AX1136" s="15"/>
      <c r="AY1136" s="15"/>
      <c r="AZ1136" s="15"/>
      <c r="BA1136" s="15"/>
      <c r="BB1136" s="15"/>
      <c r="BC1136" s="15"/>
      <c r="BD1136" s="15"/>
      <c r="BE1136" s="15"/>
      <c r="BF1136" s="15"/>
      <c r="BG1136" s="15"/>
      <c r="BH1136" s="15"/>
      <c r="BI1136" s="15"/>
      <c r="BJ1136" s="15"/>
      <c r="BK1136" s="15"/>
      <c r="BL1136" s="15"/>
      <c r="BM1136" s="15"/>
      <c r="BN1136" s="15"/>
      <c r="BO1136" s="15"/>
      <c r="BP1136" s="15"/>
      <c r="BQ1136" s="15"/>
      <c r="BR1136" s="15"/>
      <c r="BS1136" s="15"/>
      <c r="BT1136" s="15"/>
      <c r="BU1136" s="15"/>
      <c r="BV1136" s="15"/>
      <c r="BW1136" s="15"/>
      <c r="BX1136" s="15"/>
      <c r="BY1136" s="15"/>
      <c r="BZ1136" s="15"/>
      <c r="CA1136" s="15"/>
      <c r="CB1136" s="15"/>
    </row>
    <row r="1137" spans="1:80" ht="12.75" hidden="1" customHeight="1">
      <c r="A1137" s="20">
        <f ca="1">IFERROR(__xludf.DUMMYFUNCTION("""COMPUTED_VALUE"""),2015)</f>
        <v>2015</v>
      </c>
      <c r="B1137" s="45">
        <f ca="1">IFERROR(__xludf.DUMMYFUNCTION("""COMPUTED_VALUE"""),42618)</f>
        <v>42618</v>
      </c>
      <c r="C1137" s="46"/>
      <c r="D1137" s="47" t="str">
        <f ca="1">IFERROR(__xludf.DUMMYFUNCTION("""COMPUTED_VALUE"""),"Great Northern Diver")</f>
        <v>Great Northern Diver</v>
      </c>
      <c r="E1137" s="52">
        <f ca="1">IFERROR(__xludf.DUMMYFUNCTION("""COMPUTED_VALUE"""),1)</f>
        <v>1</v>
      </c>
      <c r="F1137" s="25"/>
      <c r="G1137" s="48" t="str">
        <f ca="1">IFERROR(__xludf.DUMMYFUNCTION("""COMPUTED_VALUE"""),"Hilbre")</f>
        <v>Hilbre</v>
      </c>
      <c r="H1137" s="22">
        <f ca="1">IFERROR(__xludf.DUMMYFUNCTION("""COMPUTED_VALUE"""),42352)</f>
        <v>42352</v>
      </c>
      <c r="I1137" s="22">
        <f ca="1">IFERROR(__xludf.DUMMYFUNCTION("""COMPUTED_VALUE"""),42352)</f>
        <v>42352</v>
      </c>
      <c r="J1137" s="24" t="str">
        <f ca="1">IFERROR(__xludf.DUMMYFUNCTION("""COMPUTED_VALUE"""),"Hilbre Bird Observatory")</f>
        <v>Hilbre Bird Observatory</v>
      </c>
      <c r="K1137" s="25"/>
      <c r="L1137" s="27" t="str">
        <f ca="1">IFERROR(__xludf.DUMMYFUNCTION("""COMPUTED_VALUE"""),"closed")</f>
        <v>closed</v>
      </c>
      <c r="M1137" s="27" t="str">
        <f ca="1">IFERROR(__xludf.DUMMYFUNCTION("""COMPUTED_VALUE"""),"proxy")</f>
        <v>proxy</v>
      </c>
      <c r="N1137" s="25" t="str">
        <f ca="1">IFERROR(__xludf.DUMMYFUNCTION("""COMPUTED_VALUE"""),"accepted")</f>
        <v>accepted</v>
      </c>
      <c r="O1137" s="28"/>
      <c r="P1137" s="25"/>
      <c r="Q1137" s="25"/>
      <c r="R1137" s="25"/>
      <c r="S1137" s="25"/>
      <c r="T1137" s="25"/>
      <c r="U1137" s="25"/>
      <c r="V1137" s="25"/>
      <c r="W1137" s="25"/>
      <c r="X1137" s="25"/>
      <c r="Y1137" s="25"/>
      <c r="Z1137" s="25"/>
      <c r="AA1137" s="25"/>
      <c r="AB1137" s="25"/>
      <c r="AC1137" s="25"/>
      <c r="AD1137" s="25"/>
      <c r="AE1137" s="25"/>
      <c r="AF1137" s="25"/>
      <c r="AG1137" s="25"/>
      <c r="AH1137" s="25"/>
      <c r="AI1137" s="25"/>
      <c r="AJ1137" s="25"/>
      <c r="AK1137" s="25"/>
      <c r="AL1137" s="25"/>
      <c r="AM1137" s="25"/>
      <c r="AN1137" s="25"/>
      <c r="AO1137" s="25"/>
      <c r="AP1137" s="25"/>
      <c r="AQ1137" s="25"/>
      <c r="AR1137" s="25"/>
      <c r="AS1137" s="25"/>
      <c r="AT1137" s="25"/>
      <c r="AU1137" s="25"/>
      <c r="AV1137" s="25"/>
      <c r="AW1137" s="25"/>
      <c r="AX1137" s="25"/>
      <c r="AY1137" s="25"/>
      <c r="AZ1137" s="25"/>
      <c r="BA1137" s="25"/>
      <c r="BB1137" s="25"/>
      <c r="BC1137" s="25"/>
      <c r="BD1137" s="25"/>
      <c r="BE1137" s="25"/>
      <c r="BF1137" s="25"/>
      <c r="BG1137" s="25"/>
      <c r="BH1137" s="25"/>
      <c r="BI1137" s="25"/>
      <c r="BJ1137" s="25"/>
      <c r="BK1137" s="25"/>
      <c r="BL1137" s="25"/>
      <c r="BM1137" s="25"/>
      <c r="BN1137" s="25"/>
      <c r="BO1137" s="25"/>
      <c r="BP1137" s="25"/>
      <c r="BQ1137" s="25"/>
      <c r="BR1137" s="25"/>
      <c r="BS1137" s="25"/>
      <c r="BT1137" s="25"/>
      <c r="BU1137" s="25"/>
      <c r="BV1137" s="25"/>
      <c r="BW1137" s="25"/>
      <c r="BX1137" s="25"/>
      <c r="BY1137" s="25"/>
      <c r="BZ1137" s="25"/>
      <c r="CA1137" s="25"/>
      <c r="CB1137" s="25"/>
    </row>
    <row r="1138" spans="1:80" ht="12.75" hidden="1" customHeight="1">
      <c r="A1138" s="10">
        <f ca="1">IFERROR(__xludf.DUMMYFUNCTION("""COMPUTED_VALUE"""),2015)</f>
        <v>2015</v>
      </c>
      <c r="B1138" s="50">
        <f ca="1">IFERROR(__xludf.DUMMYFUNCTION("""COMPUTED_VALUE"""),42618)</f>
        <v>42618</v>
      </c>
      <c r="C1138" s="41">
        <f ca="1">IFERROR(__xludf.DUMMYFUNCTION("""COMPUTED_VALUE"""),42675)</f>
        <v>42675</v>
      </c>
      <c r="D1138" s="42" t="str">
        <f ca="1">IFERROR(__xludf.DUMMYFUNCTION("""COMPUTED_VALUE"""),"Glossy Ibis")</f>
        <v>Glossy Ibis</v>
      </c>
      <c r="E1138" s="53">
        <f ca="1">IFERROR(__xludf.DUMMYFUNCTION("""COMPUTED_VALUE"""),1)</f>
        <v>1</v>
      </c>
      <c r="F1138" s="15"/>
      <c r="G1138" s="44" t="str">
        <f ca="1">IFERROR(__xludf.DUMMYFUNCTION("""COMPUTED_VALUE"""),"Burton Mere Wetlands RSPB")</f>
        <v>Burton Mere Wetlands RSPB</v>
      </c>
      <c r="H1138" s="12">
        <f ca="1">IFERROR(__xludf.DUMMYFUNCTION("""COMPUTED_VALUE"""),42281)</f>
        <v>42281</v>
      </c>
      <c r="I1138" s="12">
        <f ca="1">IFERROR(__xludf.DUMMYFUNCTION("""COMPUTED_VALUE"""),42281)</f>
        <v>42281</v>
      </c>
      <c r="J1138" s="14" t="str">
        <f ca="1">IFERROR(__xludf.DUMMYFUNCTION("""COMPUTED_VALUE"""),"Humphreys-Jones, A")</f>
        <v>Humphreys-Jones, A</v>
      </c>
      <c r="K1138" s="15"/>
      <c r="L1138" s="17" t="str">
        <f ca="1">IFERROR(__xludf.DUMMYFUNCTION("""COMPUTED_VALUE"""),"closed")</f>
        <v>closed</v>
      </c>
      <c r="M1138" s="17" t="str">
        <f ca="1">IFERROR(__xludf.DUMMYFUNCTION("""COMPUTED_VALUE"""),"1st U")</f>
        <v>1st U</v>
      </c>
      <c r="N1138" s="15" t="str">
        <f ca="1">IFERROR(__xludf.DUMMYFUNCTION("""COMPUTED_VALUE"""),"accepted")</f>
        <v>accepted</v>
      </c>
      <c r="O1138" s="18"/>
      <c r="P1138" s="15"/>
      <c r="Q1138" s="15"/>
      <c r="R1138" s="58"/>
      <c r="S1138" s="15"/>
      <c r="T1138" s="15"/>
      <c r="U1138" s="15"/>
      <c r="V1138" s="15"/>
      <c r="W1138" s="15"/>
      <c r="X1138" s="15"/>
      <c r="Y1138" s="15"/>
      <c r="Z1138" s="15"/>
      <c r="AA1138" s="15"/>
      <c r="AB1138" s="15"/>
      <c r="AC1138" s="15"/>
      <c r="AD1138" s="15"/>
      <c r="AE1138" s="15"/>
      <c r="AF1138" s="15"/>
      <c r="AG1138" s="15"/>
      <c r="AH1138" s="15"/>
      <c r="AI1138" s="15"/>
      <c r="AJ1138" s="15"/>
      <c r="AK1138" s="15"/>
      <c r="AL1138" s="15"/>
      <c r="AM1138" s="15"/>
      <c r="AN1138" s="15"/>
      <c r="AO1138" s="15"/>
      <c r="AP1138" s="15"/>
      <c r="AQ1138" s="15"/>
      <c r="AR1138" s="15"/>
      <c r="AS1138" s="15"/>
      <c r="AT1138" s="15"/>
      <c r="AU1138" s="15"/>
      <c r="AV1138" s="15"/>
      <c r="AW1138" s="15"/>
      <c r="AX1138" s="15"/>
      <c r="AY1138" s="15"/>
      <c r="AZ1138" s="15"/>
      <c r="BA1138" s="15"/>
      <c r="BB1138" s="15"/>
      <c r="BC1138" s="15"/>
      <c r="BD1138" s="15"/>
      <c r="BE1138" s="15"/>
      <c r="BF1138" s="15"/>
      <c r="BG1138" s="15"/>
      <c r="BH1138" s="15"/>
      <c r="BI1138" s="15"/>
      <c r="BJ1138" s="15"/>
      <c r="BK1138" s="15"/>
      <c r="BL1138" s="15"/>
      <c r="BM1138" s="15"/>
      <c r="BN1138" s="15"/>
      <c r="BO1138" s="15"/>
      <c r="BP1138" s="15"/>
      <c r="BQ1138" s="15"/>
      <c r="BR1138" s="15"/>
      <c r="BS1138" s="15"/>
      <c r="BT1138" s="15"/>
      <c r="BU1138" s="15"/>
      <c r="BV1138" s="15"/>
      <c r="BW1138" s="15"/>
      <c r="BX1138" s="15"/>
      <c r="BY1138" s="15"/>
      <c r="BZ1138" s="15"/>
      <c r="CA1138" s="15"/>
      <c r="CB1138" s="15"/>
    </row>
    <row r="1139" spans="1:80" ht="12.75" hidden="1" customHeight="1">
      <c r="A1139" s="20">
        <f ca="1">IFERROR(__xludf.DUMMYFUNCTION("""COMPUTED_VALUE"""),2015)</f>
        <v>2015</v>
      </c>
      <c r="B1139" s="45">
        <f ca="1">IFERROR(__xludf.DUMMYFUNCTION("""COMPUTED_VALUE"""),42618)</f>
        <v>42618</v>
      </c>
      <c r="C1139" s="46"/>
      <c r="D1139" s="47" t="str">
        <f ca="1">IFERROR(__xludf.DUMMYFUNCTION("""COMPUTED_VALUE"""),"Glossy Ibis")</f>
        <v>Glossy Ibis</v>
      </c>
      <c r="E1139" s="52">
        <f ca="1">IFERROR(__xludf.DUMMYFUNCTION("""COMPUTED_VALUE"""),1)</f>
        <v>1</v>
      </c>
      <c r="F1139" s="25"/>
      <c r="G1139" s="48" t="str">
        <f ca="1">IFERROR(__xludf.DUMMYFUNCTION("""COMPUTED_VALUE"""),"Reception Scrape, BMW RSPB")</f>
        <v>Reception Scrape, BMW RSPB</v>
      </c>
      <c r="H1139" s="22">
        <f ca="1">IFERROR(__xludf.DUMMYFUNCTION("""COMPUTED_VALUE"""),42281)</f>
        <v>42281</v>
      </c>
      <c r="I1139" s="22">
        <f ca="1">IFERROR(__xludf.DUMMYFUNCTION("""COMPUTED_VALUE"""),42281)</f>
        <v>42281</v>
      </c>
      <c r="J1139" s="24" t="str">
        <f ca="1">IFERROR(__xludf.DUMMYFUNCTION("""COMPUTED_VALUE"""),"Wells, CE")</f>
        <v>Wells, CE</v>
      </c>
      <c r="K1139" s="25"/>
      <c r="L1139" s="27" t="str">
        <f ca="1">IFERROR(__xludf.DUMMYFUNCTION("""COMPUTED_VALUE"""),"closed")</f>
        <v>closed</v>
      </c>
      <c r="M1139" s="27" t="str">
        <f ca="1">IFERROR(__xludf.DUMMYFUNCTION("""COMPUTED_VALUE"""),"proxy")</f>
        <v>proxy</v>
      </c>
      <c r="N1139" s="25" t="str">
        <f ca="1">IFERROR(__xludf.DUMMYFUNCTION("""COMPUTED_VALUE"""),"accepted")</f>
        <v>accepted</v>
      </c>
      <c r="O1139" s="28"/>
      <c r="P1139" s="25"/>
      <c r="Q1139" s="25"/>
      <c r="R1139" s="25"/>
      <c r="S1139" s="25"/>
      <c r="T1139" s="25"/>
      <c r="U1139" s="25"/>
      <c r="V1139" s="25"/>
      <c r="W1139" s="25"/>
      <c r="X1139" s="25"/>
      <c r="Y1139" s="25"/>
      <c r="Z1139" s="25"/>
      <c r="AA1139" s="25"/>
      <c r="AB1139" s="25"/>
      <c r="AC1139" s="25"/>
      <c r="AD1139" s="25"/>
      <c r="AE1139" s="25"/>
      <c r="AF1139" s="25"/>
      <c r="AG1139" s="25"/>
      <c r="AH1139" s="25"/>
      <c r="AI1139" s="25"/>
      <c r="AJ1139" s="25"/>
      <c r="AK1139" s="25"/>
      <c r="AL1139" s="25"/>
      <c r="AM1139" s="25"/>
      <c r="AN1139" s="25"/>
      <c r="AO1139" s="25"/>
      <c r="AP1139" s="25"/>
      <c r="AQ1139" s="25"/>
      <c r="AR1139" s="25"/>
      <c r="AS1139" s="25"/>
      <c r="AT1139" s="25"/>
      <c r="AU1139" s="25"/>
      <c r="AV1139" s="25"/>
      <c r="AW1139" s="25"/>
      <c r="AX1139" s="25"/>
      <c r="AY1139" s="25"/>
      <c r="AZ1139" s="25"/>
      <c r="BA1139" s="25"/>
      <c r="BB1139" s="25"/>
      <c r="BC1139" s="25"/>
      <c r="BD1139" s="25"/>
      <c r="BE1139" s="25"/>
      <c r="BF1139" s="25"/>
      <c r="BG1139" s="25"/>
      <c r="BH1139" s="25"/>
      <c r="BI1139" s="25"/>
      <c r="BJ1139" s="25"/>
      <c r="BK1139" s="25"/>
      <c r="BL1139" s="25"/>
      <c r="BM1139" s="25"/>
      <c r="BN1139" s="25"/>
      <c r="BO1139" s="25"/>
      <c r="BP1139" s="25"/>
      <c r="BQ1139" s="25"/>
      <c r="BR1139" s="25"/>
      <c r="BS1139" s="25"/>
      <c r="BT1139" s="25"/>
      <c r="BU1139" s="25"/>
      <c r="BV1139" s="25"/>
      <c r="BW1139" s="25"/>
      <c r="BX1139" s="25"/>
      <c r="BY1139" s="25"/>
      <c r="BZ1139" s="25"/>
      <c r="CA1139" s="25"/>
      <c r="CB1139" s="25"/>
    </row>
    <row r="1140" spans="1:80" ht="12.75" hidden="1" customHeight="1">
      <c r="A1140" s="10">
        <f ca="1">IFERROR(__xludf.DUMMYFUNCTION("""COMPUTED_VALUE"""),2015)</f>
        <v>2015</v>
      </c>
      <c r="B1140" s="50">
        <f ca="1">IFERROR(__xludf.DUMMYFUNCTION("""COMPUTED_VALUE"""),42618)</f>
        <v>42618</v>
      </c>
      <c r="C1140" s="41"/>
      <c r="D1140" s="42" t="str">
        <f ca="1">IFERROR(__xludf.DUMMYFUNCTION("""COMPUTED_VALUE"""),"Great White Egret")</f>
        <v>Great White Egret</v>
      </c>
      <c r="E1140" s="53">
        <f ca="1">IFERROR(__xludf.DUMMYFUNCTION("""COMPUTED_VALUE"""),1)</f>
        <v>1</v>
      </c>
      <c r="F1140" s="15"/>
      <c r="G1140" s="44" t="str">
        <f ca="1">IFERROR(__xludf.DUMMYFUNCTION("""COMPUTED_VALUE"""),"Leasowe Lighthouse")</f>
        <v>Leasowe Lighthouse</v>
      </c>
      <c r="H1140" s="12">
        <f ca="1">IFERROR(__xludf.DUMMYFUNCTION("""COMPUTED_VALUE"""),42128)</f>
        <v>42128</v>
      </c>
      <c r="I1140" s="12">
        <f ca="1">IFERROR(__xludf.DUMMYFUNCTION("""COMPUTED_VALUE"""),42128)</f>
        <v>42128</v>
      </c>
      <c r="J1140" s="14" t="str">
        <f ca="1">IFERROR(__xludf.DUMMYFUNCTION("""COMPUTED_VALUE"""),"Conlin, A")</f>
        <v>Conlin, A</v>
      </c>
      <c r="K1140" s="15" t="str">
        <f ca="1">IFERROR(__xludf.DUMMYFUNCTION("""COMPUTED_VALUE"""),"Conlin, A")</f>
        <v>Conlin, A</v>
      </c>
      <c r="L1140" s="17" t="str">
        <f ca="1">IFERROR(__xludf.DUMMYFUNCTION("""COMPUTED_VALUE"""),"closed")</f>
        <v>closed</v>
      </c>
      <c r="M1140" s="17" t="str">
        <f ca="1">IFERROR(__xludf.DUMMYFUNCTION("""COMPUTED_VALUE"""),"1st U")</f>
        <v>1st U</v>
      </c>
      <c r="N1140" s="15" t="str">
        <f ca="1">IFERROR(__xludf.DUMMYFUNCTION("""COMPUTED_VALUE"""),"accepted")</f>
        <v>accepted</v>
      </c>
      <c r="O1140" s="18"/>
      <c r="P1140" s="15"/>
      <c r="Q1140" s="15"/>
      <c r="R1140" s="15"/>
      <c r="S1140" s="15"/>
      <c r="T1140" s="15"/>
      <c r="U1140" s="15"/>
      <c r="V1140" s="15"/>
      <c r="W1140" s="15"/>
      <c r="X1140" s="15"/>
      <c r="Y1140" s="15"/>
      <c r="Z1140" s="15"/>
      <c r="AA1140" s="15"/>
      <c r="AB1140" s="15"/>
      <c r="AC1140" s="15"/>
      <c r="AD1140" s="15"/>
      <c r="AE1140" s="15"/>
      <c r="AF1140" s="15"/>
      <c r="AG1140" s="15"/>
      <c r="AH1140" s="15"/>
      <c r="AI1140" s="15"/>
      <c r="AJ1140" s="15"/>
      <c r="AK1140" s="15"/>
      <c r="AL1140" s="15"/>
      <c r="AM1140" s="15"/>
      <c r="AN1140" s="15"/>
      <c r="AO1140" s="15"/>
      <c r="AP1140" s="15"/>
      <c r="AQ1140" s="15"/>
      <c r="AR1140" s="15"/>
      <c r="AS1140" s="15"/>
      <c r="AT1140" s="15"/>
      <c r="AU1140" s="15"/>
      <c r="AV1140" s="15"/>
      <c r="AW1140" s="15"/>
      <c r="AX1140" s="15"/>
      <c r="AY1140" s="15"/>
      <c r="AZ1140" s="15"/>
      <c r="BA1140" s="15"/>
      <c r="BB1140" s="15"/>
      <c r="BC1140" s="15"/>
      <c r="BD1140" s="15"/>
      <c r="BE1140" s="15"/>
      <c r="BF1140" s="15"/>
      <c r="BG1140" s="15"/>
      <c r="BH1140" s="15"/>
      <c r="BI1140" s="15"/>
      <c r="BJ1140" s="15"/>
      <c r="BK1140" s="15"/>
      <c r="BL1140" s="15"/>
      <c r="BM1140" s="15"/>
      <c r="BN1140" s="15"/>
      <c r="BO1140" s="15"/>
      <c r="BP1140" s="15"/>
      <c r="BQ1140" s="15"/>
      <c r="BR1140" s="15"/>
      <c r="BS1140" s="15"/>
      <c r="BT1140" s="15"/>
      <c r="BU1140" s="15"/>
      <c r="BV1140" s="15"/>
      <c r="BW1140" s="15"/>
      <c r="BX1140" s="15"/>
      <c r="BY1140" s="15"/>
      <c r="BZ1140" s="15"/>
      <c r="CA1140" s="15"/>
      <c r="CB1140" s="15"/>
    </row>
    <row r="1141" spans="1:80" ht="12.75" hidden="1" customHeight="1">
      <c r="A1141" s="20">
        <f ca="1">IFERROR(__xludf.DUMMYFUNCTION("""COMPUTED_VALUE"""),2015)</f>
        <v>2015</v>
      </c>
      <c r="B1141" s="45">
        <f ca="1">IFERROR(__xludf.DUMMYFUNCTION("""COMPUTED_VALUE"""),43949)</f>
        <v>43949</v>
      </c>
      <c r="C1141" s="46">
        <f ca="1">IFERROR(__xludf.DUMMYFUNCTION("""COMPUTED_VALUE"""),43864)</f>
        <v>43864</v>
      </c>
      <c r="D1141" s="47" t="str">
        <f ca="1">IFERROR(__xludf.DUMMYFUNCTION("""COMPUTED_VALUE"""),"Great White Egret")</f>
        <v>Great White Egret</v>
      </c>
      <c r="E1141" s="52">
        <f ca="1">IFERROR(__xludf.DUMMYFUNCTION("""COMPUTED_VALUE"""),1)</f>
        <v>1</v>
      </c>
      <c r="F1141" s="25"/>
      <c r="G1141" s="48" t="str">
        <f ca="1">IFERROR(__xludf.DUMMYFUNCTION("""COMPUTED_VALUE"""),"Wilsmlow")</f>
        <v>Wilsmlow</v>
      </c>
      <c r="H1141" s="22">
        <f ca="1">IFERROR(__xludf.DUMMYFUNCTION("""COMPUTED_VALUE"""),42325)</f>
        <v>42325</v>
      </c>
      <c r="I1141" s="22">
        <f ca="1">IFERROR(__xludf.DUMMYFUNCTION("""COMPUTED_VALUE"""),42325)</f>
        <v>42325</v>
      </c>
      <c r="J1141" s="24" t="str">
        <f ca="1">IFERROR(__xludf.DUMMYFUNCTION("""COMPUTED_VALUE"""),"Lowe, J")</f>
        <v>Lowe, J</v>
      </c>
      <c r="K1141" s="25" t="str">
        <f ca="1">IFERROR(__xludf.DUMMYFUNCTION("""COMPUTED_VALUE"""),"Lowe, J")</f>
        <v>Lowe, J</v>
      </c>
      <c r="L1141" s="27" t="str">
        <f ca="1">IFERROR(__xludf.DUMMYFUNCTION("""COMPUTED_VALUE"""),"closed")</f>
        <v>closed</v>
      </c>
      <c r="M1141" s="27" t="str">
        <f ca="1">IFERROR(__xludf.DUMMYFUNCTION("""COMPUTED_VALUE"""),"1st U")</f>
        <v>1st U</v>
      </c>
      <c r="N1141" s="25" t="str">
        <f ca="1">IFERROR(__xludf.DUMMYFUNCTION("""COMPUTED_VALUE"""),"accepted")</f>
        <v>accepted</v>
      </c>
      <c r="O1141" s="28"/>
      <c r="P1141" s="25"/>
      <c r="Q1141" s="25"/>
      <c r="R1141" s="25"/>
      <c r="S1141" s="25"/>
      <c r="T1141" s="25"/>
      <c r="U1141" s="25"/>
      <c r="V1141" s="25"/>
      <c r="W1141" s="25"/>
      <c r="X1141" s="25"/>
      <c r="Y1141" s="25"/>
      <c r="Z1141" s="25"/>
      <c r="AA1141" s="25"/>
      <c r="AB1141" s="25"/>
      <c r="AC1141" s="25"/>
      <c r="AD1141" s="25"/>
      <c r="AE1141" s="25"/>
      <c r="AF1141" s="25"/>
      <c r="AG1141" s="25"/>
      <c r="AH1141" s="25"/>
      <c r="AI1141" s="25"/>
      <c r="AJ1141" s="25"/>
      <c r="AK1141" s="25"/>
      <c r="AL1141" s="25"/>
      <c r="AM1141" s="25"/>
      <c r="AN1141" s="25"/>
      <c r="AO1141" s="25"/>
      <c r="AP1141" s="25"/>
      <c r="AQ1141" s="25"/>
      <c r="AR1141" s="25"/>
      <c r="AS1141" s="25"/>
      <c r="AT1141" s="25"/>
      <c r="AU1141" s="25"/>
      <c r="AV1141" s="25"/>
      <c r="AW1141" s="25"/>
      <c r="AX1141" s="25"/>
      <c r="AY1141" s="25"/>
      <c r="AZ1141" s="25"/>
      <c r="BA1141" s="25"/>
      <c r="BB1141" s="25"/>
      <c r="BC1141" s="25"/>
      <c r="BD1141" s="25"/>
      <c r="BE1141" s="25"/>
      <c r="BF1141" s="25"/>
      <c r="BG1141" s="25"/>
      <c r="BH1141" s="25"/>
      <c r="BI1141" s="25"/>
      <c r="BJ1141" s="25"/>
      <c r="BK1141" s="25"/>
      <c r="BL1141" s="25"/>
      <c r="BM1141" s="25"/>
      <c r="BN1141" s="25"/>
      <c r="BO1141" s="25"/>
      <c r="BP1141" s="25"/>
      <c r="BQ1141" s="25"/>
      <c r="BR1141" s="25"/>
      <c r="BS1141" s="25"/>
      <c r="BT1141" s="25"/>
      <c r="BU1141" s="25"/>
      <c r="BV1141" s="25"/>
      <c r="BW1141" s="25"/>
      <c r="BX1141" s="25"/>
      <c r="BY1141" s="25"/>
      <c r="BZ1141" s="25"/>
      <c r="CA1141" s="25"/>
      <c r="CB1141" s="25"/>
    </row>
    <row r="1142" spans="1:80" ht="12.75" hidden="1" customHeight="1">
      <c r="A1142" s="10">
        <f ca="1">IFERROR(__xludf.DUMMYFUNCTION("""COMPUTED_VALUE"""),2015)</f>
        <v>2015</v>
      </c>
      <c r="B1142" s="50">
        <f ca="1">IFERROR(__xludf.DUMMYFUNCTION("""COMPUTED_VALUE"""),42632)</f>
        <v>42632</v>
      </c>
      <c r="C1142" s="41">
        <f ca="1">IFERROR(__xludf.DUMMYFUNCTION("""COMPUTED_VALUE"""),42632)</f>
        <v>42632</v>
      </c>
      <c r="D1142" s="42" t="str">
        <f ca="1">IFERROR(__xludf.DUMMYFUNCTION("""COMPUTED_VALUE"""),"Goshawk")</f>
        <v>Goshawk</v>
      </c>
      <c r="E1142" s="53">
        <f ca="1">IFERROR(__xludf.DUMMYFUNCTION("""COMPUTED_VALUE"""),1)</f>
        <v>1</v>
      </c>
      <c r="F1142" s="15"/>
      <c r="G1142" s="44" t="str">
        <f ca="1">IFERROR(__xludf.DUMMYFUNCTION("""COMPUTED_VALUE"""),"Macclesfield Forest")</f>
        <v>Macclesfield Forest</v>
      </c>
      <c r="H1142" s="12">
        <f ca="1">IFERROR(__xludf.DUMMYFUNCTION("""COMPUTED_VALUE"""),42066)</f>
        <v>42066</v>
      </c>
      <c r="I1142" s="12">
        <f ca="1">IFERROR(__xludf.DUMMYFUNCTION("""COMPUTED_VALUE"""),42088)</f>
        <v>42088</v>
      </c>
      <c r="J1142" s="14" t="str">
        <f ca="1">IFERROR(__xludf.DUMMYFUNCTION("""COMPUTED_VALUE"""),"Pulsford, AH")</f>
        <v>Pulsford, AH</v>
      </c>
      <c r="K1142" s="15" t="str">
        <f ca="1">IFERROR(__xludf.DUMMYFUNCTION("""COMPUTED_VALUE"""),"Lawton, M")</f>
        <v>Lawton, M</v>
      </c>
      <c r="L1142" s="17" t="str">
        <f ca="1">IFERROR(__xludf.DUMMYFUNCTION("""COMPUTED_VALUE"""),"closed")</f>
        <v>closed</v>
      </c>
      <c r="M1142" s="17" t="str">
        <f ca="1">IFERROR(__xludf.DUMMYFUNCTION("""COMPUTED_VALUE"""),"1st U")</f>
        <v>1st U</v>
      </c>
      <c r="N1142" s="15" t="str">
        <f ca="1">IFERROR(__xludf.DUMMYFUNCTION("""COMPUTED_VALUE"""),"accepted")</f>
        <v>accepted</v>
      </c>
      <c r="O1142" s="18"/>
      <c r="P1142" s="15"/>
      <c r="Q1142" s="15"/>
      <c r="R1142" s="58"/>
      <c r="S1142" s="15"/>
      <c r="T1142" s="15"/>
      <c r="U1142" s="15"/>
      <c r="V1142" s="15"/>
      <c r="W1142" s="15"/>
      <c r="X1142" s="15"/>
      <c r="Y1142" s="15"/>
      <c r="Z1142" s="15"/>
      <c r="AA1142" s="15"/>
      <c r="AB1142" s="15"/>
      <c r="AC1142" s="15"/>
      <c r="AD1142" s="15"/>
      <c r="AE1142" s="15"/>
      <c r="AF1142" s="15"/>
      <c r="AG1142" s="15"/>
      <c r="AH1142" s="15"/>
      <c r="AI1142" s="15"/>
      <c r="AJ1142" s="15"/>
      <c r="AK1142" s="15"/>
      <c r="AL1142" s="15"/>
      <c r="AM1142" s="15"/>
      <c r="AN1142" s="15"/>
      <c r="AO1142" s="15"/>
      <c r="AP1142" s="15"/>
      <c r="AQ1142" s="15"/>
      <c r="AR1142" s="15"/>
      <c r="AS1142" s="15"/>
      <c r="AT1142" s="15"/>
      <c r="AU1142" s="15"/>
      <c r="AV1142" s="15"/>
      <c r="AW1142" s="15"/>
      <c r="AX1142" s="15"/>
      <c r="AY1142" s="15"/>
      <c r="AZ1142" s="15"/>
      <c r="BA1142" s="15"/>
      <c r="BB1142" s="15"/>
      <c r="BC1142" s="15"/>
      <c r="BD1142" s="15"/>
      <c r="BE1142" s="15"/>
      <c r="BF1142" s="15"/>
      <c r="BG1142" s="15"/>
      <c r="BH1142" s="15"/>
      <c r="BI1142" s="15"/>
      <c r="BJ1142" s="15"/>
      <c r="BK1142" s="15"/>
      <c r="BL1142" s="15"/>
      <c r="BM1142" s="15"/>
      <c r="BN1142" s="15"/>
      <c r="BO1142" s="15"/>
      <c r="BP1142" s="15"/>
      <c r="BQ1142" s="15"/>
      <c r="BR1142" s="15"/>
      <c r="BS1142" s="15"/>
      <c r="BT1142" s="15"/>
      <c r="BU1142" s="15"/>
      <c r="BV1142" s="15"/>
      <c r="BW1142" s="15"/>
      <c r="BX1142" s="15"/>
      <c r="BY1142" s="15"/>
      <c r="BZ1142" s="15"/>
      <c r="CA1142" s="15"/>
      <c r="CB1142" s="15"/>
    </row>
    <row r="1143" spans="1:80" ht="12.75" hidden="1" customHeight="1">
      <c r="A1143" s="20">
        <f ca="1">IFERROR(__xludf.DUMMYFUNCTION("""COMPUTED_VALUE"""),2015)</f>
        <v>2015</v>
      </c>
      <c r="B1143" s="45">
        <f ca="1">IFERROR(__xludf.DUMMYFUNCTION("""COMPUTED_VALUE"""),42618)</f>
        <v>42618</v>
      </c>
      <c r="C1143" s="46">
        <f ca="1">IFERROR(__xludf.DUMMYFUNCTION("""COMPUTED_VALUE"""),43362)</f>
        <v>43362</v>
      </c>
      <c r="D1143" s="47" t="str">
        <f ca="1">IFERROR(__xludf.DUMMYFUNCTION("""COMPUTED_VALUE"""),"Goshawk")</f>
        <v>Goshawk</v>
      </c>
      <c r="E1143" s="52">
        <f ca="1">IFERROR(__xludf.DUMMYFUNCTION("""COMPUTED_VALUE"""),2)</f>
        <v>2</v>
      </c>
      <c r="F1143" s="25"/>
      <c r="G1143" s="48" t="str">
        <f ca="1">IFERROR(__xludf.DUMMYFUNCTION("""COMPUTED_VALUE"""),"Peckforton")</f>
        <v>Peckforton</v>
      </c>
      <c r="H1143" s="22">
        <f ca="1">IFERROR(__xludf.DUMMYFUNCTION("""COMPUTED_VALUE"""),42093)</f>
        <v>42093</v>
      </c>
      <c r="I1143" s="22">
        <f ca="1">IFERROR(__xludf.DUMMYFUNCTION("""COMPUTED_VALUE"""),42093)</f>
        <v>42093</v>
      </c>
      <c r="J1143" s="24" t="str">
        <f ca="1">IFERROR(__xludf.DUMMYFUNCTION("""COMPUTED_VALUE"""),"MR Miles")</f>
        <v>MR Miles</v>
      </c>
      <c r="K1143" s="25"/>
      <c r="L1143" s="27" t="str">
        <f ca="1">IFERROR(__xludf.DUMMYFUNCTION("""COMPUTED_VALUE"""),"closed")</f>
        <v>closed</v>
      </c>
      <c r="M1143" s="27" t="str">
        <f ca="1">IFERROR(__xludf.DUMMYFUNCTION("""COMPUTED_VALUE"""),"1st U")</f>
        <v>1st U</v>
      </c>
      <c r="N1143" s="25" t="str">
        <f ca="1">IFERROR(__xludf.DUMMYFUNCTION("""COMPUTED_VALUE"""),"accepted")</f>
        <v>accepted</v>
      </c>
      <c r="O1143" s="28" t="str">
        <f ca="1">IFERROR(__xludf.DUMMYFUNCTION("""COMPUTED_VALUE"""),"Displaying pair. Description submitted.")</f>
        <v>Displaying pair. Description submitted.</v>
      </c>
      <c r="P1143" s="25"/>
      <c r="Q1143" s="25"/>
      <c r="R1143" s="25"/>
      <c r="S1143" s="25"/>
      <c r="T1143" s="25"/>
      <c r="U1143" s="25"/>
      <c r="V1143" s="25"/>
      <c r="W1143" s="25"/>
      <c r="X1143" s="25"/>
      <c r="Y1143" s="25"/>
      <c r="Z1143" s="25"/>
      <c r="AA1143" s="25"/>
      <c r="AB1143" s="25"/>
      <c r="AC1143" s="25"/>
      <c r="AD1143" s="25"/>
      <c r="AE1143" s="25"/>
      <c r="AF1143" s="25"/>
      <c r="AG1143" s="25"/>
      <c r="AH1143" s="25"/>
      <c r="AI1143" s="25"/>
      <c r="AJ1143" s="25"/>
      <c r="AK1143" s="25"/>
      <c r="AL1143" s="25"/>
      <c r="AM1143" s="25"/>
      <c r="AN1143" s="25"/>
      <c r="AO1143" s="25"/>
      <c r="AP1143" s="25"/>
      <c r="AQ1143" s="25"/>
      <c r="AR1143" s="25"/>
      <c r="AS1143" s="25"/>
      <c r="AT1143" s="25"/>
      <c r="AU1143" s="25"/>
      <c r="AV1143" s="25"/>
      <c r="AW1143" s="25"/>
      <c r="AX1143" s="25"/>
      <c r="AY1143" s="25"/>
      <c r="AZ1143" s="25"/>
      <c r="BA1143" s="25"/>
      <c r="BB1143" s="25"/>
      <c r="BC1143" s="25"/>
      <c r="BD1143" s="25"/>
      <c r="BE1143" s="25"/>
      <c r="BF1143" s="25"/>
      <c r="BG1143" s="25"/>
      <c r="BH1143" s="25"/>
      <c r="BI1143" s="25"/>
      <c r="BJ1143" s="25"/>
      <c r="BK1143" s="25"/>
      <c r="BL1143" s="25"/>
      <c r="BM1143" s="25"/>
      <c r="BN1143" s="25"/>
      <c r="BO1143" s="25"/>
      <c r="BP1143" s="25"/>
      <c r="BQ1143" s="25"/>
      <c r="BR1143" s="25"/>
      <c r="BS1143" s="25"/>
      <c r="BT1143" s="25"/>
      <c r="BU1143" s="25"/>
      <c r="BV1143" s="25"/>
      <c r="BW1143" s="25"/>
      <c r="BX1143" s="25"/>
      <c r="BY1143" s="25"/>
      <c r="BZ1143" s="25"/>
      <c r="CA1143" s="25"/>
      <c r="CB1143" s="25"/>
    </row>
    <row r="1144" spans="1:80" ht="12.75" hidden="1" customHeight="1">
      <c r="A1144" s="10">
        <f ca="1">IFERROR(__xludf.DUMMYFUNCTION("""COMPUTED_VALUE"""),2015)</f>
        <v>2015</v>
      </c>
      <c r="B1144" s="50">
        <f ca="1">IFERROR(__xludf.DUMMYFUNCTION("""COMPUTED_VALUE"""),42618)</f>
        <v>42618</v>
      </c>
      <c r="C1144" s="41"/>
      <c r="D1144" s="42" t="str">
        <f ca="1">IFERROR(__xludf.DUMMYFUNCTION("""COMPUTED_VALUE"""),"White-tailed Eagle")</f>
        <v>White-tailed Eagle</v>
      </c>
      <c r="E1144" s="53">
        <f ca="1">IFERROR(__xludf.DUMMYFUNCTION("""COMPUTED_VALUE"""),1)</f>
        <v>1</v>
      </c>
      <c r="F1144" s="15" t="str">
        <f ca="1">IFERROR(__xludf.DUMMYFUNCTION("""COMPUTED_VALUE"""),"juv")</f>
        <v>juv</v>
      </c>
      <c r="G1144" s="62" t="str">
        <f ca="1">IFERROR(__xludf.DUMMYFUNCTION("""COMPUTED_VALUE"""),"River Weaver, Hartford")</f>
        <v>River Weaver, Hartford</v>
      </c>
      <c r="H1144" s="12">
        <f ca="1">IFERROR(__xludf.DUMMYFUNCTION("""COMPUTED_VALUE"""),42167)</f>
        <v>42167</v>
      </c>
      <c r="I1144" s="12">
        <f ca="1">IFERROR(__xludf.DUMMYFUNCTION("""COMPUTED_VALUE"""),42167)</f>
        <v>42167</v>
      </c>
      <c r="J1144" s="75"/>
      <c r="K1144" s="58"/>
      <c r="L1144" s="17" t="str">
        <f ca="1">IFERROR(__xludf.DUMMYFUNCTION("""COMPUTED_VALUE"""),"closed")</f>
        <v>closed</v>
      </c>
      <c r="M1144" s="17" t="str">
        <f ca="1">IFERROR(__xludf.DUMMYFUNCTION("""COMPUTED_VALUE"""),"1st U")</f>
        <v>1st U</v>
      </c>
      <c r="N1144" s="58" t="str">
        <f ca="1">IFERROR(__xludf.DUMMYFUNCTION("""COMPUTED_VALUE"""),"unproven")</f>
        <v>unproven</v>
      </c>
      <c r="O1144" s="76" t="str">
        <f ca="1">IFERROR(__xludf.DUMMYFUNCTION("""COMPUTED_VALUE"""),"Raven not eliminated")</f>
        <v>Raven not eliminated</v>
      </c>
      <c r="P1144" s="58"/>
      <c r="Q1144" s="58"/>
      <c r="R1144" s="58"/>
      <c r="S1144" s="15"/>
      <c r="T1144" s="15"/>
      <c r="U1144" s="15"/>
      <c r="V1144" s="15"/>
      <c r="W1144" s="15"/>
      <c r="X1144" s="15"/>
      <c r="Y1144" s="15"/>
      <c r="Z1144" s="15"/>
      <c r="AA1144" s="15"/>
      <c r="AB1144" s="15"/>
      <c r="AC1144" s="15"/>
      <c r="AD1144" s="15"/>
      <c r="AE1144" s="15"/>
      <c r="AF1144" s="15"/>
      <c r="AG1144" s="15"/>
      <c r="AH1144" s="15"/>
      <c r="AI1144" s="15"/>
      <c r="AJ1144" s="15"/>
      <c r="AK1144" s="15"/>
      <c r="AL1144" s="15"/>
      <c r="AM1144" s="15"/>
      <c r="AN1144" s="15"/>
      <c r="AO1144" s="15"/>
      <c r="AP1144" s="15"/>
      <c r="AQ1144" s="15"/>
      <c r="AR1144" s="15"/>
      <c r="AS1144" s="15"/>
      <c r="AT1144" s="15"/>
      <c r="AU1144" s="15"/>
      <c r="AV1144" s="15"/>
      <c r="AW1144" s="15"/>
      <c r="AX1144" s="15"/>
      <c r="AY1144" s="15"/>
      <c r="AZ1144" s="15"/>
      <c r="BA1144" s="15"/>
      <c r="BB1144" s="15"/>
      <c r="BC1144" s="15"/>
      <c r="BD1144" s="15"/>
      <c r="BE1144" s="15"/>
      <c r="BF1144" s="15"/>
      <c r="BG1144" s="15"/>
      <c r="BH1144" s="15"/>
      <c r="BI1144" s="15"/>
      <c r="BJ1144" s="15"/>
      <c r="BK1144" s="15"/>
      <c r="BL1144" s="15"/>
      <c r="BM1144" s="15"/>
      <c r="BN1144" s="15"/>
      <c r="BO1144" s="15"/>
      <c r="BP1144" s="15"/>
      <c r="BQ1144" s="15"/>
      <c r="BR1144" s="15"/>
      <c r="BS1144" s="15"/>
      <c r="BT1144" s="15"/>
      <c r="BU1144" s="15"/>
      <c r="BV1144" s="15"/>
      <c r="BW1144" s="15"/>
      <c r="BX1144" s="15"/>
      <c r="BY1144" s="15"/>
      <c r="BZ1144" s="15"/>
      <c r="CA1144" s="15"/>
      <c r="CB1144" s="15"/>
    </row>
    <row r="1145" spans="1:80" ht="12.75" hidden="1" customHeight="1">
      <c r="A1145" s="20">
        <f ca="1">IFERROR(__xludf.DUMMYFUNCTION("""COMPUTED_VALUE"""),2015)</f>
        <v>2015</v>
      </c>
      <c r="B1145" s="45">
        <f ca="1">IFERROR(__xludf.DUMMYFUNCTION("""COMPUTED_VALUE"""),42618)</f>
        <v>42618</v>
      </c>
      <c r="C1145" s="46"/>
      <c r="D1145" s="47" t="str">
        <f ca="1">IFERROR(__xludf.DUMMYFUNCTION("""COMPUTED_VALUE"""),"Hoopoe")</f>
        <v>Hoopoe</v>
      </c>
      <c r="E1145" s="52">
        <f ca="1">IFERROR(__xludf.DUMMYFUNCTION("""COMPUTED_VALUE"""),1)</f>
        <v>1</v>
      </c>
      <c r="F1145" s="25"/>
      <c r="G1145" s="48" t="str">
        <f ca="1">IFERROR(__xludf.DUMMYFUNCTION("""COMPUTED_VALUE"""),"New Brighton")</f>
        <v>New Brighton</v>
      </c>
      <c r="H1145" s="22">
        <f ca="1">IFERROR(__xludf.DUMMYFUNCTION("""COMPUTED_VALUE"""),42255)</f>
        <v>42255</v>
      </c>
      <c r="I1145" s="22">
        <f ca="1">IFERROR(__xludf.DUMMYFUNCTION("""COMPUTED_VALUE"""),42255)</f>
        <v>42255</v>
      </c>
      <c r="J1145" s="24" t="str">
        <f ca="1">IFERROR(__xludf.DUMMYFUNCTION("""COMPUTED_VALUE"""),"CC Schofield")</f>
        <v>CC Schofield</v>
      </c>
      <c r="K1145" s="25" t="str">
        <f ca="1">IFERROR(__xludf.DUMMYFUNCTION("""COMPUTED_VALUE"""),"Joe Bellis")</f>
        <v>Joe Bellis</v>
      </c>
      <c r="L1145" s="27" t="str">
        <f ca="1">IFERROR(__xludf.DUMMYFUNCTION("""COMPUTED_VALUE"""),"closed")</f>
        <v>closed</v>
      </c>
      <c r="M1145" s="27" t="str">
        <f ca="1">IFERROR(__xludf.DUMMYFUNCTION("""COMPUTED_VALUE"""),"1st U")</f>
        <v>1st U</v>
      </c>
      <c r="N1145" s="25" t="str">
        <f ca="1">IFERROR(__xludf.DUMMYFUNCTION("""COMPUTED_VALUE"""),"accepted")</f>
        <v>accepted</v>
      </c>
      <c r="O1145" s="28" t="str">
        <f ca="1">IFERROR(__xludf.DUMMYFUNCTION("""COMPUTED_VALUE"""),"in circulation")</f>
        <v>in circulation</v>
      </c>
      <c r="P1145" s="25"/>
      <c r="Q1145" s="25"/>
      <c r="R1145" s="25"/>
      <c r="S1145" s="25"/>
      <c r="T1145" s="25"/>
      <c r="U1145" s="25"/>
      <c r="V1145" s="25"/>
      <c r="W1145" s="25"/>
      <c r="X1145" s="25"/>
      <c r="Y1145" s="25"/>
      <c r="Z1145" s="25"/>
      <c r="AA1145" s="25"/>
      <c r="AB1145" s="25"/>
      <c r="AC1145" s="25"/>
      <c r="AD1145" s="25"/>
      <c r="AE1145" s="25"/>
      <c r="AF1145" s="25"/>
      <c r="AG1145" s="25"/>
      <c r="AH1145" s="25"/>
      <c r="AI1145" s="25"/>
      <c r="AJ1145" s="25"/>
      <c r="AK1145" s="25"/>
      <c r="AL1145" s="25"/>
      <c r="AM1145" s="25"/>
      <c r="AN1145" s="25"/>
      <c r="AO1145" s="25"/>
      <c r="AP1145" s="25"/>
      <c r="AQ1145" s="25"/>
      <c r="AR1145" s="25"/>
      <c r="AS1145" s="25"/>
      <c r="AT1145" s="25"/>
      <c r="AU1145" s="25"/>
      <c r="AV1145" s="25"/>
      <c r="AW1145" s="25"/>
      <c r="AX1145" s="25"/>
      <c r="AY1145" s="25"/>
      <c r="AZ1145" s="25"/>
      <c r="BA1145" s="25"/>
      <c r="BB1145" s="25"/>
      <c r="BC1145" s="25"/>
      <c r="BD1145" s="25"/>
      <c r="BE1145" s="25"/>
      <c r="BF1145" s="25"/>
      <c r="BG1145" s="25"/>
      <c r="BH1145" s="25"/>
      <c r="BI1145" s="25"/>
      <c r="BJ1145" s="25"/>
      <c r="BK1145" s="25"/>
      <c r="BL1145" s="25"/>
      <c r="BM1145" s="25"/>
      <c r="BN1145" s="25"/>
      <c r="BO1145" s="25"/>
      <c r="BP1145" s="25"/>
      <c r="BQ1145" s="25"/>
      <c r="BR1145" s="25"/>
      <c r="BS1145" s="25"/>
      <c r="BT1145" s="25"/>
      <c r="BU1145" s="25"/>
      <c r="BV1145" s="25"/>
      <c r="BW1145" s="25"/>
      <c r="BX1145" s="25"/>
      <c r="BY1145" s="25"/>
      <c r="BZ1145" s="25"/>
      <c r="CA1145" s="25"/>
      <c r="CB1145" s="25"/>
    </row>
    <row r="1146" spans="1:80" ht="12.75" hidden="1" customHeight="1">
      <c r="A1146" s="10">
        <f ca="1">IFERROR(__xludf.DUMMYFUNCTION("""COMPUTED_VALUE"""),2015)</f>
        <v>2015</v>
      </c>
      <c r="B1146" s="50">
        <f ca="1">IFERROR(__xludf.DUMMYFUNCTION("""COMPUTED_VALUE"""),42632)</f>
        <v>42632</v>
      </c>
      <c r="C1146" s="41">
        <f ca="1">IFERROR(__xludf.DUMMYFUNCTION("""COMPUTED_VALUE"""),42636)</f>
        <v>42636</v>
      </c>
      <c r="D1146" s="42" t="str">
        <f ca="1">IFERROR(__xludf.DUMMYFUNCTION("""COMPUTED_VALUE"""),"Red-footed Falcon")</f>
        <v>Red-footed Falcon</v>
      </c>
      <c r="E1146" s="53">
        <f ca="1">IFERROR(__xludf.DUMMYFUNCTION("""COMPUTED_VALUE"""),1)</f>
        <v>1</v>
      </c>
      <c r="F1146" s="15" t="str">
        <f ca="1">IFERROR(__xludf.DUMMYFUNCTION("""COMPUTED_VALUE"""),"1st S male")</f>
        <v>1st S male</v>
      </c>
      <c r="G1146" s="44" t="str">
        <f ca="1">IFERROR(__xludf.DUMMYFUNCTION("""COMPUTED_VALUE"""),"Chester, Manor Park")</f>
        <v>Chester, Manor Park</v>
      </c>
      <c r="H1146" s="12">
        <f ca="1">IFERROR(__xludf.DUMMYFUNCTION("""COMPUTED_VALUE"""),42126)</f>
        <v>42126</v>
      </c>
      <c r="I1146" s="13"/>
      <c r="J1146" s="14"/>
      <c r="K1146" s="15"/>
      <c r="L1146" s="17" t="str">
        <f ca="1">IFERROR(__xludf.DUMMYFUNCTION("""COMPUTED_VALUE"""),"closed")</f>
        <v>closed</v>
      </c>
      <c r="M1146" s="17" t="str">
        <f ca="1">IFERROR(__xludf.DUMMYFUNCTION("""COMPUTED_VALUE"""),"2nd U")</f>
        <v>2nd U</v>
      </c>
      <c r="N1146" s="15" t="str">
        <f ca="1">IFERROR(__xludf.DUMMYFUNCTION("""COMPUTED_VALUE"""),"unproven")</f>
        <v>unproven</v>
      </c>
      <c r="O1146" s="18"/>
      <c r="P1146" s="15"/>
      <c r="Q1146" s="15"/>
      <c r="R1146" s="15"/>
      <c r="S1146" s="15"/>
      <c r="T1146" s="15"/>
      <c r="U1146" s="15"/>
      <c r="V1146" s="15"/>
      <c r="W1146" s="15"/>
      <c r="X1146" s="15"/>
      <c r="Y1146" s="15"/>
      <c r="Z1146" s="15"/>
      <c r="AA1146" s="15"/>
      <c r="AB1146" s="15"/>
      <c r="AC1146" s="15"/>
      <c r="AD1146" s="15"/>
      <c r="AE1146" s="15"/>
      <c r="AF1146" s="15"/>
      <c r="AG1146" s="15"/>
      <c r="AH1146" s="15"/>
      <c r="AI1146" s="15"/>
      <c r="AJ1146" s="15"/>
      <c r="AK1146" s="15"/>
      <c r="AL1146" s="15"/>
      <c r="AM1146" s="15"/>
      <c r="AN1146" s="15"/>
      <c r="AO1146" s="15"/>
      <c r="AP1146" s="15"/>
      <c r="AQ1146" s="15"/>
      <c r="AR1146" s="15"/>
      <c r="AS1146" s="15"/>
      <c r="AT1146" s="15"/>
      <c r="AU1146" s="15"/>
      <c r="AV1146" s="15"/>
      <c r="AW1146" s="15"/>
      <c r="AX1146" s="15"/>
      <c r="AY1146" s="15"/>
      <c r="AZ1146" s="15"/>
      <c r="BA1146" s="15"/>
      <c r="BB1146" s="15"/>
      <c r="BC1146" s="15"/>
      <c r="BD1146" s="15"/>
      <c r="BE1146" s="15"/>
      <c r="BF1146" s="15"/>
      <c r="BG1146" s="15"/>
      <c r="BH1146" s="15"/>
      <c r="BI1146" s="15"/>
      <c r="BJ1146" s="15"/>
      <c r="BK1146" s="15"/>
      <c r="BL1146" s="15"/>
      <c r="BM1146" s="15"/>
      <c r="BN1146" s="15"/>
      <c r="BO1146" s="15"/>
      <c r="BP1146" s="15"/>
      <c r="BQ1146" s="15"/>
      <c r="BR1146" s="15"/>
      <c r="BS1146" s="15"/>
      <c r="BT1146" s="15"/>
      <c r="BU1146" s="15"/>
      <c r="BV1146" s="15"/>
      <c r="BW1146" s="15"/>
      <c r="BX1146" s="15"/>
      <c r="BY1146" s="15"/>
      <c r="BZ1146" s="15"/>
      <c r="CA1146" s="15"/>
      <c r="CB1146" s="15"/>
    </row>
    <row r="1147" spans="1:80" ht="12.75" hidden="1" customHeight="1">
      <c r="A1147" s="20">
        <f ca="1">IFERROR(__xludf.DUMMYFUNCTION("""COMPUTED_VALUE"""),2015)</f>
        <v>2015</v>
      </c>
      <c r="B1147" s="45">
        <f ca="1">IFERROR(__xludf.DUMMYFUNCTION("""COMPUTED_VALUE"""),42618)</f>
        <v>42618</v>
      </c>
      <c r="C1147" s="46"/>
      <c r="D1147" s="47" t="str">
        <f ca="1">IFERROR(__xludf.DUMMYFUNCTION("""COMPUTED_VALUE"""),"Willow Warbler [acredula race]")</f>
        <v>Willow Warbler [acredula race]</v>
      </c>
      <c r="E1147" s="52">
        <f ca="1">IFERROR(__xludf.DUMMYFUNCTION("""COMPUTED_VALUE"""),1)</f>
        <v>1</v>
      </c>
      <c r="F1147" s="40"/>
      <c r="G1147" s="71" t="str">
        <f ca="1">IFERROR(__xludf.DUMMYFUNCTION("""COMPUTED_VALUE"""),"No. 3 Bed, Woolston Eyes")</f>
        <v>No. 3 Bed, Woolston Eyes</v>
      </c>
      <c r="H1147" s="22">
        <f ca="1">IFERROR(__xludf.DUMMYFUNCTION("""COMPUTED_VALUE"""),42245)</f>
        <v>42245</v>
      </c>
      <c r="I1147" s="77">
        <f ca="1">IFERROR(__xludf.DUMMYFUNCTION("""COMPUTED_VALUE"""),42245)</f>
        <v>42245</v>
      </c>
      <c r="J1147" s="73" t="str">
        <f ca="1">IFERROR(__xludf.DUMMYFUNCTION("""COMPUTED_VALUE"""),"AH Pulsford")</f>
        <v>AH Pulsford</v>
      </c>
      <c r="K1147" s="40"/>
      <c r="L1147" s="27" t="str">
        <f ca="1">IFERROR(__xludf.DUMMYFUNCTION("""COMPUTED_VALUE"""),"closed")</f>
        <v>closed</v>
      </c>
      <c r="M1147" s="27" t="str">
        <f ca="1">IFERROR(__xludf.DUMMYFUNCTION("""COMPUTED_VALUE"""),"proxy")</f>
        <v>proxy</v>
      </c>
      <c r="N1147" s="40" t="str">
        <f ca="1">IFERROR(__xludf.DUMMYFUNCTION("""COMPUTED_VALUE"""),"accepted")</f>
        <v>accepted</v>
      </c>
      <c r="O1147" s="74" t="str">
        <f ca="1">IFERROR(__xludf.DUMMYFUNCTION("""COMPUTED_VALUE"""),"trapped")</f>
        <v>trapped</v>
      </c>
      <c r="P1147" s="40"/>
      <c r="Q1147" s="25"/>
      <c r="R1147" s="40"/>
      <c r="S1147" s="25"/>
      <c r="T1147" s="25"/>
      <c r="U1147" s="25"/>
      <c r="V1147" s="25"/>
      <c r="W1147" s="25"/>
      <c r="X1147" s="25"/>
      <c r="Y1147" s="25"/>
      <c r="Z1147" s="25"/>
      <c r="AA1147" s="25"/>
      <c r="AB1147" s="25"/>
      <c r="AC1147" s="25"/>
      <c r="AD1147" s="25"/>
      <c r="AE1147" s="25"/>
      <c r="AF1147" s="25"/>
      <c r="AG1147" s="25"/>
      <c r="AH1147" s="25"/>
      <c r="AI1147" s="25"/>
      <c r="AJ1147" s="25"/>
      <c r="AK1147" s="25"/>
      <c r="AL1147" s="25"/>
      <c r="AM1147" s="25"/>
      <c r="AN1147" s="25"/>
      <c r="AO1147" s="25"/>
      <c r="AP1147" s="25"/>
      <c r="AQ1147" s="25"/>
      <c r="AR1147" s="25"/>
      <c r="AS1147" s="25"/>
      <c r="AT1147" s="25"/>
      <c r="AU1147" s="25"/>
      <c r="AV1147" s="25"/>
      <c r="AW1147" s="25"/>
      <c r="AX1147" s="25"/>
      <c r="AY1147" s="25"/>
      <c r="AZ1147" s="25"/>
      <c r="BA1147" s="25"/>
      <c r="BB1147" s="25"/>
      <c r="BC1147" s="25"/>
      <c r="BD1147" s="25"/>
      <c r="BE1147" s="25"/>
      <c r="BF1147" s="25"/>
      <c r="BG1147" s="25"/>
      <c r="BH1147" s="25"/>
      <c r="BI1147" s="25"/>
      <c r="BJ1147" s="25"/>
      <c r="BK1147" s="25"/>
      <c r="BL1147" s="25"/>
      <c r="BM1147" s="25"/>
      <c r="BN1147" s="25"/>
      <c r="BO1147" s="25"/>
      <c r="BP1147" s="25"/>
      <c r="BQ1147" s="25"/>
      <c r="BR1147" s="25"/>
      <c r="BS1147" s="25"/>
      <c r="BT1147" s="25"/>
      <c r="BU1147" s="25"/>
      <c r="BV1147" s="25"/>
      <c r="BW1147" s="25"/>
      <c r="BX1147" s="25"/>
      <c r="BY1147" s="25"/>
      <c r="BZ1147" s="25"/>
      <c r="CA1147" s="25"/>
      <c r="CB1147" s="25"/>
    </row>
    <row r="1148" spans="1:80" ht="12.75" hidden="1" customHeight="1">
      <c r="A1148" s="10">
        <f ca="1">IFERROR(__xludf.DUMMYFUNCTION("""COMPUTED_VALUE"""),2015)</f>
        <v>2015</v>
      </c>
      <c r="B1148" s="50">
        <f ca="1">IFERROR(__xludf.DUMMYFUNCTION("""COMPUTED_VALUE"""),42618)</f>
        <v>42618</v>
      </c>
      <c r="C1148" s="41">
        <f ca="1">IFERROR(__xludf.DUMMYFUNCTION("""COMPUTED_VALUE"""),42677)</f>
        <v>42677</v>
      </c>
      <c r="D1148" s="42" t="str">
        <f ca="1">IFERROR(__xludf.DUMMYFUNCTION("""COMPUTED_VALUE"""),"Red-backed Shrike")</f>
        <v>Red-backed Shrike</v>
      </c>
      <c r="E1148" s="53">
        <f ca="1">IFERROR(__xludf.DUMMYFUNCTION("""COMPUTED_VALUE"""),1)</f>
        <v>1</v>
      </c>
      <c r="F1148" s="15"/>
      <c r="G1148" s="44" t="str">
        <f ca="1">IFERROR(__xludf.DUMMYFUNCTION("""COMPUTED_VALUE"""),"No. 1 Tank, Frodsham Marsh")</f>
        <v>No. 1 Tank, Frodsham Marsh</v>
      </c>
      <c r="H1148" s="12">
        <f ca="1">IFERROR(__xludf.DUMMYFUNCTION("""COMPUTED_VALUE"""),42154)</f>
        <v>42154</v>
      </c>
      <c r="I1148" s="12">
        <f ca="1">IFERROR(__xludf.DUMMYFUNCTION("""COMPUTED_VALUE"""),42154)</f>
        <v>42154</v>
      </c>
      <c r="J1148" s="14" t="str">
        <f ca="1">IFERROR(__xludf.DUMMYFUNCTION("""COMPUTED_VALUE"""),"FMB Frodsham Marsh Bird Blog")</f>
        <v>FMB Frodsham Marsh Bird Blog</v>
      </c>
      <c r="K1148" s="15" t="str">
        <f ca="1">IFERROR(__xludf.DUMMYFUNCTION("""COMPUTED_VALUE"""),"Graham Manson, Steve O'Connel")</f>
        <v>Graham Manson, Steve O'Connel</v>
      </c>
      <c r="L1148" s="17" t="str">
        <f ca="1">IFERROR(__xludf.DUMMYFUNCTION("""COMPUTED_VALUE"""),"closed")</f>
        <v>closed</v>
      </c>
      <c r="M1148" s="17" t="str">
        <f ca="1">IFERROR(__xludf.DUMMYFUNCTION("""COMPUTED_VALUE"""),"1st U")</f>
        <v>1st U</v>
      </c>
      <c r="N1148" s="58" t="str">
        <f ca="1">IFERROR(__xludf.DUMMYFUNCTION("""COMPUTED_VALUE"""),"accepted")</f>
        <v>accepted</v>
      </c>
      <c r="O1148" s="18"/>
      <c r="P1148" s="15"/>
      <c r="Q1148" s="15"/>
      <c r="R1148" s="15"/>
      <c r="S1148" s="15"/>
      <c r="T1148" s="15"/>
      <c r="U1148" s="15"/>
      <c r="V1148" s="15"/>
      <c r="W1148" s="15"/>
      <c r="X1148" s="15"/>
      <c r="Y1148" s="15"/>
      <c r="Z1148" s="15"/>
      <c r="AA1148" s="15"/>
      <c r="AB1148" s="15"/>
      <c r="AC1148" s="15"/>
      <c r="AD1148" s="15"/>
      <c r="AE1148" s="15"/>
      <c r="AF1148" s="15"/>
      <c r="AG1148" s="15"/>
      <c r="AH1148" s="15"/>
      <c r="AI1148" s="15"/>
      <c r="AJ1148" s="15"/>
      <c r="AK1148" s="15"/>
      <c r="AL1148" s="15"/>
      <c r="AM1148" s="15"/>
      <c r="AN1148" s="15"/>
      <c r="AO1148" s="15"/>
      <c r="AP1148" s="15"/>
      <c r="AQ1148" s="15"/>
      <c r="AR1148" s="15"/>
      <c r="AS1148" s="15"/>
      <c r="AT1148" s="15"/>
      <c r="AU1148" s="15"/>
      <c r="AV1148" s="15"/>
      <c r="AW1148" s="15"/>
      <c r="AX1148" s="15"/>
      <c r="AY1148" s="15"/>
      <c r="AZ1148" s="15"/>
      <c r="BA1148" s="15"/>
      <c r="BB1148" s="15"/>
      <c r="BC1148" s="15"/>
      <c r="BD1148" s="15"/>
      <c r="BE1148" s="15"/>
      <c r="BF1148" s="15"/>
      <c r="BG1148" s="15"/>
      <c r="BH1148" s="15"/>
      <c r="BI1148" s="15"/>
      <c r="BJ1148" s="15"/>
      <c r="BK1148" s="15"/>
      <c r="BL1148" s="15"/>
      <c r="BM1148" s="15"/>
      <c r="BN1148" s="15"/>
      <c r="BO1148" s="15"/>
      <c r="BP1148" s="15"/>
      <c r="BQ1148" s="15"/>
      <c r="BR1148" s="15"/>
      <c r="BS1148" s="15"/>
      <c r="BT1148" s="15"/>
      <c r="BU1148" s="15"/>
      <c r="BV1148" s="15"/>
      <c r="BW1148" s="15"/>
      <c r="BX1148" s="15"/>
      <c r="BY1148" s="15"/>
      <c r="BZ1148" s="15"/>
      <c r="CA1148" s="15"/>
      <c r="CB1148" s="15"/>
    </row>
    <row r="1149" spans="1:80" ht="12.75" hidden="1" customHeight="1">
      <c r="A1149" s="20">
        <f ca="1">IFERROR(__xludf.DUMMYFUNCTION("""COMPUTED_VALUE"""),2015)</f>
        <v>2015</v>
      </c>
      <c r="B1149" s="45">
        <f ca="1">IFERROR(__xludf.DUMMYFUNCTION("""COMPUTED_VALUE"""),42618)</f>
        <v>42618</v>
      </c>
      <c r="C1149" s="46">
        <f ca="1">IFERROR(__xludf.DUMMYFUNCTION("""COMPUTED_VALUE"""),42677)</f>
        <v>42677</v>
      </c>
      <c r="D1149" s="47" t="str">
        <f ca="1">IFERROR(__xludf.DUMMYFUNCTION("""COMPUTED_VALUE"""),"Red-backed Shrike")</f>
        <v>Red-backed Shrike</v>
      </c>
      <c r="E1149" s="52">
        <f ca="1">IFERROR(__xludf.DUMMYFUNCTION("""COMPUTED_VALUE"""),1)</f>
        <v>1</v>
      </c>
      <c r="F1149" s="40"/>
      <c r="G1149" s="71" t="str">
        <f ca="1">IFERROR(__xludf.DUMMYFUNCTION("""COMPUTED_VALUE"""),"Meols")</f>
        <v>Meols</v>
      </c>
      <c r="H1149" s="22">
        <f ca="1">IFERROR(__xludf.DUMMYFUNCTION("""COMPUTED_VALUE"""),42252)</f>
        <v>42252</v>
      </c>
      <c r="I1149" s="22">
        <f ca="1">IFERROR(__xludf.DUMMYFUNCTION("""COMPUTED_VALUE"""),42252)</f>
        <v>42252</v>
      </c>
      <c r="J1149" s="73" t="str">
        <f ca="1">IFERROR(__xludf.DUMMYFUNCTION("""COMPUTED_VALUE"""),"Turner, JE")</f>
        <v>Turner, JE</v>
      </c>
      <c r="K1149" s="40" t="str">
        <f ca="1">IFERROR(__xludf.DUMMYFUNCTION("""COMPUTED_VALUE"""),"A. Conlin")</f>
        <v>A. Conlin</v>
      </c>
      <c r="L1149" s="27" t="str">
        <f ca="1">IFERROR(__xludf.DUMMYFUNCTION("""COMPUTED_VALUE"""),"closed")</f>
        <v>closed</v>
      </c>
      <c r="M1149" s="27" t="str">
        <f ca="1">IFERROR(__xludf.DUMMYFUNCTION("""COMPUTED_VALUE"""),"1st U")</f>
        <v>1st U</v>
      </c>
      <c r="N1149" s="40" t="str">
        <f ca="1">IFERROR(__xludf.DUMMYFUNCTION("""COMPUTED_VALUE"""),"accepted")</f>
        <v>accepted</v>
      </c>
      <c r="O1149" s="74" t="str">
        <f ca="1">IFERROR(__xludf.DUMMYFUNCTION("""COMPUTED_VALUE"""),"don't put my name on this")</f>
        <v>don't put my name on this</v>
      </c>
      <c r="P1149" s="25"/>
      <c r="Q1149" s="25"/>
      <c r="R1149" s="40"/>
      <c r="S1149" s="25"/>
      <c r="T1149" s="25"/>
      <c r="U1149" s="25"/>
      <c r="V1149" s="25"/>
      <c r="W1149" s="25"/>
      <c r="X1149" s="25"/>
      <c r="Y1149" s="25"/>
      <c r="Z1149" s="25"/>
      <c r="AA1149" s="25"/>
      <c r="AB1149" s="25"/>
      <c r="AC1149" s="25"/>
      <c r="AD1149" s="25"/>
      <c r="AE1149" s="25"/>
      <c r="AF1149" s="25"/>
      <c r="AG1149" s="25"/>
      <c r="AH1149" s="25"/>
      <c r="AI1149" s="25"/>
      <c r="AJ1149" s="25"/>
      <c r="AK1149" s="25"/>
      <c r="AL1149" s="25"/>
      <c r="AM1149" s="25"/>
      <c r="AN1149" s="25"/>
      <c r="AO1149" s="25"/>
      <c r="AP1149" s="25"/>
      <c r="AQ1149" s="25"/>
      <c r="AR1149" s="25"/>
      <c r="AS1149" s="25"/>
      <c r="AT1149" s="25"/>
      <c r="AU1149" s="25"/>
      <c r="AV1149" s="25"/>
      <c r="AW1149" s="25"/>
      <c r="AX1149" s="25"/>
      <c r="AY1149" s="25"/>
      <c r="AZ1149" s="25"/>
      <c r="BA1149" s="25"/>
      <c r="BB1149" s="25"/>
      <c r="BC1149" s="25"/>
      <c r="BD1149" s="25"/>
      <c r="BE1149" s="25"/>
      <c r="BF1149" s="25"/>
      <c r="BG1149" s="25"/>
      <c r="BH1149" s="25"/>
      <c r="BI1149" s="25"/>
      <c r="BJ1149" s="25"/>
      <c r="BK1149" s="25"/>
      <c r="BL1149" s="25"/>
      <c r="BM1149" s="25"/>
      <c r="BN1149" s="25"/>
      <c r="BO1149" s="25"/>
      <c r="BP1149" s="25"/>
      <c r="BQ1149" s="25"/>
      <c r="BR1149" s="25"/>
      <c r="BS1149" s="25"/>
      <c r="BT1149" s="25"/>
      <c r="BU1149" s="25"/>
      <c r="BV1149" s="25"/>
      <c r="BW1149" s="25"/>
      <c r="BX1149" s="25"/>
      <c r="BY1149" s="25"/>
      <c r="BZ1149" s="25"/>
      <c r="CA1149" s="25"/>
      <c r="CB1149" s="25"/>
    </row>
    <row r="1150" spans="1:80" ht="12.75" hidden="1" customHeight="1">
      <c r="A1150" s="10">
        <f ca="1">IFERROR(__xludf.DUMMYFUNCTION("""COMPUTED_VALUE"""),2015)</f>
        <v>2015</v>
      </c>
      <c r="B1150" s="50">
        <f ca="1">IFERROR(__xludf.DUMMYFUNCTION("""COMPUTED_VALUE"""),42618)</f>
        <v>42618</v>
      </c>
      <c r="C1150" s="41"/>
      <c r="D1150" s="42" t="str">
        <f ca="1">IFERROR(__xludf.DUMMYFUNCTION("""COMPUTED_VALUE"""),"Great Grey Shrike")</f>
        <v>Great Grey Shrike</v>
      </c>
      <c r="E1150" s="53">
        <f ca="1">IFERROR(__xludf.DUMMYFUNCTION("""COMPUTED_VALUE"""),1)</f>
        <v>1</v>
      </c>
      <c r="F1150" s="15"/>
      <c r="G1150" s="44" t="str">
        <f ca="1">IFERROR(__xludf.DUMMYFUNCTION("""COMPUTED_VALUE"""),"ICI Tank, Frodsham Marsh")</f>
        <v>ICI Tank, Frodsham Marsh</v>
      </c>
      <c r="H1150" s="12">
        <f ca="1">IFERROR(__xludf.DUMMYFUNCTION("""COMPUTED_VALUE"""),42292)</f>
        <v>42292</v>
      </c>
      <c r="I1150" s="12">
        <f ca="1">IFERROR(__xludf.DUMMYFUNCTION("""COMPUTED_VALUE"""),42292)</f>
        <v>42292</v>
      </c>
      <c r="J1150" s="14" t="str">
        <f ca="1">IFERROR(__xludf.DUMMYFUNCTION("""COMPUTED_VALUE"""),"FMB Frodsham Marsh Bird Blog")</f>
        <v>FMB Frodsham Marsh Bird Blog</v>
      </c>
      <c r="K1150" s="15" t="str">
        <f ca="1">IFERROR(__xludf.DUMMYFUNCTION("""COMPUTED_VALUE"""),"Peter Haslam, Paul Miller, Rob Shelton")</f>
        <v>Peter Haslam, Paul Miller, Rob Shelton</v>
      </c>
      <c r="L1150" s="17" t="str">
        <f ca="1">IFERROR(__xludf.DUMMYFUNCTION("""COMPUTED_VALUE"""),"closed")</f>
        <v>closed</v>
      </c>
      <c r="M1150" s="17" t="str">
        <f ca="1">IFERROR(__xludf.DUMMYFUNCTION("""COMPUTED_VALUE"""),"proxy")</f>
        <v>proxy</v>
      </c>
      <c r="N1150" s="15" t="str">
        <f ca="1">IFERROR(__xludf.DUMMYFUNCTION("""COMPUTED_VALUE"""),"accepted")</f>
        <v>accepted</v>
      </c>
      <c r="O1150" s="18"/>
      <c r="P1150" s="15"/>
      <c r="Q1150" s="15"/>
      <c r="R1150" s="15"/>
      <c r="S1150" s="15"/>
      <c r="T1150" s="15"/>
      <c r="U1150" s="15"/>
      <c r="V1150" s="15"/>
      <c r="W1150" s="15"/>
      <c r="X1150" s="15"/>
      <c r="Y1150" s="15"/>
      <c r="Z1150" s="15"/>
      <c r="AA1150" s="15"/>
      <c r="AB1150" s="15"/>
      <c r="AC1150" s="15"/>
      <c r="AD1150" s="15"/>
      <c r="AE1150" s="15"/>
      <c r="AF1150" s="15"/>
      <c r="AG1150" s="15"/>
      <c r="AH1150" s="15"/>
      <c r="AI1150" s="15"/>
      <c r="AJ1150" s="15"/>
      <c r="AK1150" s="15"/>
      <c r="AL1150" s="15"/>
      <c r="AM1150" s="15"/>
      <c r="AN1150" s="15"/>
      <c r="AO1150" s="15"/>
      <c r="AP1150" s="15"/>
      <c r="AQ1150" s="15"/>
      <c r="AR1150" s="15"/>
      <c r="AS1150" s="15"/>
      <c r="AT1150" s="15"/>
      <c r="AU1150" s="15"/>
      <c r="AV1150" s="15"/>
      <c r="AW1150" s="15"/>
      <c r="AX1150" s="15"/>
      <c r="AY1150" s="15"/>
      <c r="AZ1150" s="15"/>
      <c r="BA1150" s="15"/>
      <c r="BB1150" s="15"/>
      <c r="BC1150" s="15"/>
      <c r="BD1150" s="15"/>
      <c r="BE1150" s="15"/>
      <c r="BF1150" s="15"/>
      <c r="BG1150" s="15"/>
      <c r="BH1150" s="15"/>
      <c r="BI1150" s="15"/>
      <c r="BJ1150" s="15"/>
      <c r="BK1150" s="15"/>
      <c r="BL1150" s="15"/>
      <c r="BM1150" s="15"/>
      <c r="BN1150" s="15"/>
      <c r="BO1150" s="15"/>
      <c r="BP1150" s="15"/>
      <c r="BQ1150" s="15"/>
      <c r="BR1150" s="15"/>
      <c r="BS1150" s="15"/>
      <c r="BT1150" s="15"/>
      <c r="BU1150" s="15"/>
      <c r="BV1150" s="15"/>
      <c r="BW1150" s="15"/>
      <c r="BX1150" s="15"/>
      <c r="BY1150" s="15"/>
      <c r="BZ1150" s="15"/>
      <c r="CA1150" s="15"/>
      <c r="CB1150" s="15"/>
    </row>
    <row r="1151" spans="1:80" ht="12.75" hidden="1" customHeight="1">
      <c r="A1151" s="20">
        <f ca="1">IFERROR(__xludf.DUMMYFUNCTION("""COMPUTED_VALUE"""),2015)</f>
        <v>2015</v>
      </c>
      <c r="B1151" s="45">
        <f ca="1">IFERROR(__xludf.DUMMYFUNCTION("""COMPUTED_VALUE"""),42618)</f>
        <v>42618</v>
      </c>
      <c r="C1151" s="46">
        <f ca="1">IFERROR(__xludf.DUMMYFUNCTION("""COMPUTED_VALUE"""),42677)</f>
        <v>42677</v>
      </c>
      <c r="D1151" s="47" t="str">
        <f ca="1">IFERROR(__xludf.DUMMYFUNCTION("""COMPUTED_VALUE"""),"Great Grey Shrike")</f>
        <v>Great Grey Shrike</v>
      </c>
      <c r="E1151" s="52">
        <f ca="1">IFERROR(__xludf.DUMMYFUNCTION("""COMPUTED_VALUE"""),1)</f>
        <v>1</v>
      </c>
      <c r="F1151" s="25"/>
      <c r="G1151" s="48" t="str">
        <f ca="1">IFERROR(__xludf.DUMMYFUNCTION("""COMPUTED_VALUE"""),"Weaver Bend, Frodsham Marsh")</f>
        <v>Weaver Bend, Frodsham Marsh</v>
      </c>
      <c r="H1151" s="22">
        <f ca="1">IFERROR(__xludf.DUMMYFUNCTION("""COMPUTED_VALUE"""),42292)</f>
        <v>42292</v>
      </c>
      <c r="I1151" s="22">
        <f ca="1">IFERROR(__xludf.DUMMYFUNCTION("""COMPUTED_VALUE"""),42292)</f>
        <v>42292</v>
      </c>
      <c r="J1151" s="24" t="str">
        <f ca="1">IFERROR(__xludf.DUMMYFUNCTION("""COMPUTED_VALUE""")," Miller, P E")</f>
        <v xml:space="preserve"> Miller, P E</v>
      </c>
      <c r="K1151" s="25" t="str">
        <f ca="1">IFERROR(__xludf.DUMMYFUNCTION("""COMPUTED_VALUE"""),"?")</f>
        <v>?</v>
      </c>
      <c r="L1151" s="27" t="str">
        <f ca="1">IFERROR(__xludf.DUMMYFUNCTION("""COMPUTED_VALUE"""),"closed")</f>
        <v>closed</v>
      </c>
      <c r="M1151" s="27" t="str">
        <f ca="1">IFERROR(__xludf.DUMMYFUNCTION("""COMPUTED_VALUE"""),"1st U")</f>
        <v>1st U</v>
      </c>
      <c r="N1151" s="25" t="str">
        <f ca="1">IFERROR(__xludf.DUMMYFUNCTION("""COMPUTED_VALUE"""),"accepted")</f>
        <v>accepted</v>
      </c>
      <c r="O1151" s="28"/>
      <c r="P1151" s="25"/>
      <c r="Q1151" s="25"/>
      <c r="R1151" s="25"/>
      <c r="S1151" s="25"/>
      <c r="T1151" s="25"/>
      <c r="U1151" s="25"/>
      <c r="V1151" s="25"/>
      <c r="W1151" s="25"/>
      <c r="X1151" s="25"/>
      <c r="Y1151" s="25"/>
      <c r="Z1151" s="25"/>
      <c r="AA1151" s="25"/>
      <c r="AB1151" s="25"/>
      <c r="AC1151" s="25"/>
      <c r="AD1151" s="25"/>
      <c r="AE1151" s="25"/>
      <c r="AF1151" s="25"/>
      <c r="AG1151" s="25"/>
      <c r="AH1151" s="25"/>
      <c r="AI1151" s="25"/>
      <c r="AJ1151" s="25"/>
      <c r="AK1151" s="25"/>
      <c r="AL1151" s="25"/>
      <c r="AM1151" s="25"/>
      <c r="AN1151" s="25"/>
      <c r="AO1151" s="25"/>
      <c r="AP1151" s="25"/>
      <c r="AQ1151" s="25"/>
      <c r="AR1151" s="25"/>
      <c r="AS1151" s="25"/>
      <c r="AT1151" s="25"/>
      <c r="AU1151" s="25"/>
      <c r="AV1151" s="25"/>
      <c r="AW1151" s="25"/>
      <c r="AX1151" s="25"/>
      <c r="AY1151" s="25"/>
      <c r="AZ1151" s="25"/>
      <c r="BA1151" s="25"/>
      <c r="BB1151" s="25"/>
      <c r="BC1151" s="25"/>
      <c r="BD1151" s="25"/>
      <c r="BE1151" s="25"/>
      <c r="BF1151" s="25"/>
      <c r="BG1151" s="25"/>
      <c r="BH1151" s="25"/>
      <c r="BI1151" s="25"/>
      <c r="BJ1151" s="25"/>
      <c r="BK1151" s="25"/>
      <c r="BL1151" s="25"/>
      <c r="BM1151" s="25"/>
      <c r="BN1151" s="25"/>
      <c r="BO1151" s="25"/>
      <c r="BP1151" s="25"/>
      <c r="BQ1151" s="25"/>
      <c r="BR1151" s="25"/>
      <c r="BS1151" s="25"/>
      <c r="BT1151" s="25"/>
      <c r="BU1151" s="25"/>
      <c r="BV1151" s="25"/>
      <c r="BW1151" s="25"/>
      <c r="BX1151" s="25"/>
      <c r="BY1151" s="25"/>
      <c r="BZ1151" s="25"/>
      <c r="CA1151" s="25"/>
      <c r="CB1151" s="25"/>
    </row>
    <row r="1152" spans="1:80" ht="12.75" hidden="1" customHeight="1">
      <c r="A1152" s="10">
        <f ca="1">IFERROR(__xludf.DUMMYFUNCTION("""COMPUTED_VALUE"""),2015)</f>
        <v>2015</v>
      </c>
      <c r="B1152" s="50">
        <f ca="1">IFERROR(__xludf.DUMMYFUNCTION("""COMPUTED_VALUE"""),42618)</f>
        <v>42618</v>
      </c>
      <c r="C1152" s="41"/>
      <c r="D1152" s="42" t="str">
        <f ca="1">IFERROR(__xludf.DUMMYFUNCTION("""COMPUTED_VALUE"""),"Great Grey Shrike")</f>
        <v>Great Grey Shrike</v>
      </c>
      <c r="E1152" s="53">
        <f ca="1">IFERROR(__xludf.DUMMYFUNCTION("""COMPUTED_VALUE"""),1)</f>
        <v>1</v>
      </c>
      <c r="F1152" s="15"/>
      <c r="G1152" s="44" t="str">
        <f ca="1">IFERROR(__xludf.DUMMYFUNCTION("""COMPUTED_VALUE"""),"Frodsham Marsh")</f>
        <v>Frodsham Marsh</v>
      </c>
      <c r="H1152" s="12">
        <f ca="1">IFERROR(__xludf.DUMMYFUNCTION("""COMPUTED_VALUE"""),42293)</f>
        <v>42293</v>
      </c>
      <c r="I1152" s="12">
        <f ca="1">IFERROR(__xludf.DUMMYFUNCTION("""COMPUTED_VALUE"""),42293)</f>
        <v>42293</v>
      </c>
      <c r="J1152" s="14" t="str">
        <f ca="1">IFERROR(__xludf.DUMMYFUNCTION("""COMPUTED_VALUE"""),"FMB Frodsham Marsh Bird Blog")</f>
        <v>FMB Frodsham Marsh Bird Blog</v>
      </c>
      <c r="K1152" s="15" t="str">
        <f ca="1">IFERROR(__xludf.DUMMYFUNCTION("""COMPUTED_VALUE"""),"Don Weedon, Frank Duff")</f>
        <v>Don Weedon, Frank Duff</v>
      </c>
      <c r="L1152" s="17" t="str">
        <f ca="1">IFERROR(__xludf.DUMMYFUNCTION("""COMPUTED_VALUE"""),"closed")</f>
        <v>closed</v>
      </c>
      <c r="M1152" s="17" t="str">
        <f ca="1">IFERROR(__xludf.DUMMYFUNCTION("""COMPUTED_VALUE"""),"proxy")</f>
        <v>proxy</v>
      </c>
      <c r="N1152" s="15" t="str">
        <f ca="1">IFERROR(__xludf.DUMMYFUNCTION("""COMPUTED_VALUE"""),"accepted")</f>
        <v>accepted</v>
      </c>
      <c r="O1152" s="18"/>
      <c r="P1152" s="15"/>
      <c r="Q1152" s="15"/>
      <c r="R1152" s="15"/>
      <c r="S1152" s="15"/>
      <c r="T1152" s="15"/>
      <c r="U1152" s="15"/>
      <c r="V1152" s="15"/>
      <c r="W1152" s="15"/>
      <c r="X1152" s="15"/>
      <c r="Y1152" s="15"/>
      <c r="Z1152" s="15"/>
      <c r="AA1152" s="15"/>
      <c r="AB1152" s="15"/>
      <c r="AC1152" s="15"/>
      <c r="AD1152" s="15"/>
      <c r="AE1152" s="15"/>
      <c r="AF1152" s="15"/>
      <c r="AG1152" s="15"/>
      <c r="AH1152" s="15"/>
      <c r="AI1152" s="15"/>
      <c r="AJ1152" s="15"/>
      <c r="AK1152" s="15"/>
      <c r="AL1152" s="15"/>
      <c r="AM1152" s="15"/>
      <c r="AN1152" s="15"/>
      <c r="AO1152" s="15"/>
      <c r="AP1152" s="15"/>
      <c r="AQ1152" s="15"/>
      <c r="AR1152" s="15"/>
      <c r="AS1152" s="15"/>
      <c r="AT1152" s="15"/>
      <c r="AU1152" s="15"/>
      <c r="AV1152" s="15"/>
      <c r="AW1152" s="15"/>
      <c r="AX1152" s="15"/>
      <c r="AY1152" s="15"/>
      <c r="AZ1152" s="15"/>
      <c r="BA1152" s="15"/>
      <c r="BB1152" s="15"/>
      <c r="BC1152" s="15"/>
      <c r="BD1152" s="15"/>
      <c r="BE1152" s="15"/>
      <c r="BF1152" s="15"/>
      <c r="BG1152" s="15"/>
      <c r="BH1152" s="15"/>
      <c r="BI1152" s="15"/>
      <c r="BJ1152" s="15"/>
      <c r="BK1152" s="15"/>
      <c r="BL1152" s="15"/>
      <c r="BM1152" s="15"/>
      <c r="BN1152" s="15"/>
      <c r="BO1152" s="15"/>
      <c r="BP1152" s="15"/>
      <c r="BQ1152" s="15"/>
      <c r="BR1152" s="15"/>
      <c r="BS1152" s="15"/>
      <c r="BT1152" s="15"/>
      <c r="BU1152" s="15"/>
      <c r="BV1152" s="15"/>
      <c r="BW1152" s="15"/>
      <c r="BX1152" s="15"/>
      <c r="BY1152" s="15"/>
      <c r="BZ1152" s="15"/>
      <c r="CA1152" s="15"/>
      <c r="CB1152" s="15"/>
    </row>
    <row r="1153" spans="1:80" ht="12.75" hidden="1" customHeight="1">
      <c r="A1153" s="20">
        <f ca="1">IFERROR(__xludf.DUMMYFUNCTION("""COMPUTED_VALUE"""),2015)</f>
        <v>2015</v>
      </c>
      <c r="B1153" s="45">
        <f ca="1">IFERROR(__xludf.DUMMYFUNCTION("""COMPUTED_VALUE"""),42618)</f>
        <v>42618</v>
      </c>
      <c r="C1153" s="46"/>
      <c r="D1153" s="47" t="str">
        <f ca="1">IFERROR(__xludf.DUMMYFUNCTION("""COMPUTED_VALUE"""),"Great Grey Shrike")</f>
        <v>Great Grey Shrike</v>
      </c>
      <c r="E1153" s="52">
        <f ca="1">IFERROR(__xludf.DUMMYFUNCTION("""COMPUTED_VALUE"""),1)</f>
        <v>1</v>
      </c>
      <c r="F1153" s="25"/>
      <c r="G1153" s="48" t="str">
        <f ca="1">IFERROR(__xludf.DUMMYFUNCTION("""COMPUTED_VALUE"""),"Redwall Reed-bed, Frodsham Marsh")</f>
        <v>Redwall Reed-bed, Frodsham Marsh</v>
      </c>
      <c r="H1153" s="22">
        <f ca="1">IFERROR(__xludf.DUMMYFUNCTION("""COMPUTED_VALUE"""),42293)</f>
        <v>42293</v>
      </c>
      <c r="I1153" s="22">
        <f ca="1">IFERROR(__xludf.DUMMYFUNCTION("""COMPUTED_VALUE"""),42293)</f>
        <v>42293</v>
      </c>
      <c r="J1153" s="24" t="str">
        <f ca="1">IFERROR(__xludf.DUMMYFUNCTION("""COMPUTED_VALUE"""),"F Duff")</f>
        <v>F Duff</v>
      </c>
      <c r="K1153" s="25"/>
      <c r="L1153" s="27" t="str">
        <f ca="1">IFERROR(__xludf.DUMMYFUNCTION("""COMPUTED_VALUE"""),"closed")</f>
        <v>closed</v>
      </c>
      <c r="M1153" s="27" t="str">
        <f ca="1">IFERROR(__xludf.DUMMYFUNCTION("""COMPUTED_VALUE"""),"proxy")</f>
        <v>proxy</v>
      </c>
      <c r="N1153" s="25" t="str">
        <f ca="1">IFERROR(__xludf.DUMMYFUNCTION("""COMPUTED_VALUE"""),"accepted")</f>
        <v>accepted</v>
      </c>
      <c r="O1153" s="28"/>
      <c r="P1153" s="25"/>
      <c r="Q1153" s="40"/>
      <c r="R1153" s="40"/>
      <c r="S1153" s="25"/>
      <c r="T1153" s="25"/>
      <c r="U1153" s="25"/>
      <c r="V1153" s="25"/>
      <c r="W1153" s="25"/>
      <c r="X1153" s="25"/>
      <c r="Y1153" s="25"/>
      <c r="Z1153" s="25"/>
      <c r="AA1153" s="25"/>
      <c r="AB1153" s="25"/>
      <c r="AC1153" s="25"/>
      <c r="AD1153" s="25"/>
      <c r="AE1153" s="25"/>
      <c r="AF1153" s="25"/>
      <c r="AG1153" s="25"/>
      <c r="AH1153" s="25"/>
      <c r="AI1153" s="25"/>
      <c r="AJ1153" s="25"/>
      <c r="AK1153" s="25"/>
      <c r="AL1153" s="25"/>
      <c r="AM1153" s="25"/>
      <c r="AN1153" s="25"/>
      <c r="AO1153" s="25"/>
      <c r="AP1153" s="25"/>
      <c r="AQ1153" s="25"/>
      <c r="AR1153" s="25"/>
      <c r="AS1153" s="25"/>
      <c r="AT1153" s="25"/>
      <c r="AU1153" s="25"/>
      <c r="AV1153" s="25"/>
      <c r="AW1153" s="25"/>
      <c r="AX1153" s="25"/>
      <c r="AY1153" s="25"/>
      <c r="AZ1153" s="25"/>
      <c r="BA1153" s="25"/>
      <c r="BB1153" s="25"/>
      <c r="BC1153" s="25"/>
      <c r="BD1153" s="25"/>
      <c r="BE1153" s="25"/>
      <c r="BF1153" s="25"/>
      <c r="BG1153" s="25"/>
      <c r="BH1153" s="25"/>
      <c r="BI1153" s="25"/>
      <c r="BJ1153" s="25"/>
      <c r="BK1153" s="25"/>
      <c r="BL1153" s="25"/>
      <c r="BM1153" s="25"/>
      <c r="BN1153" s="25"/>
      <c r="BO1153" s="25"/>
      <c r="BP1153" s="25"/>
      <c r="BQ1153" s="25"/>
      <c r="BR1153" s="25"/>
      <c r="BS1153" s="25"/>
      <c r="BT1153" s="25"/>
      <c r="BU1153" s="25"/>
      <c r="BV1153" s="25"/>
      <c r="BW1153" s="25"/>
      <c r="BX1153" s="25"/>
      <c r="BY1153" s="25"/>
      <c r="BZ1153" s="25"/>
      <c r="CA1153" s="25"/>
      <c r="CB1153" s="25"/>
    </row>
    <row r="1154" spans="1:80" ht="12.75" hidden="1" customHeight="1">
      <c r="A1154" s="10">
        <f ca="1">IFERROR(__xludf.DUMMYFUNCTION("""COMPUTED_VALUE"""),2015)</f>
        <v>2015</v>
      </c>
      <c r="B1154" s="50">
        <f ca="1">IFERROR(__xludf.DUMMYFUNCTION("""COMPUTED_VALUE"""),42618)</f>
        <v>42618</v>
      </c>
      <c r="C1154" s="41">
        <f ca="1">IFERROR(__xludf.DUMMYFUNCTION("""COMPUTED_VALUE"""),42641)</f>
        <v>42641</v>
      </c>
      <c r="D1154" s="42" t="str">
        <f ca="1">IFERROR(__xludf.DUMMYFUNCTION("""COMPUTED_VALUE"""),"Woodlark")</f>
        <v>Woodlark</v>
      </c>
      <c r="E1154" s="53">
        <f ca="1">IFERROR(__xludf.DUMMYFUNCTION("""COMPUTED_VALUE"""),1)</f>
        <v>1</v>
      </c>
      <c r="F1154" s="15"/>
      <c r="G1154" s="44" t="str">
        <f ca="1">IFERROR(__xludf.DUMMYFUNCTION("""COMPUTED_VALUE"""),"Hale")</f>
        <v>Hale</v>
      </c>
      <c r="H1154" s="12">
        <f ca="1">IFERROR(__xludf.DUMMYFUNCTION("""COMPUTED_VALUE"""),42308)</f>
        <v>42308</v>
      </c>
      <c r="I1154" s="12">
        <f ca="1">IFERROR(__xludf.DUMMYFUNCTION("""COMPUTED_VALUE"""),42308)</f>
        <v>42308</v>
      </c>
      <c r="J1154" s="14" t="str">
        <f ca="1">IFERROR(__xludf.DUMMYFUNCTION("""COMPUTED_VALUE"""),"RP&amp;CA Cockbain")</f>
        <v>RP&amp;CA Cockbain</v>
      </c>
      <c r="K1154" s="15"/>
      <c r="L1154" s="17" t="str">
        <f ca="1">IFERROR(__xludf.DUMMYFUNCTION("""COMPUTED_VALUE"""),"closed")</f>
        <v>closed</v>
      </c>
      <c r="M1154" s="17" t="str">
        <f ca="1">IFERROR(__xludf.DUMMYFUNCTION("""COMPUTED_VALUE"""),"1st U")</f>
        <v>1st U</v>
      </c>
      <c r="N1154" s="15" t="str">
        <f ca="1">IFERROR(__xludf.DUMMYFUNCTION("""COMPUTED_VALUE"""),"accepted")</f>
        <v>accepted</v>
      </c>
      <c r="O1154" s="18"/>
      <c r="P1154" s="15"/>
      <c r="Q1154" s="15"/>
      <c r="R1154" s="15"/>
      <c r="S1154" s="15"/>
      <c r="T1154" s="15"/>
      <c r="U1154" s="15"/>
      <c r="V1154" s="15"/>
      <c r="W1154" s="15"/>
      <c r="X1154" s="15"/>
      <c r="Y1154" s="15"/>
      <c r="Z1154" s="15"/>
      <c r="AA1154" s="15"/>
      <c r="AB1154" s="15"/>
      <c r="AC1154" s="15"/>
      <c r="AD1154" s="15"/>
      <c r="AE1154" s="15"/>
      <c r="AF1154" s="15"/>
      <c r="AG1154" s="15"/>
      <c r="AH1154" s="15"/>
      <c r="AI1154" s="15"/>
      <c r="AJ1154" s="15"/>
      <c r="AK1154" s="15"/>
      <c r="AL1154" s="15"/>
      <c r="AM1154" s="15"/>
      <c r="AN1154" s="15"/>
      <c r="AO1154" s="15"/>
      <c r="AP1154" s="15"/>
      <c r="AQ1154" s="15"/>
      <c r="AR1154" s="15"/>
      <c r="AS1154" s="15"/>
      <c r="AT1154" s="15"/>
      <c r="AU1154" s="15"/>
      <c r="AV1154" s="15"/>
      <c r="AW1154" s="15"/>
      <c r="AX1154" s="15"/>
      <c r="AY1154" s="15"/>
      <c r="AZ1154" s="15"/>
      <c r="BA1154" s="15"/>
      <c r="BB1154" s="15"/>
      <c r="BC1154" s="15"/>
      <c r="BD1154" s="15"/>
      <c r="BE1154" s="15"/>
      <c r="BF1154" s="15"/>
      <c r="BG1154" s="15"/>
      <c r="BH1154" s="15"/>
      <c r="BI1154" s="15"/>
      <c r="BJ1154" s="15"/>
      <c r="BK1154" s="15"/>
      <c r="BL1154" s="15"/>
      <c r="BM1154" s="15"/>
      <c r="BN1154" s="15"/>
      <c r="BO1154" s="15"/>
      <c r="BP1154" s="15"/>
      <c r="BQ1154" s="15"/>
      <c r="BR1154" s="15"/>
      <c r="BS1154" s="15"/>
      <c r="BT1154" s="15"/>
      <c r="BU1154" s="15"/>
      <c r="BV1154" s="15"/>
      <c r="BW1154" s="15"/>
      <c r="BX1154" s="15"/>
      <c r="BY1154" s="15"/>
      <c r="BZ1154" s="15"/>
      <c r="CA1154" s="15"/>
      <c r="CB1154" s="15"/>
    </row>
    <row r="1155" spans="1:80" ht="12.75" hidden="1" customHeight="1">
      <c r="A1155" s="20">
        <f ca="1">IFERROR(__xludf.DUMMYFUNCTION("""COMPUTED_VALUE"""),2015)</f>
        <v>2015</v>
      </c>
      <c r="B1155" s="45">
        <f ca="1">IFERROR(__xludf.DUMMYFUNCTION("""COMPUTED_VALUE"""),42618)</f>
        <v>42618</v>
      </c>
      <c r="C1155" s="46"/>
      <c r="D1155" s="47" t="str">
        <f ca="1">IFERROR(__xludf.DUMMYFUNCTION("""COMPUTED_VALUE"""),"Cetti's Warbler")</f>
        <v>Cetti's Warbler</v>
      </c>
      <c r="E1155" s="52">
        <f ca="1">IFERROR(__xludf.DUMMYFUNCTION("""COMPUTED_VALUE"""),1)</f>
        <v>1</v>
      </c>
      <c r="F1155" s="25"/>
      <c r="G1155" s="48" t="str">
        <f ca="1">IFERROR(__xludf.DUMMYFUNCTION("""COMPUTED_VALUE"""),"Red Rocks, Hoylake")</f>
        <v>Red Rocks, Hoylake</v>
      </c>
      <c r="H1155" s="22">
        <f ca="1">IFERROR(__xludf.DUMMYFUNCTION("""COMPUTED_VALUE"""),42022)</f>
        <v>42022</v>
      </c>
      <c r="I1155" s="22">
        <f ca="1">IFERROR(__xludf.DUMMYFUNCTION("""COMPUTED_VALUE"""),42119)</f>
        <v>42119</v>
      </c>
      <c r="J1155" s="24"/>
      <c r="K1155" s="25"/>
      <c r="L1155" s="27" t="str">
        <f ca="1">IFERROR(__xludf.DUMMYFUNCTION("""COMPUTED_VALUE"""),"closed")</f>
        <v>closed</v>
      </c>
      <c r="M1155" s="27"/>
      <c r="N1155" s="25" t="str">
        <f ca="1">IFERROR(__xludf.DUMMYFUNCTION("""COMPUTED_VALUE"""),"Accepted")</f>
        <v>Accepted</v>
      </c>
      <c r="O1155" s="28" t="str">
        <f ca="1">IFERROR(__xludf.DUMMYFUNCTION("""COMPUTED_VALUE"""),"long stayer from 2014")</f>
        <v>long stayer from 2014</v>
      </c>
      <c r="P1155" s="25"/>
      <c r="Q1155" s="25"/>
      <c r="R1155" s="25"/>
      <c r="S1155" s="25"/>
      <c r="T1155" s="25"/>
      <c r="U1155" s="25"/>
      <c r="V1155" s="25"/>
      <c r="W1155" s="25"/>
      <c r="X1155" s="25"/>
      <c r="Y1155" s="25"/>
      <c r="Z1155" s="25"/>
      <c r="AA1155" s="25"/>
      <c r="AB1155" s="25"/>
      <c r="AC1155" s="25"/>
      <c r="AD1155" s="25"/>
      <c r="AE1155" s="25"/>
      <c r="AF1155" s="25"/>
      <c r="AG1155" s="25"/>
      <c r="AH1155" s="25"/>
      <c r="AI1155" s="25"/>
      <c r="AJ1155" s="25"/>
      <c r="AK1155" s="25"/>
      <c r="AL1155" s="25"/>
      <c r="AM1155" s="25"/>
      <c r="AN1155" s="25"/>
      <c r="AO1155" s="25"/>
      <c r="AP1155" s="25"/>
      <c r="AQ1155" s="25"/>
      <c r="AR1155" s="25"/>
      <c r="AS1155" s="25"/>
      <c r="AT1155" s="25"/>
      <c r="AU1155" s="25"/>
      <c r="AV1155" s="25"/>
      <c r="AW1155" s="25"/>
      <c r="AX1155" s="25"/>
      <c r="AY1155" s="25"/>
      <c r="AZ1155" s="25"/>
      <c r="BA1155" s="25"/>
      <c r="BB1155" s="25"/>
      <c r="BC1155" s="25"/>
      <c r="BD1155" s="25"/>
      <c r="BE1155" s="25"/>
      <c r="BF1155" s="25"/>
      <c r="BG1155" s="25"/>
      <c r="BH1155" s="25"/>
      <c r="BI1155" s="25"/>
      <c r="BJ1155" s="25"/>
      <c r="BK1155" s="25"/>
      <c r="BL1155" s="25"/>
      <c r="BM1155" s="25"/>
      <c r="BN1155" s="25"/>
      <c r="BO1155" s="25"/>
      <c r="BP1155" s="25"/>
      <c r="BQ1155" s="25"/>
      <c r="BR1155" s="25"/>
      <c r="BS1155" s="25"/>
      <c r="BT1155" s="25"/>
      <c r="BU1155" s="25"/>
      <c r="BV1155" s="25"/>
      <c r="BW1155" s="25"/>
      <c r="BX1155" s="25"/>
      <c r="BY1155" s="25"/>
      <c r="BZ1155" s="25"/>
      <c r="CA1155" s="25"/>
      <c r="CB1155" s="25"/>
    </row>
    <row r="1156" spans="1:80" ht="12.75" hidden="1" customHeight="1">
      <c r="A1156" s="10">
        <f ca="1">IFERROR(__xludf.DUMMYFUNCTION("""COMPUTED_VALUE"""),2015)</f>
        <v>2015</v>
      </c>
      <c r="B1156" s="50">
        <f ca="1">IFERROR(__xludf.DUMMYFUNCTION("""COMPUTED_VALUE"""),42618)</f>
        <v>42618</v>
      </c>
      <c r="C1156" s="41"/>
      <c r="D1156" s="42" t="str">
        <f ca="1">IFERROR(__xludf.DUMMYFUNCTION("""COMPUTED_VALUE"""),"Yellow-browed Warbler")</f>
        <v>Yellow-browed Warbler</v>
      </c>
      <c r="E1156" s="53">
        <f ca="1">IFERROR(__xludf.DUMMYFUNCTION("""COMPUTED_VALUE"""),1)</f>
        <v>1</v>
      </c>
      <c r="F1156" s="15"/>
      <c r="G1156" s="44" t="str">
        <f ca="1">IFERROR(__xludf.DUMMYFUNCTION("""COMPUTED_VALUE"""),"Hoylake")</f>
        <v>Hoylake</v>
      </c>
      <c r="H1156" s="12">
        <f ca="1">IFERROR(__xludf.DUMMYFUNCTION("""COMPUTED_VALUE"""),42275)</f>
        <v>42275</v>
      </c>
      <c r="I1156" s="12">
        <f ca="1">IFERROR(__xludf.DUMMYFUNCTION("""COMPUTED_VALUE"""),42275)</f>
        <v>42275</v>
      </c>
      <c r="J1156" s="14" t="str">
        <f ca="1">IFERROR(__xludf.DUMMYFUNCTION("""COMPUTED_VALUE"""),"Turner, JE")</f>
        <v>Turner, JE</v>
      </c>
      <c r="K1156" s="15" t="str">
        <f ca="1">IFERROR(__xludf.DUMMYFUNCTION("""COMPUTED_VALUE"""),"Turner, JE")</f>
        <v>Turner, JE</v>
      </c>
      <c r="L1156" s="17" t="str">
        <f ca="1">IFERROR(__xludf.DUMMYFUNCTION("""COMPUTED_VALUE"""),"closed")</f>
        <v>closed</v>
      </c>
      <c r="M1156" s="17" t="str">
        <f ca="1">IFERROR(__xludf.DUMMYFUNCTION("""COMPUTED_VALUE"""),"1st U")</f>
        <v>1st U</v>
      </c>
      <c r="N1156" s="15" t="str">
        <f ca="1">IFERROR(__xludf.DUMMYFUNCTION("""COMPUTED_VALUE"""),"accepted")</f>
        <v>accepted</v>
      </c>
      <c r="O1156" s="18" t="str">
        <f ca="1">IFERROR(__xludf.DUMMYFUNCTION("""COMPUTED_VALUE""")," Appeared to drop from height at 08:45.  Still present just before 1pm (calling).  Photographed; ")</f>
        <v xml:space="preserve"> Appeared to drop from height at 08:45.  Still present just before 1pm (calling).  Photographed; </v>
      </c>
      <c r="P1156" s="15"/>
      <c r="Q1156" s="58"/>
      <c r="R1156" s="58"/>
      <c r="S1156" s="15"/>
      <c r="T1156" s="15"/>
      <c r="U1156" s="15"/>
      <c r="V1156" s="15"/>
      <c r="W1156" s="15"/>
      <c r="X1156" s="15"/>
      <c r="Y1156" s="15"/>
      <c r="Z1156" s="15"/>
      <c r="AA1156" s="15"/>
      <c r="AB1156" s="15"/>
      <c r="AC1156" s="15"/>
      <c r="AD1156" s="15"/>
      <c r="AE1156" s="15"/>
      <c r="AF1156" s="15"/>
      <c r="AG1156" s="15"/>
      <c r="AH1156" s="15"/>
      <c r="AI1156" s="15"/>
      <c r="AJ1156" s="15"/>
      <c r="AK1156" s="15"/>
      <c r="AL1156" s="15"/>
      <c r="AM1156" s="15"/>
      <c r="AN1156" s="15"/>
      <c r="AO1156" s="15"/>
      <c r="AP1156" s="15"/>
      <c r="AQ1156" s="15"/>
      <c r="AR1156" s="15"/>
      <c r="AS1156" s="15"/>
      <c r="AT1156" s="15"/>
      <c r="AU1156" s="15"/>
      <c r="AV1156" s="15"/>
      <c r="AW1156" s="15"/>
      <c r="AX1156" s="15"/>
      <c r="AY1156" s="15"/>
      <c r="AZ1156" s="15"/>
      <c r="BA1156" s="15"/>
      <c r="BB1156" s="15"/>
      <c r="BC1156" s="15"/>
      <c r="BD1156" s="15"/>
      <c r="BE1156" s="15"/>
      <c r="BF1156" s="15"/>
      <c r="BG1156" s="15"/>
      <c r="BH1156" s="15"/>
      <c r="BI1156" s="15"/>
      <c r="BJ1156" s="15"/>
      <c r="BK1156" s="15"/>
      <c r="BL1156" s="15"/>
      <c r="BM1156" s="15"/>
      <c r="BN1156" s="15"/>
      <c r="BO1156" s="15"/>
      <c r="BP1156" s="15"/>
      <c r="BQ1156" s="15"/>
      <c r="BR1156" s="15"/>
      <c r="BS1156" s="15"/>
      <c r="BT1156" s="15"/>
      <c r="BU1156" s="15"/>
      <c r="BV1156" s="15"/>
      <c r="BW1156" s="15"/>
      <c r="BX1156" s="15"/>
      <c r="BY1156" s="15"/>
      <c r="BZ1156" s="15"/>
      <c r="CA1156" s="15"/>
      <c r="CB1156" s="15"/>
    </row>
    <row r="1157" spans="1:80" ht="12.75" hidden="1" customHeight="1">
      <c r="A1157" s="20">
        <f ca="1">IFERROR(__xludf.DUMMYFUNCTION("""COMPUTED_VALUE"""),2015)</f>
        <v>2015</v>
      </c>
      <c r="B1157" s="45">
        <f ca="1">IFERROR(__xludf.DUMMYFUNCTION("""COMPUTED_VALUE"""),42618)</f>
        <v>42618</v>
      </c>
      <c r="C1157" s="46"/>
      <c r="D1157" s="47" t="str">
        <f ca="1">IFERROR(__xludf.DUMMYFUNCTION("""COMPUTED_VALUE"""),"Yellow-browed Warbler")</f>
        <v>Yellow-browed Warbler</v>
      </c>
      <c r="E1157" s="52">
        <f ca="1">IFERROR(__xludf.DUMMYFUNCTION("""COMPUTED_VALUE"""),1)</f>
        <v>1</v>
      </c>
      <c r="F1157" s="25"/>
      <c r="G1157" s="48" t="str">
        <f ca="1">IFERROR(__xludf.DUMMYFUNCTION("""COMPUTED_VALUE"""),"Red Rocks, Hoylake")</f>
        <v>Red Rocks, Hoylake</v>
      </c>
      <c r="H1157" s="22">
        <f ca="1">IFERROR(__xludf.DUMMYFUNCTION("""COMPUTED_VALUE"""),42305)</f>
        <v>42305</v>
      </c>
      <c r="I1157" s="22">
        <f ca="1">IFERROR(__xludf.DUMMYFUNCTION("""COMPUTED_VALUE"""),42305)</f>
        <v>42305</v>
      </c>
      <c r="J1157" s="73" t="str">
        <f ca="1">IFERROR(__xludf.DUMMYFUNCTION("""COMPUTED_VALUE"""),"Turner, JE")</f>
        <v>Turner, JE</v>
      </c>
      <c r="K1157" s="25" t="str">
        <f ca="1">IFERROR(__xludf.DUMMYFUNCTION("""COMPUTED_VALUE"""),"Turner, JE")</f>
        <v>Turner, JE</v>
      </c>
      <c r="L1157" s="27" t="str">
        <f ca="1">IFERROR(__xludf.DUMMYFUNCTION("""COMPUTED_VALUE"""),"closed")</f>
        <v>closed</v>
      </c>
      <c r="M1157" s="27" t="str">
        <f ca="1">IFERROR(__xludf.DUMMYFUNCTION("""COMPUTED_VALUE"""),"1st U")</f>
        <v>1st U</v>
      </c>
      <c r="N1157" s="25" t="str">
        <f ca="1">IFERROR(__xludf.DUMMYFUNCTION("""COMPUTED_VALUE"""),"accepted")</f>
        <v>accepted</v>
      </c>
      <c r="O1157" s="74"/>
      <c r="P1157" s="25"/>
      <c r="Q1157" s="40"/>
      <c r="R1157" s="40"/>
      <c r="S1157" s="25"/>
      <c r="T1157" s="25"/>
      <c r="U1157" s="25"/>
      <c r="V1157" s="25"/>
      <c r="W1157" s="25"/>
      <c r="X1157" s="25"/>
      <c r="Y1157" s="25"/>
      <c r="Z1157" s="25"/>
      <c r="AA1157" s="25"/>
      <c r="AB1157" s="25"/>
      <c r="AC1157" s="25"/>
      <c r="AD1157" s="25"/>
      <c r="AE1157" s="25"/>
      <c r="AF1157" s="25"/>
      <c r="AG1157" s="25"/>
      <c r="AH1157" s="25"/>
      <c r="AI1157" s="25"/>
      <c r="AJ1157" s="25"/>
      <c r="AK1157" s="25"/>
      <c r="AL1157" s="25"/>
      <c r="AM1157" s="25"/>
      <c r="AN1157" s="25"/>
      <c r="AO1157" s="25"/>
      <c r="AP1157" s="25"/>
      <c r="AQ1157" s="25"/>
      <c r="AR1157" s="25"/>
      <c r="AS1157" s="25"/>
      <c r="AT1157" s="25"/>
      <c r="AU1157" s="25"/>
      <c r="AV1157" s="25"/>
      <c r="AW1157" s="25"/>
      <c r="AX1157" s="25"/>
      <c r="AY1157" s="25"/>
      <c r="AZ1157" s="25"/>
      <c r="BA1157" s="25"/>
      <c r="BB1157" s="25"/>
      <c r="BC1157" s="25"/>
      <c r="BD1157" s="25"/>
      <c r="BE1157" s="25"/>
      <c r="BF1157" s="25"/>
      <c r="BG1157" s="25"/>
      <c r="BH1157" s="25"/>
      <c r="BI1157" s="25"/>
      <c r="BJ1157" s="25"/>
      <c r="BK1157" s="25"/>
      <c r="BL1157" s="25"/>
      <c r="BM1157" s="25"/>
      <c r="BN1157" s="25"/>
      <c r="BO1157" s="25"/>
      <c r="BP1157" s="25"/>
      <c r="BQ1157" s="25"/>
      <c r="BR1157" s="25"/>
      <c r="BS1157" s="25"/>
      <c r="BT1157" s="25"/>
      <c r="BU1157" s="25"/>
      <c r="BV1157" s="25"/>
      <c r="BW1157" s="25"/>
      <c r="BX1157" s="25"/>
      <c r="BY1157" s="25"/>
      <c r="BZ1157" s="25"/>
      <c r="CA1157" s="25"/>
      <c r="CB1157" s="25"/>
    </row>
    <row r="1158" spans="1:80" ht="12.75" hidden="1" customHeight="1">
      <c r="A1158" s="10">
        <f ca="1">IFERROR(__xludf.DUMMYFUNCTION("""COMPUTED_VALUE"""),2015)</f>
        <v>2015</v>
      </c>
      <c r="B1158" s="50">
        <f ca="1">IFERROR(__xludf.DUMMYFUNCTION("""COMPUTED_VALUE"""),42618)</f>
        <v>42618</v>
      </c>
      <c r="C1158" s="41"/>
      <c r="D1158" s="42" t="str">
        <f ca="1">IFERROR(__xludf.DUMMYFUNCTION("""COMPUTED_VALUE"""),"Siberian Chiffchaff [tristis race]")</f>
        <v>Siberian Chiffchaff [tristis race]</v>
      </c>
      <c r="E1158" s="53">
        <f ca="1">IFERROR(__xludf.DUMMYFUNCTION("""COMPUTED_VALUE"""),1)</f>
        <v>1</v>
      </c>
      <c r="F1158" s="15"/>
      <c r="G1158" s="44" t="str">
        <f ca="1">IFERROR(__xludf.DUMMYFUNCTION("""COMPUTED_VALUE"""),"Prestbury")</f>
        <v>Prestbury</v>
      </c>
      <c r="H1158" s="12">
        <f ca="1">IFERROR(__xludf.DUMMYFUNCTION("""COMPUTED_VALUE"""),42005)</f>
        <v>42005</v>
      </c>
      <c r="I1158" s="12">
        <f ca="1">IFERROR(__xludf.DUMMYFUNCTION("""COMPUTED_VALUE"""),42063)</f>
        <v>42063</v>
      </c>
      <c r="J1158" s="14" t="str">
        <f ca="1">IFERROR(__xludf.DUMMYFUNCTION("""COMPUTED_VALUE"""),"Pulsford, AH")</f>
        <v>Pulsford, AH</v>
      </c>
      <c r="K1158" s="15"/>
      <c r="L1158" s="17" t="str">
        <f ca="1">IFERROR(__xludf.DUMMYFUNCTION("""COMPUTED_VALUE"""),"closed")</f>
        <v>closed</v>
      </c>
      <c r="M1158" s="17" t="str">
        <f ca="1">IFERROR(__xludf.DUMMYFUNCTION("""COMPUTED_VALUE"""),"1st U")</f>
        <v>1st U</v>
      </c>
      <c r="N1158" s="15" t="str">
        <f ca="1">IFERROR(__xludf.DUMMYFUNCTION("""COMPUTED_VALUE"""),"accepted")</f>
        <v>accepted</v>
      </c>
      <c r="O1158" s="18"/>
      <c r="P1158" s="15"/>
      <c r="Q1158" s="15"/>
      <c r="R1158" s="15"/>
      <c r="S1158" s="15"/>
      <c r="T1158" s="15"/>
      <c r="U1158" s="15"/>
      <c r="V1158" s="15"/>
      <c r="W1158" s="15"/>
      <c r="X1158" s="15"/>
      <c r="Y1158" s="15"/>
      <c r="Z1158" s="15"/>
      <c r="AA1158" s="15"/>
      <c r="AB1158" s="15"/>
      <c r="AC1158" s="15"/>
      <c r="AD1158" s="15"/>
      <c r="AE1158" s="15"/>
      <c r="AF1158" s="15"/>
      <c r="AG1158" s="15"/>
      <c r="AH1158" s="15"/>
      <c r="AI1158" s="15"/>
      <c r="AJ1158" s="15"/>
      <c r="AK1158" s="15"/>
      <c r="AL1158" s="15"/>
      <c r="AM1158" s="15"/>
      <c r="AN1158" s="15"/>
      <c r="AO1158" s="15"/>
      <c r="AP1158" s="15"/>
      <c r="AQ1158" s="15"/>
      <c r="AR1158" s="15"/>
      <c r="AS1158" s="15"/>
      <c r="AT1158" s="15"/>
      <c r="AU1158" s="15"/>
      <c r="AV1158" s="15"/>
      <c r="AW1158" s="15"/>
      <c r="AX1158" s="15"/>
      <c r="AY1158" s="15"/>
      <c r="AZ1158" s="15"/>
      <c r="BA1158" s="15"/>
      <c r="BB1158" s="15"/>
      <c r="BC1158" s="15"/>
      <c r="BD1158" s="15"/>
      <c r="BE1158" s="15"/>
      <c r="BF1158" s="15"/>
      <c r="BG1158" s="15"/>
      <c r="BH1158" s="15"/>
      <c r="BI1158" s="15"/>
      <c r="BJ1158" s="15"/>
      <c r="BK1158" s="15"/>
      <c r="BL1158" s="15"/>
      <c r="BM1158" s="15"/>
      <c r="BN1158" s="15"/>
      <c r="BO1158" s="15"/>
      <c r="BP1158" s="15"/>
      <c r="BQ1158" s="15"/>
      <c r="BR1158" s="15"/>
      <c r="BS1158" s="15"/>
      <c r="BT1158" s="15"/>
      <c r="BU1158" s="15"/>
      <c r="BV1158" s="15"/>
      <c r="BW1158" s="15"/>
      <c r="BX1158" s="15"/>
      <c r="BY1158" s="15"/>
      <c r="BZ1158" s="15"/>
      <c r="CA1158" s="15"/>
      <c r="CB1158" s="15"/>
    </row>
    <row r="1159" spans="1:80" ht="12.75" hidden="1" customHeight="1">
      <c r="A1159" s="20">
        <f ca="1">IFERROR(__xludf.DUMMYFUNCTION("""COMPUTED_VALUE"""),2015)</f>
        <v>2015</v>
      </c>
      <c r="B1159" s="45">
        <f ca="1">IFERROR(__xludf.DUMMYFUNCTION("""COMPUTED_VALUE"""),42632)</f>
        <v>42632</v>
      </c>
      <c r="C1159" s="46">
        <f ca="1">IFERROR(__xludf.DUMMYFUNCTION("""COMPUTED_VALUE"""),42625)</f>
        <v>42625</v>
      </c>
      <c r="D1159" s="47" t="str">
        <f ca="1">IFERROR(__xludf.DUMMYFUNCTION("""COMPUTED_VALUE"""),"Rose-coloured Starling")</f>
        <v>Rose-coloured Starling</v>
      </c>
      <c r="E1159" s="52">
        <f ca="1">IFERROR(__xludf.DUMMYFUNCTION("""COMPUTED_VALUE"""),1)</f>
        <v>1</v>
      </c>
      <c r="F1159" s="25"/>
      <c r="G1159" s="48" t="str">
        <f ca="1">IFERROR(__xludf.DUMMYFUNCTION("""COMPUTED_VALUE"""),"Barnston")</f>
        <v>Barnston</v>
      </c>
      <c r="H1159" s="22">
        <f ca="1">IFERROR(__xludf.DUMMYFUNCTION("""COMPUTED_VALUE"""),42136)</f>
        <v>42136</v>
      </c>
      <c r="I1159" s="22">
        <f ca="1">IFERROR(__xludf.DUMMYFUNCTION("""COMPUTED_VALUE"""),42137)</f>
        <v>42137</v>
      </c>
      <c r="J1159" s="24" t="str">
        <f ca="1">IFERROR(__xludf.DUMMYFUNCTION("""COMPUTED_VALUE"""),"Tolchar., D")</f>
        <v>Tolchar., D</v>
      </c>
      <c r="K1159" s="25" t="str">
        <f ca="1">IFERROR(__xludf.DUMMYFUNCTION("""COMPUTED_VALUE"""),"Norton, Debbie")</f>
        <v>Norton, Debbie</v>
      </c>
      <c r="L1159" s="27" t="str">
        <f ca="1">IFERROR(__xludf.DUMMYFUNCTION("""COMPUTED_VALUE"""),"closed")</f>
        <v>closed</v>
      </c>
      <c r="M1159" s="27" t="str">
        <f ca="1">IFERROR(__xludf.DUMMYFUNCTION("""COMPUTED_VALUE"""),"1st U")</f>
        <v>1st U</v>
      </c>
      <c r="N1159" s="25" t="str">
        <f ca="1">IFERROR(__xludf.DUMMYFUNCTION("""COMPUTED_VALUE"""),"Accepted")</f>
        <v>Accepted</v>
      </c>
      <c r="O1159" s="28"/>
      <c r="P1159" s="25"/>
      <c r="Q1159" s="25"/>
      <c r="R1159" s="25"/>
      <c r="S1159" s="25"/>
      <c r="T1159" s="25"/>
      <c r="U1159" s="25"/>
      <c r="V1159" s="25"/>
      <c r="W1159" s="25"/>
      <c r="X1159" s="25"/>
      <c r="Y1159" s="25"/>
      <c r="Z1159" s="25"/>
      <c r="AA1159" s="25"/>
      <c r="AB1159" s="25"/>
      <c r="AC1159" s="25"/>
      <c r="AD1159" s="25"/>
      <c r="AE1159" s="25"/>
      <c r="AF1159" s="25"/>
      <c r="AG1159" s="25"/>
      <c r="AH1159" s="25"/>
      <c r="AI1159" s="25"/>
      <c r="AJ1159" s="25"/>
      <c r="AK1159" s="25"/>
      <c r="AL1159" s="25"/>
      <c r="AM1159" s="25"/>
      <c r="AN1159" s="25"/>
      <c r="AO1159" s="25"/>
      <c r="AP1159" s="25"/>
      <c r="AQ1159" s="25"/>
      <c r="AR1159" s="25"/>
      <c r="AS1159" s="25"/>
      <c r="AT1159" s="25"/>
      <c r="AU1159" s="25"/>
      <c r="AV1159" s="25"/>
      <c r="AW1159" s="25"/>
      <c r="AX1159" s="25"/>
      <c r="AY1159" s="25"/>
      <c r="AZ1159" s="25"/>
      <c r="BA1159" s="25"/>
      <c r="BB1159" s="25"/>
      <c r="BC1159" s="25"/>
      <c r="BD1159" s="25"/>
      <c r="BE1159" s="25"/>
      <c r="BF1159" s="25"/>
      <c r="BG1159" s="25"/>
      <c r="BH1159" s="25"/>
      <c r="BI1159" s="25"/>
      <c r="BJ1159" s="25"/>
      <c r="BK1159" s="25"/>
      <c r="BL1159" s="25"/>
      <c r="BM1159" s="25"/>
      <c r="BN1159" s="25"/>
      <c r="BO1159" s="25"/>
      <c r="BP1159" s="25"/>
      <c r="BQ1159" s="25"/>
      <c r="BR1159" s="25"/>
      <c r="BS1159" s="25"/>
      <c r="BT1159" s="25"/>
      <c r="BU1159" s="25"/>
      <c r="BV1159" s="25"/>
      <c r="BW1159" s="25"/>
      <c r="BX1159" s="25"/>
      <c r="BY1159" s="25"/>
      <c r="BZ1159" s="25"/>
      <c r="CA1159" s="25"/>
      <c r="CB1159" s="25"/>
    </row>
    <row r="1160" spans="1:80" ht="12.75" hidden="1" customHeight="1">
      <c r="A1160" s="10">
        <f ca="1">IFERROR(__xludf.DUMMYFUNCTION("""COMPUTED_VALUE"""),2015)</f>
        <v>2015</v>
      </c>
      <c r="B1160" s="50">
        <f ca="1">IFERROR(__xludf.DUMMYFUNCTION("""COMPUTED_VALUE"""),42618)</f>
        <v>42618</v>
      </c>
      <c r="C1160" s="41">
        <f ca="1">IFERROR(__xludf.DUMMYFUNCTION("""COMPUTED_VALUE"""),42677)</f>
        <v>42677</v>
      </c>
      <c r="D1160" s="42" t="str">
        <f ca="1">IFERROR(__xludf.DUMMYFUNCTION("""COMPUTED_VALUE"""),"YellowxBlue-headed Wagtail [Channel]")</f>
        <v>YellowxBlue-headed Wagtail [Channel]</v>
      </c>
      <c r="E1160" s="53">
        <f ca="1">IFERROR(__xludf.DUMMYFUNCTION("""COMPUTED_VALUE"""),1)</f>
        <v>1</v>
      </c>
      <c r="F1160" s="15"/>
      <c r="G1160" s="44" t="str">
        <f ca="1">IFERROR(__xludf.DUMMYFUNCTION("""COMPUTED_VALUE"""),"Burton Mere Wetlands RSPB")</f>
        <v>Burton Mere Wetlands RSPB</v>
      </c>
      <c r="H1160" s="12">
        <f ca="1">IFERROR(__xludf.DUMMYFUNCTION("""COMPUTED_VALUE"""),42158)</f>
        <v>42158</v>
      </c>
      <c r="I1160" s="12">
        <f ca="1">IFERROR(__xludf.DUMMYFUNCTION("""COMPUTED_VALUE"""),42158)</f>
        <v>42158</v>
      </c>
      <c r="J1160" s="14" t="str">
        <f ca="1">IFERROR(__xludf.DUMMYFUNCTION("""COMPUTED_VALUE"""),"Humphreys-Jones, A")</f>
        <v>Humphreys-Jones, A</v>
      </c>
      <c r="K1160" s="15" t="str">
        <f ca="1">IFERROR(__xludf.DUMMYFUNCTION("""COMPUTED_VALUE"""),"Humphreys-Jones, A")</f>
        <v>Humphreys-Jones, A</v>
      </c>
      <c r="L1160" s="17" t="str">
        <f ca="1">IFERROR(__xludf.DUMMYFUNCTION("""COMPUTED_VALUE"""),"closed")</f>
        <v>closed</v>
      </c>
      <c r="M1160" s="17" t="str">
        <f ca="1">IFERROR(__xludf.DUMMYFUNCTION("""COMPUTED_VALUE"""),"1st U")</f>
        <v>1st U</v>
      </c>
      <c r="N1160" s="15" t="str">
        <f ca="1">IFERROR(__xludf.DUMMYFUNCTION("""COMPUTED_VALUE"""),"accepted")</f>
        <v>accepted</v>
      </c>
      <c r="O1160" s="18"/>
      <c r="P1160" s="15"/>
      <c r="Q1160" s="15"/>
      <c r="R1160" s="15"/>
      <c r="S1160" s="15"/>
      <c r="T1160" s="15"/>
      <c r="U1160" s="15"/>
      <c r="V1160" s="15"/>
      <c r="W1160" s="15"/>
      <c r="X1160" s="15"/>
      <c r="Y1160" s="15"/>
      <c r="Z1160" s="15"/>
      <c r="AA1160" s="15"/>
      <c r="AB1160" s="15"/>
      <c r="AC1160" s="15"/>
      <c r="AD1160" s="15"/>
      <c r="AE1160" s="15"/>
      <c r="AF1160" s="15"/>
      <c r="AG1160" s="15"/>
      <c r="AH1160" s="15"/>
      <c r="AI1160" s="15"/>
      <c r="AJ1160" s="15"/>
      <c r="AK1160" s="15"/>
      <c r="AL1160" s="15"/>
      <c r="AM1160" s="15"/>
      <c r="AN1160" s="15"/>
      <c r="AO1160" s="15"/>
      <c r="AP1160" s="15"/>
      <c r="AQ1160" s="15"/>
      <c r="AR1160" s="15"/>
      <c r="AS1160" s="15"/>
      <c r="AT1160" s="15"/>
      <c r="AU1160" s="15"/>
      <c r="AV1160" s="15"/>
      <c r="AW1160" s="15"/>
      <c r="AX1160" s="15"/>
      <c r="AY1160" s="15"/>
      <c r="AZ1160" s="15"/>
      <c r="BA1160" s="15"/>
      <c r="BB1160" s="15"/>
      <c r="BC1160" s="15"/>
      <c r="BD1160" s="15"/>
      <c r="BE1160" s="15"/>
      <c r="BF1160" s="15"/>
      <c r="BG1160" s="15"/>
      <c r="BH1160" s="15"/>
      <c r="BI1160" s="15"/>
      <c r="BJ1160" s="15"/>
      <c r="BK1160" s="15"/>
      <c r="BL1160" s="15"/>
      <c r="BM1160" s="15"/>
      <c r="BN1160" s="15"/>
      <c r="BO1160" s="15"/>
      <c r="BP1160" s="15"/>
      <c r="BQ1160" s="15"/>
      <c r="BR1160" s="15"/>
      <c r="BS1160" s="15"/>
      <c r="BT1160" s="15"/>
      <c r="BU1160" s="15"/>
      <c r="BV1160" s="15"/>
      <c r="BW1160" s="15"/>
      <c r="BX1160" s="15"/>
      <c r="BY1160" s="15"/>
      <c r="BZ1160" s="15"/>
      <c r="CA1160" s="15"/>
      <c r="CB1160" s="15"/>
    </row>
    <row r="1161" spans="1:80" ht="12.75" hidden="1" customHeight="1">
      <c r="A1161" s="20">
        <f ca="1">IFERROR(__xludf.DUMMYFUNCTION("""COMPUTED_VALUE"""),2015)</f>
        <v>2015</v>
      </c>
      <c r="B1161" s="45">
        <f ca="1">IFERROR(__xludf.DUMMYFUNCTION("""COMPUTED_VALUE"""),43174)</f>
        <v>43174</v>
      </c>
      <c r="C1161" s="46"/>
      <c r="D1161" s="47" t="str">
        <f ca="1">IFERROR(__xludf.DUMMYFUNCTION("""COMPUTED_VALUE"""),"YellowxBlue-headed Wagtail [Channel]")</f>
        <v>YellowxBlue-headed Wagtail [Channel]</v>
      </c>
      <c r="E1161" s="52">
        <f ca="1">IFERROR(__xludf.DUMMYFUNCTION("""COMPUTED_VALUE"""),1)</f>
        <v>1</v>
      </c>
      <c r="F1161" s="25"/>
      <c r="G1161" s="48" t="str">
        <f ca="1">IFERROR(__xludf.DUMMYFUNCTION("""COMPUTED_VALUE"""),"Burton Mere Wetlands RSPB")</f>
        <v>Burton Mere Wetlands RSPB</v>
      </c>
      <c r="H1161" s="22">
        <f ca="1">IFERROR(__xludf.DUMMYFUNCTION("""COMPUTED_VALUE"""),42158)</f>
        <v>42158</v>
      </c>
      <c r="I1161" s="22">
        <f ca="1">IFERROR(__xludf.DUMMYFUNCTION("""COMPUTED_VALUE"""),42158)</f>
        <v>42158</v>
      </c>
      <c r="J1161" s="24" t="str">
        <f ca="1">IFERROR(__xludf.DUMMYFUNCTION("""COMPUTED_VALUE"""),"Humphreys-Jones, A")</f>
        <v>Humphreys-Jones, A</v>
      </c>
      <c r="K1161" s="25" t="str">
        <f ca="1">IFERROR(__xludf.DUMMYFUNCTION("""COMPUTED_VALUE"""),"Humphreys-Jones, A")</f>
        <v>Humphreys-Jones, A</v>
      </c>
      <c r="L1161" s="27" t="str">
        <f ca="1">IFERROR(__xludf.DUMMYFUNCTION("""COMPUTED_VALUE"""),"closed")</f>
        <v>closed</v>
      </c>
      <c r="M1161" s="27" t="str">
        <f ca="1">IFERROR(__xludf.DUMMYFUNCTION("""COMPUTED_VALUE"""),"1st U")</f>
        <v>1st U</v>
      </c>
      <c r="N1161" s="25" t="str">
        <f ca="1">IFERROR(__xludf.DUMMYFUNCTION("""COMPUTED_VALUE"""),"accepted")</f>
        <v>accepted</v>
      </c>
      <c r="O1161" s="28" t="str">
        <f ca="1">IFERROR(__xludf.DUMMYFUNCTION("""COMPUTED_VALUE"""),"submitted as BH, acce[ted as channel")</f>
        <v>submitted as BH, acce[ted as channel</v>
      </c>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c r="AK1161" s="25"/>
      <c r="AL1161" s="25"/>
      <c r="AM1161" s="25"/>
      <c r="AN1161" s="25"/>
      <c r="AO1161" s="25"/>
      <c r="AP1161" s="25"/>
      <c r="AQ1161" s="25"/>
      <c r="AR1161" s="25"/>
      <c r="AS1161" s="25"/>
      <c r="AT1161" s="25"/>
      <c r="AU1161" s="25"/>
      <c r="AV1161" s="25"/>
      <c r="AW1161" s="25"/>
      <c r="AX1161" s="25"/>
      <c r="AY1161" s="25"/>
      <c r="AZ1161" s="25"/>
      <c r="BA1161" s="25"/>
      <c r="BB1161" s="25"/>
      <c r="BC1161" s="25"/>
      <c r="BD1161" s="25"/>
      <c r="BE1161" s="25"/>
      <c r="BF1161" s="25"/>
      <c r="BG1161" s="25"/>
      <c r="BH1161" s="25"/>
      <c r="BI1161" s="25"/>
      <c r="BJ1161" s="25"/>
      <c r="BK1161" s="25"/>
      <c r="BL1161" s="25"/>
      <c r="BM1161" s="25"/>
      <c r="BN1161" s="25"/>
      <c r="BO1161" s="25"/>
      <c r="BP1161" s="25"/>
      <c r="BQ1161" s="25"/>
      <c r="BR1161" s="25"/>
      <c r="BS1161" s="25"/>
      <c r="BT1161" s="25"/>
      <c r="BU1161" s="25"/>
      <c r="BV1161" s="25"/>
      <c r="BW1161" s="25"/>
      <c r="BX1161" s="25"/>
      <c r="BY1161" s="25"/>
      <c r="BZ1161" s="25"/>
      <c r="CA1161" s="25"/>
      <c r="CB1161" s="25"/>
    </row>
    <row r="1162" spans="1:80" ht="12.75" hidden="1" customHeight="1">
      <c r="A1162" s="10">
        <f ca="1">IFERROR(__xludf.DUMMYFUNCTION("""COMPUTED_VALUE"""),2015)</f>
        <v>2015</v>
      </c>
      <c r="B1162" s="50">
        <f ca="1">IFERROR(__xludf.DUMMYFUNCTION("""COMPUTED_VALUE"""),42618)</f>
        <v>42618</v>
      </c>
      <c r="C1162" s="41">
        <f ca="1">IFERROR(__xludf.DUMMYFUNCTION("""COMPUTED_VALUE"""),42677)</f>
        <v>42677</v>
      </c>
      <c r="D1162" s="42" t="str">
        <f ca="1">IFERROR(__xludf.DUMMYFUNCTION("""COMPUTED_VALUE"""),"Rock Pipit [Scandinavian]")</f>
        <v>Rock Pipit [Scandinavian]</v>
      </c>
      <c r="E1162" s="53">
        <f ca="1">IFERROR(__xludf.DUMMYFUNCTION("""COMPUTED_VALUE"""),1)</f>
        <v>1</v>
      </c>
      <c r="F1162" s="15"/>
      <c r="G1162" s="44" t="str">
        <f ca="1">IFERROR(__xludf.DUMMYFUNCTION("""COMPUTED_VALUE"""),"Red Rocks, Hoylake")</f>
        <v>Red Rocks, Hoylake</v>
      </c>
      <c r="H1162" s="12">
        <f ca="1">IFERROR(__xludf.DUMMYFUNCTION("""COMPUTED_VALUE"""),42098)</f>
        <v>42098</v>
      </c>
      <c r="I1162" s="12">
        <f ca="1">IFERROR(__xludf.DUMMYFUNCTION("""COMPUTED_VALUE"""),42098)</f>
        <v>42098</v>
      </c>
      <c r="J1162" s="14" t="str">
        <f ca="1">IFERROR(__xludf.DUMMYFUNCTION("""COMPUTED_VALUE"""),"Turner, JE")</f>
        <v>Turner, JE</v>
      </c>
      <c r="K1162" s="15" t="str">
        <f ca="1">IFERROR(__xludf.DUMMYFUNCTION("""COMPUTED_VALUE"""),"Turner, JE")</f>
        <v>Turner, JE</v>
      </c>
      <c r="L1162" s="17" t="str">
        <f ca="1">IFERROR(__xludf.DUMMYFUNCTION("""COMPUTED_VALUE"""),"closed")</f>
        <v>closed</v>
      </c>
      <c r="M1162" s="17" t="str">
        <f ca="1">IFERROR(__xludf.DUMMYFUNCTION("""COMPUTED_VALUE"""),"1st U")</f>
        <v>1st U</v>
      </c>
      <c r="N1162" s="15" t="str">
        <f ca="1">IFERROR(__xludf.DUMMYFUNCTION("""COMPUTED_VALUE"""),"accepted")</f>
        <v>accepted</v>
      </c>
      <c r="O1162" s="18"/>
      <c r="P1162" s="15"/>
      <c r="Q1162" s="15"/>
      <c r="R1162" s="15"/>
      <c r="S1162" s="15"/>
      <c r="T1162" s="15"/>
      <c r="U1162" s="15"/>
      <c r="V1162" s="15"/>
      <c r="W1162" s="15"/>
      <c r="X1162" s="15"/>
      <c r="Y1162" s="15"/>
      <c r="Z1162" s="15"/>
      <c r="AA1162" s="15"/>
      <c r="AB1162" s="15"/>
      <c r="AC1162" s="15"/>
      <c r="AD1162" s="15"/>
      <c r="AE1162" s="15"/>
      <c r="AF1162" s="15"/>
      <c r="AG1162" s="15"/>
      <c r="AH1162" s="15"/>
      <c r="AI1162" s="15"/>
      <c r="AJ1162" s="15"/>
      <c r="AK1162" s="15"/>
      <c r="AL1162" s="15"/>
      <c r="AM1162" s="15"/>
      <c r="AN1162" s="15"/>
      <c r="AO1162" s="15"/>
      <c r="AP1162" s="15"/>
      <c r="AQ1162" s="15"/>
      <c r="AR1162" s="15"/>
      <c r="AS1162" s="15"/>
      <c r="AT1162" s="15"/>
      <c r="AU1162" s="15"/>
      <c r="AV1162" s="15"/>
      <c r="AW1162" s="15"/>
      <c r="AX1162" s="15"/>
      <c r="AY1162" s="15"/>
      <c r="AZ1162" s="15"/>
      <c r="BA1162" s="15"/>
      <c r="BB1162" s="15"/>
      <c r="BC1162" s="15"/>
      <c r="BD1162" s="15"/>
      <c r="BE1162" s="15"/>
      <c r="BF1162" s="15"/>
      <c r="BG1162" s="15"/>
      <c r="BH1162" s="15"/>
      <c r="BI1162" s="15"/>
      <c r="BJ1162" s="15"/>
      <c r="BK1162" s="15"/>
      <c r="BL1162" s="15"/>
      <c r="BM1162" s="15"/>
      <c r="BN1162" s="15"/>
      <c r="BO1162" s="15"/>
      <c r="BP1162" s="15"/>
      <c r="BQ1162" s="15"/>
      <c r="BR1162" s="15"/>
      <c r="BS1162" s="15"/>
      <c r="BT1162" s="15"/>
      <c r="BU1162" s="15"/>
      <c r="BV1162" s="15"/>
      <c r="BW1162" s="15"/>
      <c r="BX1162" s="15"/>
      <c r="BY1162" s="15"/>
      <c r="BZ1162" s="15"/>
      <c r="CA1162" s="15"/>
      <c r="CB1162" s="15"/>
    </row>
    <row r="1163" spans="1:80" ht="12.75" hidden="1" customHeight="1">
      <c r="A1163" s="20">
        <f ca="1">IFERROR(__xludf.DUMMYFUNCTION("""COMPUTED_VALUE"""),2015)</f>
        <v>2015</v>
      </c>
      <c r="B1163" s="45">
        <f ca="1">IFERROR(__xludf.DUMMYFUNCTION("""COMPUTED_VALUE"""),42618)</f>
        <v>42618</v>
      </c>
      <c r="C1163" s="46">
        <f ca="1">IFERROR(__xludf.DUMMYFUNCTION("""COMPUTED_VALUE"""),42677)</f>
        <v>42677</v>
      </c>
      <c r="D1163" s="47" t="str">
        <f ca="1">IFERROR(__xludf.DUMMYFUNCTION("""COMPUTED_VALUE"""),"Rock Pipit [Scandinavian]")</f>
        <v>Rock Pipit [Scandinavian]</v>
      </c>
      <c r="E1163" s="52">
        <f ca="1">IFERROR(__xludf.DUMMYFUNCTION("""COMPUTED_VALUE"""),1)</f>
        <v>1</v>
      </c>
      <c r="F1163" s="25"/>
      <c r="G1163" s="48" t="str">
        <f ca="1">IFERROR(__xludf.DUMMYFUNCTION("""COMPUTED_VALUE"""),"Red Rocks, Hoylake")</f>
        <v>Red Rocks, Hoylake</v>
      </c>
      <c r="H1163" s="22">
        <f ca="1">IFERROR(__xludf.DUMMYFUNCTION("""COMPUTED_VALUE"""),42104)</f>
        <v>42104</v>
      </c>
      <c r="I1163" s="22">
        <f ca="1">IFERROR(__xludf.DUMMYFUNCTION("""COMPUTED_VALUE"""),42104)</f>
        <v>42104</v>
      </c>
      <c r="J1163" s="24" t="str">
        <f ca="1">IFERROR(__xludf.DUMMYFUNCTION("""COMPUTED_VALUE"""),"Turner, JE")</f>
        <v>Turner, JE</v>
      </c>
      <c r="K1163" s="25" t="str">
        <f ca="1">IFERROR(__xludf.DUMMYFUNCTION("""COMPUTED_VALUE"""),"Turner, JE")</f>
        <v>Turner, JE</v>
      </c>
      <c r="L1163" s="27" t="str">
        <f ca="1">IFERROR(__xludf.DUMMYFUNCTION("""COMPUTED_VALUE"""),"closed")</f>
        <v>closed</v>
      </c>
      <c r="M1163" s="27" t="str">
        <f ca="1">IFERROR(__xludf.DUMMYFUNCTION("""COMPUTED_VALUE"""),"1st U")</f>
        <v>1st U</v>
      </c>
      <c r="N1163" s="25" t="str">
        <f ca="1">IFERROR(__xludf.DUMMYFUNCTION("""COMPUTED_VALUE"""),"accepted")</f>
        <v>accepted</v>
      </c>
      <c r="O1163" s="28"/>
      <c r="P1163" s="25"/>
      <c r="Q1163" s="25"/>
      <c r="R1163" s="25"/>
      <c r="S1163" s="25"/>
      <c r="T1163" s="25"/>
      <c r="U1163" s="25"/>
      <c r="V1163" s="25"/>
      <c r="W1163" s="25"/>
      <c r="X1163" s="25"/>
      <c r="Y1163" s="25"/>
      <c r="Z1163" s="25"/>
      <c r="AA1163" s="25"/>
      <c r="AB1163" s="25"/>
      <c r="AC1163" s="25"/>
      <c r="AD1163" s="25"/>
      <c r="AE1163" s="25"/>
      <c r="AF1163" s="25"/>
      <c r="AG1163" s="25"/>
      <c r="AH1163" s="25"/>
      <c r="AI1163" s="25"/>
      <c r="AJ1163" s="25"/>
      <c r="AK1163" s="25"/>
      <c r="AL1163" s="25"/>
      <c r="AM1163" s="25"/>
      <c r="AN1163" s="25"/>
      <c r="AO1163" s="25"/>
      <c r="AP1163" s="25"/>
      <c r="AQ1163" s="25"/>
      <c r="AR1163" s="25"/>
      <c r="AS1163" s="25"/>
      <c r="AT1163" s="25"/>
      <c r="AU1163" s="25"/>
      <c r="AV1163" s="25"/>
      <c r="AW1163" s="25"/>
      <c r="AX1163" s="25"/>
      <c r="AY1163" s="25"/>
      <c r="AZ1163" s="25"/>
      <c r="BA1163" s="25"/>
      <c r="BB1163" s="25"/>
      <c r="BC1163" s="25"/>
      <c r="BD1163" s="25"/>
      <c r="BE1163" s="25"/>
      <c r="BF1163" s="25"/>
      <c r="BG1163" s="25"/>
      <c r="BH1163" s="25"/>
      <c r="BI1163" s="25"/>
      <c r="BJ1163" s="25"/>
      <c r="BK1163" s="25"/>
      <c r="BL1163" s="25"/>
      <c r="BM1163" s="25"/>
      <c r="BN1163" s="25"/>
      <c r="BO1163" s="25"/>
      <c r="BP1163" s="25"/>
      <c r="BQ1163" s="25"/>
      <c r="BR1163" s="25"/>
      <c r="BS1163" s="25"/>
      <c r="BT1163" s="25"/>
      <c r="BU1163" s="25"/>
      <c r="BV1163" s="25"/>
      <c r="BW1163" s="25"/>
      <c r="BX1163" s="25"/>
      <c r="BY1163" s="25"/>
      <c r="BZ1163" s="25"/>
      <c r="CA1163" s="25"/>
      <c r="CB1163" s="25"/>
    </row>
    <row r="1164" spans="1:80" ht="12.75" hidden="1" customHeight="1">
      <c r="A1164" s="10">
        <f ca="1">IFERROR(__xludf.DUMMYFUNCTION("""COMPUTED_VALUE"""),2015)</f>
        <v>2015</v>
      </c>
      <c r="B1164" s="50">
        <f ca="1">IFERROR(__xludf.DUMMYFUNCTION("""COMPUTED_VALUE"""),42618)</f>
        <v>42618</v>
      </c>
      <c r="C1164" s="41">
        <f ca="1">IFERROR(__xludf.DUMMYFUNCTION("""COMPUTED_VALUE"""),42621)</f>
        <v>42621</v>
      </c>
      <c r="D1164" s="42" t="str">
        <f ca="1">IFERROR(__xludf.DUMMYFUNCTION("""COMPUTED_VALUE"""),"Hawfinch")</f>
        <v>Hawfinch</v>
      </c>
      <c r="E1164" s="53">
        <f ca="1">IFERROR(__xludf.DUMMYFUNCTION("""COMPUTED_VALUE"""),1)</f>
        <v>1</v>
      </c>
      <c r="F1164" s="15"/>
      <c r="G1164" s="44" t="str">
        <f ca="1">IFERROR(__xludf.DUMMYFUNCTION("""COMPUTED_VALUE"""),"Hale Head, Hale")</f>
        <v>Hale Head, Hale</v>
      </c>
      <c r="H1164" s="12">
        <f ca="1">IFERROR(__xludf.DUMMYFUNCTION("""COMPUTED_VALUE"""),42304)</f>
        <v>42304</v>
      </c>
      <c r="I1164" s="12">
        <f ca="1">IFERROR(__xludf.DUMMYFUNCTION("""COMPUTED_VALUE"""),42304)</f>
        <v>42304</v>
      </c>
      <c r="J1164" s="14" t="str">
        <f ca="1">IFERROR(__xludf.DUMMYFUNCTION("""COMPUTED_VALUE"""),"RP&amp;CA Cockbain")</f>
        <v>RP&amp;CA Cockbain</v>
      </c>
      <c r="K1164" s="15" t="str">
        <f ca="1">IFERROR(__xludf.DUMMYFUNCTION("""COMPUTED_VALUE"""),"RP&amp;CA Cockbain")</f>
        <v>RP&amp;CA Cockbain</v>
      </c>
      <c r="L1164" s="17" t="str">
        <f ca="1">IFERROR(__xludf.DUMMYFUNCTION("""COMPUTED_VALUE"""),"closed")</f>
        <v>closed</v>
      </c>
      <c r="M1164" s="17" t="str">
        <f ca="1">IFERROR(__xludf.DUMMYFUNCTION("""COMPUTED_VALUE"""),"1st U")</f>
        <v>1st U</v>
      </c>
      <c r="N1164" s="15" t="str">
        <f ca="1">IFERROR(__xludf.DUMMYFUNCTION("""COMPUTED_VALUE"""),"accepted")</f>
        <v>accepted</v>
      </c>
      <c r="O1164" s="18"/>
      <c r="P1164" s="15"/>
      <c r="Q1164" s="15"/>
      <c r="R1164" s="15"/>
      <c r="S1164" s="15"/>
      <c r="T1164" s="15"/>
      <c r="U1164" s="15"/>
      <c r="V1164" s="15"/>
      <c r="W1164" s="15"/>
      <c r="X1164" s="15"/>
      <c r="Y1164" s="15"/>
      <c r="Z1164" s="15"/>
      <c r="AA1164" s="15"/>
      <c r="AB1164" s="15"/>
      <c r="AC1164" s="15"/>
      <c r="AD1164" s="15"/>
      <c r="AE1164" s="15"/>
      <c r="AF1164" s="15"/>
      <c r="AG1164" s="15"/>
      <c r="AH1164" s="15"/>
      <c r="AI1164" s="15"/>
      <c r="AJ1164" s="15"/>
      <c r="AK1164" s="15"/>
      <c r="AL1164" s="15"/>
      <c r="AM1164" s="15"/>
      <c r="AN1164" s="15"/>
      <c r="AO1164" s="15"/>
      <c r="AP1164" s="15"/>
      <c r="AQ1164" s="15"/>
      <c r="AR1164" s="15"/>
      <c r="AS1164" s="15"/>
      <c r="AT1164" s="15"/>
      <c r="AU1164" s="15"/>
      <c r="AV1164" s="15"/>
      <c r="AW1164" s="15"/>
      <c r="AX1164" s="15"/>
      <c r="AY1164" s="15"/>
      <c r="AZ1164" s="15"/>
      <c r="BA1164" s="15"/>
      <c r="BB1164" s="15"/>
      <c r="BC1164" s="15"/>
      <c r="BD1164" s="15"/>
      <c r="BE1164" s="15"/>
      <c r="BF1164" s="15"/>
      <c r="BG1164" s="15"/>
      <c r="BH1164" s="15"/>
      <c r="BI1164" s="15"/>
      <c r="BJ1164" s="15"/>
      <c r="BK1164" s="15"/>
      <c r="BL1164" s="15"/>
      <c r="BM1164" s="15"/>
      <c r="BN1164" s="15"/>
      <c r="BO1164" s="15"/>
      <c r="BP1164" s="15"/>
      <c r="BQ1164" s="15"/>
      <c r="BR1164" s="15"/>
      <c r="BS1164" s="15"/>
      <c r="BT1164" s="15"/>
      <c r="BU1164" s="15"/>
      <c r="BV1164" s="15"/>
      <c r="BW1164" s="15"/>
      <c r="BX1164" s="15"/>
      <c r="BY1164" s="15"/>
      <c r="BZ1164" s="15"/>
      <c r="CA1164" s="15"/>
      <c r="CB1164" s="15"/>
    </row>
    <row r="1165" spans="1:80" ht="12.75" hidden="1" customHeight="1">
      <c r="A1165" s="20">
        <f ca="1">IFERROR(__xludf.DUMMYFUNCTION("""COMPUTED_VALUE"""),2015)</f>
        <v>2015</v>
      </c>
      <c r="B1165" s="45">
        <f ca="1">IFERROR(__xludf.DUMMYFUNCTION("""COMPUTED_VALUE"""),42618)</f>
        <v>42618</v>
      </c>
      <c r="C1165" s="46">
        <f ca="1">IFERROR(__xludf.DUMMYFUNCTION("""COMPUTED_VALUE"""),42621)</f>
        <v>42621</v>
      </c>
      <c r="D1165" s="47" t="str">
        <f ca="1">IFERROR(__xludf.DUMMYFUNCTION("""COMPUTED_VALUE"""),"Hawfinch")</f>
        <v>Hawfinch</v>
      </c>
      <c r="E1165" s="52">
        <f ca="1">IFERROR(__xludf.DUMMYFUNCTION("""COMPUTED_VALUE"""),1)</f>
        <v>1</v>
      </c>
      <c r="F1165" s="25"/>
      <c r="G1165" s="48" t="str">
        <f ca="1">IFERROR(__xludf.DUMMYFUNCTION("""COMPUTED_VALUE"""),"Hale Head, Hale")</f>
        <v>Hale Head, Hale</v>
      </c>
      <c r="H1165" s="22">
        <f ca="1">IFERROR(__xludf.DUMMYFUNCTION("""COMPUTED_VALUE"""),42308)</f>
        <v>42308</v>
      </c>
      <c r="I1165" s="22">
        <f ca="1">IFERROR(__xludf.DUMMYFUNCTION("""COMPUTED_VALUE"""),42308)</f>
        <v>42308</v>
      </c>
      <c r="J1165" s="24" t="str">
        <f ca="1">IFERROR(__xludf.DUMMYFUNCTION("""COMPUTED_VALUE"""),"RP&amp;CA Cockbain")</f>
        <v>RP&amp;CA Cockbain</v>
      </c>
      <c r="K1165" s="25"/>
      <c r="L1165" s="27" t="str">
        <f ca="1">IFERROR(__xludf.DUMMYFUNCTION("""COMPUTED_VALUE"""),"closed")</f>
        <v>closed</v>
      </c>
      <c r="M1165" s="27" t="str">
        <f ca="1">IFERROR(__xludf.DUMMYFUNCTION("""COMPUTED_VALUE"""),"2ndU")</f>
        <v>2ndU</v>
      </c>
      <c r="N1165" s="25" t="str">
        <f ca="1">IFERROR(__xludf.DUMMYFUNCTION("""COMPUTED_VALUE"""),"accepted")</f>
        <v>accepted</v>
      </c>
      <c r="O1165" s="28"/>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c r="AK1165" s="25"/>
      <c r="AL1165" s="25"/>
      <c r="AM1165" s="25"/>
      <c r="AN1165" s="25"/>
      <c r="AO1165" s="25"/>
      <c r="AP1165" s="25"/>
      <c r="AQ1165" s="25"/>
      <c r="AR1165" s="25"/>
      <c r="AS1165" s="25"/>
      <c r="AT1165" s="25"/>
      <c r="AU1165" s="25"/>
      <c r="AV1165" s="25"/>
      <c r="AW1165" s="25"/>
      <c r="AX1165" s="25"/>
      <c r="AY1165" s="25"/>
      <c r="AZ1165" s="25"/>
      <c r="BA1165" s="25"/>
      <c r="BB1165" s="25"/>
      <c r="BC1165" s="25"/>
      <c r="BD1165" s="25"/>
      <c r="BE1165" s="25"/>
      <c r="BF1165" s="25"/>
      <c r="BG1165" s="25"/>
      <c r="BH1165" s="25"/>
      <c r="BI1165" s="25"/>
      <c r="BJ1165" s="25"/>
      <c r="BK1165" s="25"/>
      <c r="BL1165" s="25"/>
      <c r="BM1165" s="25"/>
      <c r="BN1165" s="25"/>
      <c r="BO1165" s="25"/>
      <c r="BP1165" s="25"/>
      <c r="BQ1165" s="25"/>
      <c r="BR1165" s="25"/>
      <c r="BS1165" s="25"/>
      <c r="BT1165" s="25"/>
      <c r="BU1165" s="25"/>
      <c r="BV1165" s="25"/>
      <c r="BW1165" s="25"/>
      <c r="BX1165" s="25"/>
      <c r="BY1165" s="25"/>
      <c r="BZ1165" s="25"/>
      <c r="CA1165" s="25"/>
      <c r="CB1165" s="25"/>
    </row>
    <row r="1166" spans="1:80" ht="12.75" hidden="1" customHeight="1">
      <c r="A1166" s="10">
        <f ca="1">IFERROR(__xludf.DUMMYFUNCTION("""COMPUTED_VALUE"""),2015)</f>
        <v>2015</v>
      </c>
      <c r="B1166" s="50">
        <f ca="1">IFERROR(__xludf.DUMMYFUNCTION("""COMPUTED_VALUE"""),42618)</f>
        <v>42618</v>
      </c>
      <c r="C1166" s="41">
        <f ca="1">IFERROR(__xludf.DUMMYFUNCTION("""COMPUTED_VALUE"""),42621)</f>
        <v>42621</v>
      </c>
      <c r="D1166" s="42" t="str">
        <f ca="1">IFERROR(__xludf.DUMMYFUNCTION("""COMPUTED_VALUE"""),"Hawfinch")</f>
        <v>Hawfinch</v>
      </c>
      <c r="E1166" s="53">
        <f ca="1">IFERROR(__xludf.DUMMYFUNCTION("""COMPUTED_VALUE"""),2)</f>
        <v>2</v>
      </c>
      <c r="F1166" s="15"/>
      <c r="G1166" s="44" t="str">
        <f ca="1">IFERROR(__xludf.DUMMYFUNCTION("""COMPUTED_VALUE"""),"Hale Head, Hale")</f>
        <v>Hale Head, Hale</v>
      </c>
      <c r="H1166" s="12">
        <f ca="1">IFERROR(__xludf.DUMMYFUNCTION("""COMPUTED_VALUE"""),42314)</f>
        <v>42314</v>
      </c>
      <c r="I1166" s="12">
        <f ca="1">IFERROR(__xludf.DUMMYFUNCTION("""COMPUTED_VALUE"""),42314)</f>
        <v>42314</v>
      </c>
      <c r="J1166" s="14" t="str">
        <f ca="1">IFERROR(__xludf.DUMMYFUNCTION("""COMPUTED_VALUE"""),"RP&amp;CA Cockbain")</f>
        <v>RP&amp;CA Cockbain</v>
      </c>
      <c r="K1166" s="15"/>
      <c r="L1166" s="17" t="str">
        <f ca="1">IFERROR(__xludf.DUMMYFUNCTION("""COMPUTED_VALUE"""),"closed")</f>
        <v>closed</v>
      </c>
      <c r="M1166" s="17" t="str">
        <f ca="1">IFERROR(__xludf.DUMMYFUNCTION("""COMPUTED_VALUE"""),"2ndU")</f>
        <v>2ndU</v>
      </c>
      <c r="N1166" s="15" t="str">
        <f ca="1">IFERROR(__xludf.DUMMYFUNCTION("""COMPUTED_VALUE"""),"accepted")</f>
        <v>accepted</v>
      </c>
      <c r="O1166" s="18"/>
      <c r="P1166" s="15"/>
      <c r="Q1166" s="15"/>
      <c r="R1166" s="15"/>
      <c r="S1166" s="15"/>
      <c r="T1166" s="15"/>
      <c r="U1166" s="15"/>
      <c r="V1166" s="15"/>
      <c r="W1166" s="15"/>
      <c r="X1166" s="15"/>
      <c r="Y1166" s="15"/>
      <c r="Z1166" s="15"/>
      <c r="AA1166" s="15"/>
      <c r="AB1166" s="15"/>
      <c r="AC1166" s="15"/>
      <c r="AD1166" s="15"/>
      <c r="AE1166" s="15"/>
      <c r="AF1166" s="15"/>
      <c r="AG1166" s="15"/>
      <c r="AH1166" s="15"/>
      <c r="AI1166" s="15"/>
      <c r="AJ1166" s="15"/>
      <c r="AK1166" s="15"/>
      <c r="AL1166" s="15"/>
      <c r="AM1166" s="15"/>
      <c r="AN1166" s="15"/>
      <c r="AO1166" s="15"/>
      <c r="AP1166" s="15"/>
      <c r="AQ1166" s="15"/>
      <c r="AR1166" s="15"/>
      <c r="AS1166" s="15"/>
      <c r="AT1166" s="15"/>
      <c r="AU1166" s="15"/>
      <c r="AV1166" s="15"/>
      <c r="AW1166" s="15"/>
      <c r="AX1166" s="15"/>
      <c r="AY1166" s="15"/>
      <c r="AZ1166" s="15"/>
      <c r="BA1166" s="15"/>
      <c r="BB1166" s="15"/>
      <c r="BC1166" s="15"/>
      <c r="BD1166" s="15"/>
      <c r="BE1166" s="15"/>
      <c r="BF1166" s="15"/>
      <c r="BG1166" s="15"/>
      <c r="BH1166" s="15"/>
      <c r="BI1166" s="15"/>
      <c r="BJ1166" s="15"/>
      <c r="BK1166" s="15"/>
      <c r="BL1166" s="15"/>
      <c r="BM1166" s="15"/>
      <c r="BN1166" s="15"/>
      <c r="BO1166" s="15"/>
      <c r="BP1166" s="15"/>
      <c r="BQ1166" s="15"/>
      <c r="BR1166" s="15"/>
      <c r="BS1166" s="15"/>
      <c r="BT1166" s="15"/>
      <c r="BU1166" s="15"/>
      <c r="BV1166" s="15"/>
      <c r="BW1166" s="15"/>
      <c r="BX1166" s="15"/>
      <c r="BY1166" s="15"/>
      <c r="BZ1166" s="15"/>
      <c r="CA1166" s="15"/>
      <c r="CB1166" s="15"/>
    </row>
    <row r="1167" spans="1:80" ht="12.75" hidden="1" customHeight="1">
      <c r="A1167" s="20">
        <f ca="1">IFERROR(__xludf.DUMMYFUNCTION("""COMPUTED_VALUE"""),2015)</f>
        <v>2015</v>
      </c>
      <c r="B1167" s="45">
        <f ca="1">IFERROR(__xludf.DUMMYFUNCTION("""COMPUTED_VALUE"""),42618)</f>
        <v>42618</v>
      </c>
      <c r="C1167" s="46"/>
      <c r="D1167" s="47" t="str">
        <f ca="1">IFERROR(__xludf.DUMMYFUNCTION("""COMPUTED_VALUE"""),"Serin")</f>
        <v>Serin</v>
      </c>
      <c r="E1167" s="52">
        <f ca="1">IFERROR(__xludf.DUMMYFUNCTION("""COMPUTED_VALUE"""),1)</f>
        <v>1</v>
      </c>
      <c r="F1167" s="25"/>
      <c r="G1167" s="48" t="str">
        <f ca="1">IFERROR(__xludf.DUMMYFUNCTION("""COMPUTED_VALUE"""),"Leasowe")</f>
        <v>Leasowe</v>
      </c>
      <c r="H1167" s="22">
        <f ca="1">IFERROR(__xludf.DUMMYFUNCTION("""COMPUTED_VALUE"""),42181)</f>
        <v>42181</v>
      </c>
      <c r="I1167" s="22">
        <f ca="1">IFERROR(__xludf.DUMMYFUNCTION("""COMPUTED_VALUE"""),42181)</f>
        <v>42181</v>
      </c>
      <c r="J1167" s="24" t="str">
        <f ca="1">IFERROR(__xludf.DUMMYFUNCTION("""COMPUTED_VALUE"""),"Turner, JE")</f>
        <v>Turner, JE</v>
      </c>
      <c r="K1167" s="25" t="str">
        <f ca="1">IFERROR(__xludf.DUMMYFUNCTION("""COMPUTED_VALUE"""),"A.Conlin E.Williams")</f>
        <v>A.Conlin E.Williams</v>
      </c>
      <c r="L1167" s="27" t="str">
        <f ca="1">IFERROR(__xludf.DUMMYFUNCTION("""COMPUTED_VALUE"""),"closed")</f>
        <v>closed</v>
      </c>
      <c r="M1167" s="27" t="str">
        <f ca="1">IFERROR(__xludf.DUMMYFUNCTION("""COMPUTED_VALUE"""),"1st U")</f>
        <v>1st U</v>
      </c>
      <c r="N1167" s="25" t="str">
        <f ca="1">IFERROR(__xludf.DUMMYFUNCTION("""COMPUTED_VALUE"""),"accepted")</f>
        <v>accepted</v>
      </c>
      <c r="O1167" s="28" t="str">
        <f ca="1">IFERROR(__xludf.DUMMYFUNCTION("""COMPUTED_VALUE"""),"don't put my initial on this")</f>
        <v>don't put my initial on this</v>
      </c>
      <c r="P1167" s="25"/>
      <c r="Q1167" s="25"/>
      <c r="R1167" s="25"/>
      <c r="S1167" s="25"/>
      <c r="T1167" s="25"/>
      <c r="U1167" s="25"/>
      <c r="V1167" s="25"/>
      <c r="W1167" s="25"/>
      <c r="X1167" s="25"/>
      <c r="Y1167" s="25"/>
      <c r="Z1167" s="25"/>
      <c r="AA1167" s="25"/>
      <c r="AB1167" s="25"/>
      <c r="AC1167" s="25"/>
      <c r="AD1167" s="25"/>
      <c r="AE1167" s="25"/>
      <c r="AF1167" s="25"/>
      <c r="AG1167" s="25"/>
      <c r="AH1167" s="25"/>
      <c r="AI1167" s="25"/>
      <c r="AJ1167" s="25"/>
      <c r="AK1167" s="25"/>
      <c r="AL1167" s="25"/>
      <c r="AM1167" s="25"/>
      <c r="AN1167" s="25"/>
      <c r="AO1167" s="25"/>
      <c r="AP1167" s="25"/>
      <c r="AQ1167" s="25"/>
      <c r="AR1167" s="25"/>
      <c r="AS1167" s="25"/>
      <c r="AT1167" s="25"/>
      <c r="AU1167" s="25"/>
      <c r="AV1167" s="25"/>
      <c r="AW1167" s="25"/>
      <c r="AX1167" s="25"/>
      <c r="AY1167" s="25"/>
      <c r="AZ1167" s="25"/>
      <c r="BA1167" s="25"/>
      <c r="BB1167" s="25"/>
      <c r="BC1167" s="25"/>
      <c r="BD1167" s="25"/>
      <c r="BE1167" s="25"/>
      <c r="BF1167" s="25"/>
      <c r="BG1167" s="25"/>
      <c r="BH1167" s="25"/>
      <c r="BI1167" s="25"/>
      <c r="BJ1167" s="25"/>
      <c r="BK1167" s="25"/>
      <c r="BL1167" s="25"/>
      <c r="BM1167" s="25"/>
      <c r="BN1167" s="25"/>
      <c r="BO1167" s="25"/>
      <c r="BP1167" s="25"/>
      <c r="BQ1167" s="25"/>
      <c r="BR1167" s="25"/>
      <c r="BS1167" s="25"/>
      <c r="BT1167" s="25"/>
      <c r="BU1167" s="25"/>
      <c r="BV1167" s="25"/>
      <c r="BW1167" s="25"/>
      <c r="BX1167" s="25"/>
      <c r="BY1167" s="25"/>
      <c r="BZ1167" s="25"/>
      <c r="CA1167" s="25"/>
      <c r="CB1167" s="25"/>
    </row>
    <row r="1168" spans="1:80" ht="12.75" hidden="1" customHeight="1">
      <c r="A1168" s="10">
        <f ca="1">IFERROR(__xludf.DUMMYFUNCTION("""COMPUTED_VALUE"""),2015)</f>
        <v>2015</v>
      </c>
      <c r="B1168" s="50">
        <f ca="1">IFERROR(__xludf.DUMMYFUNCTION("""COMPUTED_VALUE"""),42618)</f>
        <v>42618</v>
      </c>
      <c r="C1168" s="41">
        <f ca="1">IFERROR(__xludf.DUMMYFUNCTION("""COMPUTED_VALUE"""),42639)</f>
        <v>42639</v>
      </c>
      <c r="D1168" s="42" t="str">
        <f ca="1">IFERROR(__xludf.DUMMYFUNCTION("""COMPUTED_VALUE"""),"Lapland Bunting")</f>
        <v>Lapland Bunting</v>
      </c>
      <c r="E1168" s="53">
        <f ca="1">IFERROR(__xludf.DUMMYFUNCTION("""COMPUTED_VALUE"""),1)</f>
        <v>1</v>
      </c>
      <c r="F1168" s="15"/>
      <c r="G1168" s="44" t="str">
        <f ca="1">IFERROR(__xludf.DUMMYFUNCTION("""COMPUTED_VALUE"""),"Hoylake")</f>
        <v>Hoylake</v>
      </c>
      <c r="H1168" s="60">
        <f ca="1">IFERROR(__xludf.DUMMYFUNCTION("""COMPUTED_VALUE"""),42290)</f>
        <v>42290</v>
      </c>
      <c r="I1168" s="12">
        <f ca="1">IFERROR(__xludf.DUMMYFUNCTION("""COMPUTED_VALUE"""),42290)</f>
        <v>42290</v>
      </c>
      <c r="J1168" s="14" t="str">
        <f ca="1">IFERROR(__xludf.DUMMYFUNCTION("""COMPUTED_VALUE"""),"Turner, JE")</f>
        <v>Turner, JE</v>
      </c>
      <c r="K1168" s="15" t="str">
        <f ca="1">IFERROR(__xludf.DUMMYFUNCTION("""COMPUTED_VALUE"""),"Turner, JE")</f>
        <v>Turner, JE</v>
      </c>
      <c r="L1168" s="17" t="str">
        <f ca="1">IFERROR(__xludf.DUMMYFUNCTION("""COMPUTED_VALUE"""),"closed")</f>
        <v>closed</v>
      </c>
      <c r="M1168" s="17" t="str">
        <f ca="1">IFERROR(__xludf.DUMMYFUNCTION("""COMPUTED_VALUE"""),"1st U")</f>
        <v>1st U</v>
      </c>
      <c r="N1168" s="15" t="str">
        <f ca="1">IFERROR(__xludf.DUMMYFUNCTION("""COMPUTED_VALUE"""),"accepted")</f>
        <v>accepted</v>
      </c>
      <c r="O1168" s="18"/>
      <c r="P1168" s="15"/>
      <c r="Q1168" s="15"/>
      <c r="R1168" s="15"/>
      <c r="S1168" s="15"/>
      <c r="T1168" s="15"/>
      <c r="U1168" s="15"/>
      <c r="V1168" s="15"/>
      <c r="W1168" s="15"/>
      <c r="X1168" s="15"/>
      <c r="Y1168" s="15"/>
      <c r="Z1168" s="15"/>
      <c r="AA1168" s="15"/>
      <c r="AB1168" s="15"/>
      <c r="AC1168" s="15"/>
      <c r="AD1168" s="15"/>
      <c r="AE1168" s="15"/>
      <c r="AF1168" s="15"/>
      <c r="AG1168" s="15"/>
      <c r="AH1168" s="15"/>
      <c r="AI1168" s="15"/>
      <c r="AJ1168" s="15"/>
      <c r="AK1168" s="15"/>
      <c r="AL1168" s="15"/>
      <c r="AM1168" s="15"/>
      <c r="AN1168" s="15"/>
      <c r="AO1168" s="15"/>
      <c r="AP1168" s="15"/>
      <c r="AQ1168" s="15"/>
      <c r="AR1168" s="15"/>
      <c r="AS1168" s="15"/>
      <c r="AT1168" s="15"/>
      <c r="AU1168" s="15"/>
      <c r="AV1168" s="15"/>
      <c r="AW1168" s="15"/>
      <c r="AX1168" s="15"/>
      <c r="AY1168" s="15"/>
      <c r="AZ1168" s="15"/>
      <c r="BA1168" s="15"/>
      <c r="BB1168" s="15"/>
      <c r="BC1168" s="15"/>
      <c r="BD1168" s="15"/>
      <c r="BE1168" s="15"/>
      <c r="BF1168" s="15"/>
      <c r="BG1168" s="15"/>
      <c r="BH1168" s="15"/>
      <c r="BI1168" s="15"/>
      <c r="BJ1168" s="15"/>
      <c r="BK1168" s="15"/>
      <c r="BL1168" s="15"/>
      <c r="BM1168" s="15"/>
      <c r="BN1168" s="15"/>
      <c r="BO1168" s="15"/>
      <c r="BP1168" s="15"/>
      <c r="BQ1168" s="15"/>
      <c r="BR1168" s="15"/>
      <c r="BS1168" s="15"/>
      <c r="BT1168" s="15"/>
      <c r="BU1168" s="15"/>
      <c r="BV1168" s="15"/>
      <c r="BW1168" s="15"/>
      <c r="BX1168" s="15"/>
      <c r="BY1168" s="15"/>
      <c r="BZ1168" s="15"/>
      <c r="CA1168" s="15"/>
      <c r="CB1168" s="15"/>
    </row>
    <row r="1169" spans="1:80" ht="12.75" hidden="1" customHeight="1">
      <c r="A1169" s="20">
        <f ca="1">IFERROR(__xludf.DUMMYFUNCTION("""COMPUTED_VALUE"""),2015)</f>
        <v>2015</v>
      </c>
      <c r="B1169" s="45">
        <f ca="1">IFERROR(__xludf.DUMMYFUNCTION("""COMPUTED_VALUE"""),42618)</f>
        <v>42618</v>
      </c>
      <c r="C1169" s="46">
        <f ca="1">IFERROR(__xludf.DUMMYFUNCTION("""COMPUTED_VALUE"""),42639)</f>
        <v>42639</v>
      </c>
      <c r="D1169" s="47" t="str">
        <f ca="1">IFERROR(__xludf.DUMMYFUNCTION("""COMPUTED_VALUE"""),"Lapland Bunting")</f>
        <v>Lapland Bunting</v>
      </c>
      <c r="E1169" s="52">
        <f ca="1">IFERROR(__xludf.DUMMYFUNCTION("""COMPUTED_VALUE"""),2)</f>
        <v>2</v>
      </c>
      <c r="F1169" s="25"/>
      <c r="G1169" s="48" t="str">
        <f ca="1">IFERROR(__xludf.DUMMYFUNCTION("""COMPUTED_VALUE"""),"Hale")</f>
        <v>Hale</v>
      </c>
      <c r="H1169" s="22">
        <f ca="1">IFERROR(__xludf.DUMMYFUNCTION("""COMPUTED_VALUE"""),42304)</f>
        <v>42304</v>
      </c>
      <c r="I1169" s="22">
        <f ca="1">IFERROR(__xludf.DUMMYFUNCTION("""COMPUTED_VALUE"""),42304)</f>
        <v>42304</v>
      </c>
      <c r="J1169" s="24" t="str">
        <f ca="1">IFERROR(__xludf.DUMMYFUNCTION("""COMPUTED_VALUE"""),"RP&amp;CA Cockbain")</f>
        <v>RP&amp;CA Cockbain</v>
      </c>
      <c r="K1169" s="25"/>
      <c r="L1169" s="27" t="str">
        <f ca="1">IFERROR(__xludf.DUMMYFUNCTION("""COMPUTED_VALUE"""),"closed")</f>
        <v>closed</v>
      </c>
      <c r="M1169" s="27" t="str">
        <f ca="1">IFERROR(__xludf.DUMMYFUNCTION("""COMPUTED_VALUE"""),"1st U")</f>
        <v>1st U</v>
      </c>
      <c r="N1169" s="25" t="str">
        <f ca="1">IFERROR(__xludf.DUMMYFUNCTION("""COMPUTED_VALUE"""),"accepted")</f>
        <v>accepted</v>
      </c>
      <c r="O1169" s="28"/>
      <c r="P1169" s="25"/>
      <c r="Q1169" s="25"/>
      <c r="R1169" s="25"/>
      <c r="S1169" s="25"/>
      <c r="T1169" s="25"/>
      <c r="U1169" s="25"/>
      <c r="V1169" s="25"/>
      <c r="W1169" s="25"/>
      <c r="X1169" s="25"/>
      <c r="Y1169" s="25"/>
      <c r="Z1169" s="25"/>
      <c r="AA1169" s="25"/>
      <c r="AB1169" s="25"/>
      <c r="AC1169" s="25"/>
      <c r="AD1169" s="25"/>
      <c r="AE1169" s="25"/>
      <c r="AF1169" s="25"/>
      <c r="AG1169" s="25"/>
      <c r="AH1169" s="25"/>
      <c r="AI1169" s="25"/>
      <c r="AJ1169" s="25"/>
      <c r="AK1169" s="25"/>
      <c r="AL1169" s="25"/>
      <c r="AM1169" s="25"/>
      <c r="AN1169" s="25"/>
      <c r="AO1169" s="25"/>
      <c r="AP1169" s="25"/>
      <c r="AQ1169" s="25"/>
      <c r="AR1169" s="25"/>
      <c r="AS1169" s="25"/>
      <c r="AT1169" s="25"/>
      <c r="AU1169" s="25"/>
      <c r="AV1169" s="25"/>
      <c r="AW1169" s="25"/>
      <c r="AX1169" s="25"/>
      <c r="AY1169" s="25"/>
      <c r="AZ1169" s="25"/>
      <c r="BA1169" s="25"/>
      <c r="BB1169" s="25"/>
      <c r="BC1169" s="25"/>
      <c r="BD1169" s="25"/>
      <c r="BE1169" s="25"/>
      <c r="BF1169" s="25"/>
      <c r="BG1169" s="25"/>
      <c r="BH1169" s="25"/>
      <c r="BI1169" s="25"/>
      <c r="BJ1169" s="25"/>
      <c r="BK1169" s="25"/>
      <c r="BL1169" s="25"/>
      <c r="BM1169" s="25"/>
      <c r="BN1169" s="25"/>
      <c r="BO1169" s="25"/>
      <c r="BP1169" s="25"/>
      <c r="BQ1169" s="25"/>
      <c r="BR1169" s="25"/>
      <c r="BS1169" s="25"/>
      <c r="BT1169" s="25"/>
      <c r="BU1169" s="25"/>
      <c r="BV1169" s="25"/>
      <c r="BW1169" s="25"/>
      <c r="BX1169" s="25"/>
      <c r="BY1169" s="25"/>
      <c r="BZ1169" s="25"/>
      <c r="CA1169" s="25"/>
      <c r="CB1169" s="25"/>
    </row>
    <row r="1170" spans="1:80" ht="12.75" hidden="1" customHeight="1">
      <c r="A1170" s="10">
        <f ca="1">IFERROR(__xludf.DUMMYFUNCTION("""COMPUTED_VALUE"""),2015)</f>
        <v>2015</v>
      </c>
      <c r="B1170" s="50">
        <f ca="1">IFERROR(__xludf.DUMMYFUNCTION("""COMPUTED_VALUE"""),42618)</f>
        <v>42618</v>
      </c>
      <c r="C1170" s="41">
        <f ca="1">IFERROR(__xludf.DUMMYFUNCTION("""COMPUTED_VALUE"""),42639)</f>
        <v>42639</v>
      </c>
      <c r="D1170" s="42" t="str">
        <f ca="1">IFERROR(__xludf.DUMMYFUNCTION("""COMPUTED_VALUE"""),"Lapland Bunting")</f>
        <v>Lapland Bunting</v>
      </c>
      <c r="E1170" s="53">
        <f ca="1">IFERROR(__xludf.DUMMYFUNCTION("""COMPUTED_VALUE"""),1)</f>
        <v>1</v>
      </c>
      <c r="F1170" s="15"/>
      <c r="G1170" s="44" t="str">
        <f ca="1">IFERROR(__xludf.DUMMYFUNCTION("""COMPUTED_VALUE"""),"Hale")</f>
        <v>Hale</v>
      </c>
      <c r="H1170" s="12">
        <f ca="1">IFERROR(__xludf.DUMMYFUNCTION("""COMPUTED_VALUE"""),42308)</f>
        <v>42308</v>
      </c>
      <c r="I1170" s="12">
        <f ca="1">IFERROR(__xludf.DUMMYFUNCTION("""COMPUTED_VALUE"""),42304)</f>
        <v>42304</v>
      </c>
      <c r="J1170" s="14" t="str">
        <f ca="1">IFERROR(__xludf.DUMMYFUNCTION("""COMPUTED_VALUE"""),"RP&amp;CA Cockbain")</f>
        <v>RP&amp;CA Cockbain</v>
      </c>
      <c r="K1170" s="15"/>
      <c r="L1170" s="17" t="str">
        <f ca="1">IFERROR(__xludf.DUMMYFUNCTION("""COMPUTED_VALUE"""),"closed")</f>
        <v>closed</v>
      </c>
      <c r="M1170" s="17" t="str">
        <f ca="1">IFERROR(__xludf.DUMMYFUNCTION("""COMPUTED_VALUE"""),"1st U")</f>
        <v>1st U</v>
      </c>
      <c r="N1170" s="15" t="str">
        <f ca="1">IFERROR(__xludf.DUMMYFUNCTION("""COMPUTED_VALUE"""),"accepted")</f>
        <v>accepted</v>
      </c>
      <c r="O1170" s="18" t="str">
        <f ca="1">IFERROR(__xludf.DUMMYFUNCTION("""COMPUTED_VALUE"""),"Crossing Mersey")</f>
        <v>Crossing Mersey</v>
      </c>
      <c r="P1170" s="15"/>
      <c r="Q1170" s="15"/>
      <c r="R1170" s="15"/>
      <c r="S1170" s="15"/>
      <c r="T1170" s="15"/>
      <c r="U1170" s="15"/>
      <c r="V1170" s="15"/>
      <c r="W1170" s="15"/>
      <c r="X1170" s="15"/>
      <c r="Y1170" s="15"/>
      <c r="Z1170" s="15"/>
      <c r="AA1170" s="15"/>
      <c r="AB1170" s="15"/>
      <c r="AC1170" s="15"/>
      <c r="AD1170" s="15"/>
      <c r="AE1170" s="15"/>
      <c r="AF1170" s="15"/>
      <c r="AG1170" s="15"/>
      <c r="AH1170" s="15"/>
      <c r="AI1170" s="15"/>
      <c r="AJ1170" s="15"/>
      <c r="AK1170" s="15"/>
      <c r="AL1170" s="15"/>
      <c r="AM1170" s="15"/>
      <c r="AN1170" s="15"/>
      <c r="AO1170" s="15"/>
      <c r="AP1170" s="15"/>
      <c r="AQ1170" s="15"/>
      <c r="AR1170" s="15"/>
      <c r="AS1170" s="15"/>
      <c r="AT1170" s="15"/>
      <c r="AU1170" s="15"/>
      <c r="AV1170" s="15"/>
      <c r="AW1170" s="15"/>
      <c r="AX1170" s="15"/>
      <c r="AY1170" s="15"/>
      <c r="AZ1170" s="15"/>
      <c r="BA1170" s="15"/>
      <c r="BB1170" s="15"/>
      <c r="BC1170" s="15"/>
      <c r="BD1170" s="15"/>
      <c r="BE1170" s="15"/>
      <c r="BF1170" s="15"/>
      <c r="BG1170" s="15"/>
      <c r="BH1170" s="15"/>
      <c r="BI1170" s="15"/>
      <c r="BJ1170" s="15"/>
      <c r="BK1170" s="15"/>
      <c r="BL1170" s="15"/>
      <c r="BM1170" s="15"/>
      <c r="BN1170" s="15"/>
      <c r="BO1170" s="15"/>
      <c r="BP1170" s="15"/>
      <c r="BQ1170" s="15"/>
      <c r="BR1170" s="15"/>
      <c r="BS1170" s="15"/>
      <c r="BT1170" s="15"/>
      <c r="BU1170" s="15"/>
      <c r="BV1170" s="15"/>
      <c r="BW1170" s="15"/>
      <c r="BX1170" s="15"/>
      <c r="BY1170" s="15"/>
      <c r="BZ1170" s="15"/>
      <c r="CA1170" s="15"/>
      <c r="CB1170" s="15"/>
    </row>
    <row r="1171" spans="1:80" ht="12.75" hidden="1" customHeight="1">
      <c r="A1171" s="20">
        <f ca="1">IFERROR(__xludf.DUMMYFUNCTION("""COMPUTED_VALUE"""),2015)</f>
        <v>2015</v>
      </c>
      <c r="B1171" s="45">
        <f ca="1">IFERROR(__xludf.DUMMYFUNCTION("""COMPUTED_VALUE"""),42618)</f>
        <v>42618</v>
      </c>
      <c r="C1171" s="46">
        <f ca="1">IFERROR(__xludf.DUMMYFUNCTION("""COMPUTED_VALUE"""),42639)</f>
        <v>42639</v>
      </c>
      <c r="D1171" s="47" t="str">
        <f ca="1">IFERROR(__xludf.DUMMYFUNCTION("""COMPUTED_VALUE"""),"Lapland Bunting")</f>
        <v>Lapland Bunting</v>
      </c>
      <c r="E1171" s="52">
        <f ca="1">IFERROR(__xludf.DUMMYFUNCTION("""COMPUTED_VALUE"""),1)</f>
        <v>1</v>
      </c>
      <c r="F1171" s="25"/>
      <c r="G1171" s="48" t="str">
        <f ca="1">IFERROR(__xludf.DUMMYFUNCTION("""COMPUTED_VALUE"""),"Hilbre")</f>
        <v>Hilbre</v>
      </c>
      <c r="H1171" s="22">
        <f ca="1">IFERROR(__xludf.DUMMYFUNCTION("""COMPUTED_VALUE"""),42352)</f>
        <v>42352</v>
      </c>
      <c r="I1171" s="22">
        <f ca="1">IFERROR(__xludf.DUMMYFUNCTION("""COMPUTED_VALUE"""),42352)</f>
        <v>42352</v>
      </c>
      <c r="J1171" s="24" t="str">
        <f ca="1">IFERROR(__xludf.DUMMYFUNCTION("""COMPUTED_VALUE"""),"Davies, C")</f>
        <v>Davies, C</v>
      </c>
      <c r="K1171" s="25" t="str">
        <f ca="1">IFERROR(__xludf.DUMMYFUNCTION("""COMPUTED_VALUE"""),"Davies, C")</f>
        <v>Davies, C</v>
      </c>
      <c r="L1171" s="27" t="str">
        <f ca="1">IFERROR(__xludf.DUMMYFUNCTION("""COMPUTED_VALUE"""),"closed")</f>
        <v>closed</v>
      </c>
      <c r="M1171" s="27" t="str">
        <f ca="1">IFERROR(__xludf.DUMMYFUNCTION("""COMPUTED_VALUE"""),"1st U")</f>
        <v>1st U</v>
      </c>
      <c r="N1171" s="25" t="str">
        <f ca="1">IFERROR(__xludf.DUMMYFUNCTION("""COMPUTED_VALUE"""),"accepted")</f>
        <v>accepted</v>
      </c>
      <c r="O1171" s="28"/>
      <c r="P1171" s="25"/>
      <c r="Q1171" s="25"/>
      <c r="R1171" s="25"/>
      <c r="S1171" s="25"/>
      <c r="T1171" s="25"/>
      <c r="U1171" s="25"/>
      <c r="V1171" s="25"/>
      <c r="W1171" s="25"/>
      <c r="X1171" s="25"/>
      <c r="Y1171" s="25"/>
      <c r="Z1171" s="25"/>
      <c r="AA1171" s="25"/>
      <c r="AB1171" s="25"/>
      <c r="AC1171" s="25"/>
      <c r="AD1171" s="25"/>
      <c r="AE1171" s="25"/>
      <c r="AF1171" s="25"/>
      <c r="AG1171" s="25"/>
      <c r="AH1171" s="25"/>
      <c r="AI1171" s="25"/>
      <c r="AJ1171" s="25"/>
      <c r="AK1171" s="25"/>
      <c r="AL1171" s="25"/>
      <c r="AM1171" s="25"/>
      <c r="AN1171" s="25"/>
      <c r="AO1171" s="25"/>
      <c r="AP1171" s="25"/>
      <c r="AQ1171" s="25"/>
      <c r="AR1171" s="25"/>
      <c r="AS1171" s="25"/>
      <c r="AT1171" s="25"/>
      <c r="AU1171" s="25"/>
      <c r="AV1171" s="25"/>
      <c r="AW1171" s="25"/>
      <c r="AX1171" s="25"/>
      <c r="AY1171" s="25"/>
      <c r="AZ1171" s="25"/>
      <c r="BA1171" s="25"/>
      <c r="BB1171" s="25"/>
      <c r="BC1171" s="25"/>
      <c r="BD1171" s="25"/>
      <c r="BE1171" s="25"/>
      <c r="BF1171" s="25"/>
      <c r="BG1171" s="25"/>
      <c r="BH1171" s="25"/>
      <c r="BI1171" s="25"/>
      <c r="BJ1171" s="25"/>
      <c r="BK1171" s="25"/>
      <c r="BL1171" s="25"/>
      <c r="BM1171" s="25"/>
      <c r="BN1171" s="25"/>
      <c r="BO1171" s="25"/>
      <c r="BP1171" s="25"/>
      <c r="BQ1171" s="25"/>
      <c r="BR1171" s="25"/>
      <c r="BS1171" s="25"/>
      <c r="BT1171" s="25"/>
      <c r="BU1171" s="25"/>
      <c r="BV1171" s="25"/>
      <c r="BW1171" s="25"/>
      <c r="BX1171" s="25"/>
      <c r="BY1171" s="25"/>
      <c r="BZ1171" s="25"/>
      <c r="CA1171" s="25"/>
      <c r="CB1171" s="25"/>
    </row>
    <row r="1172" spans="1:80" ht="12.75" hidden="1" customHeight="1">
      <c r="A1172" s="10">
        <f ca="1">IFERROR(__xludf.DUMMYFUNCTION("""COMPUTED_VALUE"""),2016)</f>
        <v>2016</v>
      </c>
      <c r="B1172" s="50">
        <f ca="1">IFERROR(__xludf.DUMMYFUNCTION("""COMPUTED_VALUE"""),43163)</f>
        <v>43163</v>
      </c>
      <c r="C1172" s="41">
        <f ca="1">IFERROR(__xludf.DUMMYFUNCTION("""COMPUTED_VALUE"""),43130)</f>
        <v>43130</v>
      </c>
      <c r="D1172" s="42" t="str">
        <f ca="1">IFERROR(__xludf.DUMMYFUNCTION("""COMPUTED_VALUE"""),"Green-winged Teal")</f>
        <v>Green-winged Teal</v>
      </c>
      <c r="E1172" s="53">
        <f ca="1">IFERROR(__xludf.DUMMYFUNCTION("""COMPUTED_VALUE"""),1)</f>
        <v>1</v>
      </c>
      <c r="F1172" s="15" t="str">
        <f ca="1">IFERROR(__xludf.DUMMYFUNCTION("""COMPUTED_VALUE"""),"male")</f>
        <v>male</v>
      </c>
      <c r="G1172" s="44" t="str">
        <f ca="1">IFERROR(__xludf.DUMMYFUNCTION("""COMPUTED_VALUE"""),"Neumann's Flash")</f>
        <v>Neumann's Flash</v>
      </c>
      <c r="H1172" s="12">
        <f ca="1">IFERROR(__xludf.DUMMYFUNCTION("""COMPUTED_VALUE"""),42373)</f>
        <v>42373</v>
      </c>
      <c r="I1172" s="12">
        <f ca="1">IFERROR(__xludf.DUMMYFUNCTION("""COMPUTED_VALUE"""),42379)</f>
        <v>42379</v>
      </c>
      <c r="J1172" s="14" t="str">
        <f ca="1">IFERROR(__xludf.DUMMYFUNCTION("""COMPUTED_VALUE"""),"Baker, G")</f>
        <v>Baker, G</v>
      </c>
      <c r="K1172" s="15" t="str">
        <f ca="1">IFERROR(__xludf.DUMMYFUNCTION("""COMPUTED_VALUE"""),"Antrobus, P")</f>
        <v>Antrobus, P</v>
      </c>
      <c r="L1172" s="17" t="str">
        <f ca="1">IFERROR(__xludf.DUMMYFUNCTION("""COMPUTED_VALUE"""),"closed")</f>
        <v>closed</v>
      </c>
      <c r="M1172" s="17" t="str">
        <f ca="1">IFERROR(__xludf.DUMMYFUNCTION("""COMPUTED_VALUE"""),"1st U")</f>
        <v>1st U</v>
      </c>
      <c r="N1172" s="15" t="str">
        <f ca="1">IFERROR(__xludf.DUMMYFUNCTION("""COMPUTED_VALUE"""),"accepted")</f>
        <v>accepted</v>
      </c>
      <c r="O1172" s="18"/>
      <c r="P1172" s="15"/>
      <c r="Q1172" s="15"/>
      <c r="R1172" s="15"/>
      <c r="S1172" s="15"/>
      <c r="T1172" s="15"/>
      <c r="U1172" s="15"/>
      <c r="V1172" s="15"/>
      <c r="W1172" s="15"/>
      <c r="X1172" s="15"/>
      <c r="Y1172" s="15"/>
      <c r="Z1172" s="15"/>
      <c r="AA1172" s="15"/>
      <c r="AB1172" s="15"/>
      <c r="AC1172" s="15"/>
      <c r="AD1172" s="15"/>
      <c r="AE1172" s="15"/>
      <c r="AF1172" s="15"/>
      <c r="AG1172" s="15"/>
      <c r="AH1172" s="15"/>
      <c r="AI1172" s="15"/>
      <c r="AJ1172" s="15"/>
      <c r="AK1172" s="15"/>
      <c r="AL1172" s="15"/>
      <c r="AM1172" s="15"/>
      <c r="AN1172" s="15"/>
      <c r="AO1172" s="15"/>
      <c r="AP1172" s="15"/>
      <c r="AQ1172" s="15"/>
      <c r="AR1172" s="15"/>
      <c r="AS1172" s="15"/>
      <c r="AT1172" s="15"/>
      <c r="AU1172" s="15"/>
      <c r="AV1172" s="15"/>
      <c r="AW1172" s="15"/>
      <c r="AX1172" s="15"/>
      <c r="AY1172" s="15"/>
      <c r="AZ1172" s="15"/>
      <c r="BA1172" s="15"/>
      <c r="BB1172" s="15"/>
      <c r="BC1172" s="15"/>
      <c r="BD1172" s="15"/>
      <c r="BE1172" s="15"/>
      <c r="BF1172" s="15"/>
      <c r="BG1172" s="15"/>
      <c r="BH1172" s="15"/>
      <c r="BI1172" s="15"/>
      <c r="BJ1172" s="15"/>
      <c r="BK1172" s="15"/>
      <c r="BL1172" s="15"/>
      <c r="BM1172" s="15"/>
      <c r="BN1172" s="15"/>
      <c r="BO1172" s="15"/>
      <c r="BP1172" s="15"/>
      <c r="BQ1172" s="15"/>
      <c r="BR1172" s="15"/>
      <c r="BS1172" s="15"/>
      <c r="BT1172" s="15"/>
      <c r="BU1172" s="15"/>
      <c r="BV1172" s="15"/>
      <c r="BW1172" s="15"/>
      <c r="BX1172" s="15"/>
      <c r="BY1172" s="15"/>
      <c r="BZ1172" s="15"/>
      <c r="CA1172" s="15"/>
      <c r="CB1172" s="15"/>
    </row>
    <row r="1173" spans="1:80" ht="12.75" hidden="1" customHeight="1">
      <c r="A1173" s="20">
        <f ca="1">IFERROR(__xludf.DUMMYFUNCTION("""COMPUTED_VALUE"""),2016)</f>
        <v>2016</v>
      </c>
      <c r="B1173" s="45">
        <f ca="1">IFERROR(__xludf.DUMMYFUNCTION("""COMPUTED_VALUE"""),43313)</f>
        <v>43313</v>
      </c>
      <c r="C1173" s="46">
        <f ca="1">IFERROR(__xludf.DUMMYFUNCTION("""COMPUTED_VALUE"""),43207)</f>
        <v>43207</v>
      </c>
      <c r="D1173" s="47" t="str">
        <f ca="1">IFERROR(__xludf.DUMMYFUNCTION("""COMPUTED_VALUE"""),"Green-winged Teal")</f>
        <v>Green-winged Teal</v>
      </c>
      <c r="E1173" s="52">
        <f ca="1">IFERROR(__xludf.DUMMYFUNCTION("""COMPUTED_VALUE"""),1)</f>
        <v>1</v>
      </c>
      <c r="F1173" s="25" t="str">
        <f ca="1">IFERROR(__xludf.DUMMYFUNCTION("""COMPUTED_VALUE"""),"Ad")</f>
        <v>Ad</v>
      </c>
      <c r="G1173" s="71" t="str">
        <f ca="1">IFERROR(__xludf.DUMMYFUNCTION("""COMPUTED_VALUE"""),"Carr Lane Pools, Hale")</f>
        <v>Carr Lane Pools, Hale</v>
      </c>
      <c r="H1173" s="22">
        <f ca="1">IFERROR(__xludf.DUMMYFUNCTION("""COMPUTED_VALUE"""),42528)</f>
        <v>42528</v>
      </c>
      <c r="I1173" s="22">
        <f ca="1">IFERROR(__xludf.DUMMYFUNCTION("""COMPUTED_VALUE"""),42563)</f>
        <v>42563</v>
      </c>
      <c r="J1173" s="24" t="str">
        <f ca="1">IFERROR(__xludf.DUMMYFUNCTION("""COMPUTED_VALUE"""),"Craven, D")</f>
        <v>Craven, D</v>
      </c>
      <c r="K1173" s="25"/>
      <c r="L1173" s="27" t="str">
        <f ca="1">IFERROR(__xludf.DUMMYFUNCTION("""COMPUTED_VALUE"""),"closed")</f>
        <v>closed</v>
      </c>
      <c r="M1173" s="27" t="str">
        <f ca="1">IFERROR(__xludf.DUMMYFUNCTION("""COMPUTED_VALUE"""),"1st U")</f>
        <v>1st U</v>
      </c>
      <c r="N1173" s="25" t="str">
        <f ca="1">IFERROR(__xludf.DUMMYFUNCTION("""COMPUTED_VALUE"""),"accepted")</f>
        <v>accepted</v>
      </c>
      <c r="O1173" s="28"/>
      <c r="P1173" s="25"/>
      <c r="Q1173" s="25"/>
      <c r="R1173" s="25"/>
      <c r="S1173" s="25"/>
      <c r="T1173" s="25"/>
      <c r="U1173" s="25"/>
      <c r="V1173" s="25"/>
      <c r="W1173" s="25"/>
      <c r="X1173" s="25"/>
      <c r="Y1173" s="25"/>
      <c r="Z1173" s="25"/>
      <c r="AA1173" s="25"/>
      <c r="AB1173" s="25"/>
      <c r="AC1173" s="25"/>
      <c r="AD1173" s="25"/>
      <c r="AE1173" s="25"/>
      <c r="AF1173" s="25"/>
      <c r="AG1173" s="25"/>
      <c r="AH1173" s="25"/>
      <c r="AI1173" s="25"/>
      <c r="AJ1173" s="25"/>
      <c r="AK1173" s="25"/>
      <c r="AL1173" s="25"/>
      <c r="AM1173" s="25"/>
      <c r="AN1173" s="25"/>
      <c r="AO1173" s="25"/>
      <c r="AP1173" s="25"/>
      <c r="AQ1173" s="25"/>
      <c r="AR1173" s="25"/>
      <c r="AS1173" s="25"/>
      <c r="AT1173" s="25"/>
      <c r="AU1173" s="25"/>
      <c r="AV1173" s="25"/>
      <c r="AW1173" s="25"/>
      <c r="AX1173" s="25"/>
      <c r="AY1173" s="25"/>
      <c r="AZ1173" s="25"/>
      <c r="BA1173" s="25"/>
      <c r="BB1173" s="25"/>
      <c r="BC1173" s="25"/>
      <c r="BD1173" s="25"/>
      <c r="BE1173" s="25"/>
      <c r="BF1173" s="25"/>
      <c r="BG1173" s="25"/>
      <c r="BH1173" s="25"/>
      <c r="BI1173" s="25"/>
      <c r="BJ1173" s="25"/>
      <c r="BK1173" s="25"/>
      <c r="BL1173" s="25"/>
      <c r="BM1173" s="25"/>
      <c r="BN1173" s="25"/>
      <c r="BO1173" s="25"/>
      <c r="BP1173" s="25"/>
      <c r="BQ1173" s="25"/>
      <c r="BR1173" s="25"/>
      <c r="BS1173" s="25"/>
      <c r="BT1173" s="25"/>
      <c r="BU1173" s="25"/>
      <c r="BV1173" s="25"/>
      <c r="BW1173" s="25"/>
      <c r="BX1173" s="25"/>
      <c r="BY1173" s="25"/>
      <c r="BZ1173" s="25"/>
      <c r="CA1173" s="25"/>
      <c r="CB1173" s="25"/>
    </row>
    <row r="1174" spans="1:80" ht="12.75" hidden="1" customHeight="1">
      <c r="A1174" s="10">
        <f ca="1">IFERROR(__xludf.DUMMYFUNCTION("""COMPUTED_VALUE"""),2016)</f>
        <v>2016</v>
      </c>
      <c r="B1174" s="50">
        <f ca="1">IFERROR(__xludf.DUMMYFUNCTION("""COMPUTED_VALUE"""),43313)</f>
        <v>43313</v>
      </c>
      <c r="C1174" s="41">
        <f ca="1">IFERROR(__xludf.DUMMYFUNCTION("""COMPUTED_VALUE"""),43011)</f>
        <v>43011</v>
      </c>
      <c r="D1174" s="42" t="str">
        <f ca="1">IFERROR(__xludf.DUMMYFUNCTION("""COMPUTED_VALUE"""),"Surf Scoter")</f>
        <v>Surf Scoter</v>
      </c>
      <c r="E1174" s="53">
        <f ca="1">IFERROR(__xludf.DUMMYFUNCTION("""COMPUTED_VALUE"""),1)</f>
        <v>1</v>
      </c>
      <c r="F1174" s="15" t="str">
        <f ca="1">IFERROR(__xludf.DUMMYFUNCTION("""COMPUTED_VALUE"""),"male")</f>
        <v>male</v>
      </c>
      <c r="G1174" s="62" t="str">
        <f ca="1">IFERROR(__xludf.DUMMYFUNCTION("""COMPUTED_VALUE"""),"Derby Pool Wallasey")</f>
        <v>Derby Pool Wallasey</v>
      </c>
      <c r="H1174" s="12">
        <f ca="1">IFERROR(__xludf.DUMMYFUNCTION("""COMPUTED_VALUE"""),42410)</f>
        <v>42410</v>
      </c>
      <c r="I1174" s="78"/>
      <c r="J1174" s="75" t="str">
        <f ca="1">IFERROR(__xludf.DUMMYFUNCTION("""COMPUTED_VALUE"""),"Giles, T")</f>
        <v>Giles, T</v>
      </c>
      <c r="K1174" s="15" t="str">
        <f ca="1">IFERROR(__xludf.DUMMYFUNCTION("""COMPUTED_VALUE"""),"Giles, T")</f>
        <v>Giles, T</v>
      </c>
      <c r="L1174" s="17" t="str">
        <f ca="1">IFERROR(__xludf.DUMMYFUNCTION("""COMPUTED_VALUE"""),"closed")</f>
        <v>closed</v>
      </c>
      <c r="M1174" s="17" t="str">
        <f ca="1">IFERROR(__xludf.DUMMYFUNCTION("""COMPUTED_VALUE"""),"1st M")</f>
        <v>1st M</v>
      </c>
      <c r="N1174" s="58" t="str">
        <f ca="1">IFERROR(__xludf.DUMMYFUNCTION("""COMPUTED_VALUE"""),"accepted")</f>
        <v>accepted</v>
      </c>
      <c r="O1174" s="76"/>
      <c r="P1174" s="15"/>
      <c r="Q1174" s="15"/>
      <c r="R1174" s="58"/>
      <c r="S1174" s="15"/>
      <c r="T1174" s="15"/>
      <c r="U1174" s="15"/>
      <c r="V1174" s="15"/>
      <c r="W1174" s="15"/>
      <c r="X1174" s="15"/>
      <c r="Y1174" s="15"/>
      <c r="Z1174" s="15"/>
      <c r="AA1174" s="15"/>
      <c r="AB1174" s="15"/>
      <c r="AC1174" s="15"/>
      <c r="AD1174" s="15"/>
      <c r="AE1174" s="15"/>
      <c r="AF1174" s="15"/>
      <c r="AG1174" s="15"/>
      <c r="AH1174" s="15"/>
      <c r="AI1174" s="15"/>
      <c r="AJ1174" s="15"/>
      <c r="AK1174" s="15"/>
      <c r="AL1174" s="15"/>
      <c r="AM1174" s="15"/>
      <c r="AN1174" s="15"/>
      <c r="AO1174" s="15"/>
      <c r="AP1174" s="15"/>
      <c r="AQ1174" s="15"/>
      <c r="AR1174" s="15"/>
      <c r="AS1174" s="15"/>
      <c r="AT1174" s="15"/>
      <c r="AU1174" s="15"/>
      <c r="AV1174" s="15"/>
      <c r="AW1174" s="15"/>
      <c r="AX1174" s="15"/>
      <c r="AY1174" s="15"/>
      <c r="AZ1174" s="15"/>
      <c r="BA1174" s="15"/>
      <c r="BB1174" s="15"/>
      <c r="BC1174" s="15"/>
      <c r="BD1174" s="15"/>
      <c r="BE1174" s="15"/>
      <c r="BF1174" s="15"/>
      <c r="BG1174" s="15"/>
      <c r="BH1174" s="15"/>
      <c r="BI1174" s="15"/>
      <c r="BJ1174" s="15"/>
      <c r="BK1174" s="15"/>
      <c r="BL1174" s="15"/>
      <c r="BM1174" s="15"/>
      <c r="BN1174" s="15"/>
      <c r="BO1174" s="15"/>
      <c r="BP1174" s="15"/>
      <c r="BQ1174" s="15"/>
      <c r="BR1174" s="15"/>
      <c r="BS1174" s="15"/>
      <c r="BT1174" s="15"/>
      <c r="BU1174" s="15"/>
      <c r="BV1174" s="15"/>
      <c r="BW1174" s="15"/>
      <c r="BX1174" s="15"/>
      <c r="BY1174" s="15"/>
      <c r="BZ1174" s="15"/>
      <c r="CA1174" s="15"/>
      <c r="CB1174" s="15"/>
    </row>
    <row r="1175" spans="1:80" ht="12.75" hidden="1" customHeight="1">
      <c r="A1175" s="20">
        <f ca="1">IFERROR(__xludf.DUMMYFUNCTION("""COMPUTED_VALUE"""),2016)</f>
        <v>2016</v>
      </c>
      <c r="B1175" s="45">
        <f ca="1">IFERROR(__xludf.DUMMYFUNCTION("""COMPUTED_VALUE"""),43313)</f>
        <v>43313</v>
      </c>
      <c r="C1175" s="46"/>
      <c r="D1175" s="47" t="str">
        <f ca="1">IFERROR(__xludf.DUMMYFUNCTION("""COMPUTED_VALUE"""),"Surf Scoter")</f>
        <v>Surf Scoter</v>
      </c>
      <c r="E1175" s="52">
        <f ca="1">IFERROR(__xludf.DUMMYFUNCTION("""COMPUTED_VALUE"""),2)</f>
        <v>2</v>
      </c>
      <c r="F1175" s="25" t="str">
        <f ca="1">IFERROR(__xludf.DUMMYFUNCTION("""COMPUTED_VALUE"""),"mm")</f>
        <v>mm</v>
      </c>
      <c r="G1175" s="71" t="str">
        <f ca="1">IFERROR(__xludf.DUMMYFUNCTION("""COMPUTED_VALUE"""),"Derby Pool Wallasey")</f>
        <v>Derby Pool Wallasey</v>
      </c>
      <c r="H1175" s="22">
        <f ca="1">IFERROR(__xludf.DUMMYFUNCTION("""COMPUTED_VALUE"""),42422)</f>
        <v>42422</v>
      </c>
      <c r="I1175" s="22"/>
      <c r="J1175" s="73" t="str">
        <f ca="1">IFERROR(__xludf.DUMMYFUNCTION("""COMPUTED_VALUE"""),"Turner, M  ")</f>
        <v xml:space="preserve">Turner, M  </v>
      </c>
      <c r="K1175" s="25"/>
      <c r="L1175" s="27" t="str">
        <f ca="1">IFERROR(__xludf.DUMMYFUNCTION("""COMPUTED_VALUE"""),"closed")</f>
        <v>closed</v>
      </c>
      <c r="M1175" s="27" t="str">
        <f ca="1">IFERROR(__xludf.DUMMYFUNCTION("""COMPUTED_VALUE"""),"1st M")</f>
        <v>1st M</v>
      </c>
      <c r="N1175" s="40" t="str">
        <f ca="1">IFERROR(__xludf.DUMMYFUNCTION("""COMPUTED_VALUE"""),"accepted")</f>
        <v>accepted</v>
      </c>
      <c r="O1175" s="74"/>
      <c r="P1175" s="25"/>
      <c r="Q1175" s="25"/>
      <c r="R1175" s="40"/>
      <c r="S1175" s="25"/>
      <c r="T1175" s="25"/>
      <c r="U1175" s="25"/>
      <c r="V1175" s="25"/>
      <c r="W1175" s="25"/>
      <c r="X1175" s="25"/>
      <c r="Y1175" s="25"/>
      <c r="Z1175" s="25"/>
      <c r="AA1175" s="25"/>
      <c r="AB1175" s="25"/>
      <c r="AC1175" s="25"/>
      <c r="AD1175" s="25"/>
      <c r="AE1175" s="25"/>
      <c r="AF1175" s="25"/>
      <c r="AG1175" s="25"/>
      <c r="AH1175" s="25"/>
      <c r="AI1175" s="25"/>
      <c r="AJ1175" s="25"/>
      <c r="AK1175" s="25"/>
      <c r="AL1175" s="25"/>
      <c r="AM1175" s="25"/>
      <c r="AN1175" s="25"/>
      <c r="AO1175" s="25"/>
      <c r="AP1175" s="25"/>
      <c r="AQ1175" s="25"/>
      <c r="AR1175" s="25"/>
      <c r="AS1175" s="25"/>
      <c r="AT1175" s="25"/>
      <c r="AU1175" s="25"/>
      <c r="AV1175" s="25"/>
      <c r="AW1175" s="25"/>
      <c r="AX1175" s="25"/>
      <c r="AY1175" s="25"/>
      <c r="AZ1175" s="25"/>
      <c r="BA1175" s="25"/>
      <c r="BB1175" s="25"/>
      <c r="BC1175" s="25"/>
      <c r="BD1175" s="25"/>
      <c r="BE1175" s="25"/>
      <c r="BF1175" s="25"/>
      <c r="BG1175" s="25"/>
      <c r="BH1175" s="25"/>
      <c r="BI1175" s="25"/>
      <c r="BJ1175" s="25"/>
      <c r="BK1175" s="25"/>
      <c r="BL1175" s="25"/>
      <c r="BM1175" s="25"/>
      <c r="BN1175" s="25"/>
      <c r="BO1175" s="25"/>
      <c r="BP1175" s="25"/>
      <c r="BQ1175" s="25"/>
      <c r="BR1175" s="25"/>
      <c r="BS1175" s="25"/>
      <c r="BT1175" s="25"/>
      <c r="BU1175" s="25"/>
      <c r="BV1175" s="25"/>
      <c r="BW1175" s="25"/>
      <c r="BX1175" s="25"/>
      <c r="BY1175" s="25"/>
      <c r="BZ1175" s="25"/>
      <c r="CA1175" s="25"/>
      <c r="CB1175" s="25"/>
    </row>
    <row r="1176" spans="1:80" ht="12.75" hidden="1" customHeight="1">
      <c r="A1176" s="10">
        <f ca="1">IFERROR(__xludf.DUMMYFUNCTION("""COMPUTED_VALUE"""),2016)</f>
        <v>2016</v>
      </c>
      <c r="B1176" s="50">
        <f ca="1">IFERROR(__xludf.DUMMYFUNCTION("""COMPUTED_VALUE"""),43187)</f>
        <v>43187</v>
      </c>
      <c r="C1176" s="41">
        <f ca="1">IFERROR(__xludf.DUMMYFUNCTION("""COMPUTED_VALUE"""),43180)</f>
        <v>43180</v>
      </c>
      <c r="D1176" s="42" t="str">
        <f ca="1">IFERROR(__xludf.DUMMYFUNCTION("""COMPUTED_VALUE"""),"Surf Scoter")</f>
        <v>Surf Scoter</v>
      </c>
      <c r="E1176" s="53">
        <f ca="1">IFERROR(__xludf.DUMMYFUNCTION("""COMPUTED_VALUE"""),1)</f>
        <v>1</v>
      </c>
      <c r="F1176" s="15" t="str">
        <f ca="1">IFERROR(__xludf.DUMMYFUNCTION("""COMPUTED_VALUE"""),"male")</f>
        <v>male</v>
      </c>
      <c r="G1176" s="44" t="str">
        <f ca="1">IFERROR(__xludf.DUMMYFUNCTION("""COMPUTED_VALUE"""),"Hoylake")</f>
        <v>Hoylake</v>
      </c>
      <c r="H1176" s="12">
        <f ca="1">IFERROR(__xludf.DUMMYFUNCTION("""COMPUTED_VALUE"""),42440)</f>
        <v>42440</v>
      </c>
      <c r="I1176" s="12">
        <f ca="1">IFERROR(__xludf.DUMMYFUNCTION("""COMPUTED_VALUE"""),42440)</f>
        <v>42440</v>
      </c>
      <c r="J1176" s="14" t="str">
        <f ca="1">IFERROR(__xludf.DUMMYFUNCTION("""COMPUTED_VALUE"""),"Turner, JE")</f>
        <v>Turner, JE</v>
      </c>
      <c r="K1176" s="15"/>
      <c r="L1176" s="17" t="str">
        <f ca="1">IFERROR(__xludf.DUMMYFUNCTION("""COMPUTED_VALUE"""),"closed")</f>
        <v>closed</v>
      </c>
      <c r="M1176" s="17" t="str">
        <f ca="1">IFERROR(__xludf.DUMMYFUNCTION("""COMPUTED_VALUE"""),"1st U")</f>
        <v>1st U</v>
      </c>
      <c r="N1176" s="15" t="str">
        <f ca="1">IFERROR(__xludf.DUMMYFUNCTION("""COMPUTED_VALUE"""),"accepted")</f>
        <v>accepted</v>
      </c>
      <c r="O1176" s="18"/>
      <c r="P1176" s="15"/>
      <c r="Q1176" s="15"/>
      <c r="R1176" s="15"/>
      <c r="S1176" s="15"/>
      <c r="T1176" s="15"/>
      <c r="U1176" s="15"/>
      <c r="V1176" s="15"/>
      <c r="W1176" s="15"/>
      <c r="X1176" s="15"/>
      <c r="Y1176" s="15"/>
      <c r="Z1176" s="15"/>
      <c r="AA1176" s="15"/>
      <c r="AB1176" s="15"/>
      <c r="AC1176" s="15"/>
      <c r="AD1176" s="15"/>
      <c r="AE1176" s="15"/>
      <c r="AF1176" s="15"/>
      <c r="AG1176" s="15"/>
      <c r="AH1176" s="15"/>
      <c r="AI1176" s="15"/>
      <c r="AJ1176" s="15"/>
      <c r="AK1176" s="15"/>
      <c r="AL1176" s="15"/>
      <c r="AM1176" s="15"/>
      <c r="AN1176" s="15"/>
      <c r="AO1176" s="15"/>
      <c r="AP1176" s="15"/>
      <c r="AQ1176" s="15"/>
      <c r="AR1176" s="15"/>
      <c r="AS1176" s="15"/>
      <c r="AT1176" s="15"/>
      <c r="AU1176" s="15"/>
      <c r="AV1176" s="15"/>
      <c r="AW1176" s="15"/>
      <c r="AX1176" s="15"/>
      <c r="AY1176" s="15"/>
      <c r="AZ1176" s="15"/>
      <c r="BA1176" s="15"/>
      <c r="BB1176" s="15"/>
      <c r="BC1176" s="15"/>
      <c r="BD1176" s="15"/>
      <c r="BE1176" s="15"/>
      <c r="BF1176" s="15"/>
      <c r="BG1176" s="15"/>
      <c r="BH1176" s="15"/>
      <c r="BI1176" s="15"/>
      <c r="BJ1176" s="15"/>
      <c r="BK1176" s="15"/>
      <c r="BL1176" s="15"/>
      <c r="BM1176" s="15"/>
      <c r="BN1176" s="15"/>
      <c r="BO1176" s="15"/>
      <c r="BP1176" s="15"/>
      <c r="BQ1176" s="15"/>
      <c r="BR1176" s="15"/>
      <c r="BS1176" s="15"/>
      <c r="BT1176" s="15"/>
      <c r="BU1176" s="15"/>
      <c r="BV1176" s="15"/>
      <c r="BW1176" s="15"/>
      <c r="BX1176" s="15"/>
      <c r="BY1176" s="15"/>
      <c r="BZ1176" s="15"/>
      <c r="CA1176" s="15"/>
      <c r="CB1176" s="15"/>
    </row>
    <row r="1177" spans="1:80" ht="12.75" hidden="1" customHeight="1">
      <c r="A1177" s="20">
        <f ca="1">IFERROR(__xludf.DUMMYFUNCTION("""COMPUTED_VALUE"""),2016)</f>
        <v>2016</v>
      </c>
      <c r="B1177" s="45"/>
      <c r="C1177" s="46"/>
      <c r="D1177" s="47" t="str">
        <f ca="1">IFERROR(__xludf.DUMMYFUNCTION("""COMPUTED_VALUE"""),"Surf Scoter")</f>
        <v>Surf Scoter</v>
      </c>
      <c r="E1177" s="52"/>
      <c r="F1177" s="25" t="str">
        <f ca="1">IFERROR(__xludf.DUMMYFUNCTION("""COMPUTED_VALUE"""),"1stw male")</f>
        <v>1stw male</v>
      </c>
      <c r="G1177" s="48" t="str">
        <f ca="1">IFERROR(__xludf.DUMMYFUNCTION("""COMPUTED_VALUE"""),"Hoylake")</f>
        <v>Hoylake</v>
      </c>
      <c r="H1177" s="22">
        <f ca="1">IFERROR(__xludf.DUMMYFUNCTION("""COMPUTED_VALUE"""),42454)</f>
        <v>42454</v>
      </c>
      <c r="I1177" s="22"/>
      <c r="J1177" s="24" t="str">
        <f ca="1">IFERROR(__xludf.DUMMYFUNCTION("""COMPUTED_VALUE"""),"Conlin, A")</f>
        <v>Conlin, A</v>
      </c>
      <c r="K1177" s="25" t="str">
        <f ca="1">IFERROR(__xludf.DUMMYFUNCTION("""COMPUTED_VALUE"""),"Kenny Dummigan")</f>
        <v>Kenny Dummigan</v>
      </c>
      <c r="L1177" s="27" t="str">
        <f ca="1">IFERROR(__xludf.DUMMYFUNCTION("""COMPUTED_VALUE"""),"closed")</f>
        <v>closed</v>
      </c>
      <c r="M1177" s="27" t="str">
        <f ca="1">IFERROR(__xludf.DUMMYFUNCTION("""COMPUTED_VALUE"""),"1st U")</f>
        <v>1st U</v>
      </c>
      <c r="N1177" s="25" t="str">
        <f ca="1">IFERROR(__xludf.DUMMYFUNCTION("""COMPUTED_VALUE"""),"accepted")</f>
        <v>accepted</v>
      </c>
      <c r="O1177" s="28"/>
      <c r="P1177" s="25"/>
      <c r="Q1177" s="25"/>
      <c r="R1177" s="25"/>
      <c r="S1177" s="25"/>
      <c r="T1177" s="25"/>
      <c r="U1177" s="25"/>
      <c r="V1177" s="25"/>
      <c r="W1177" s="25"/>
      <c r="X1177" s="25"/>
      <c r="Y1177" s="25"/>
      <c r="Z1177" s="25"/>
      <c r="AA1177" s="25"/>
      <c r="AB1177" s="25"/>
      <c r="AC1177" s="25"/>
      <c r="AD1177" s="25"/>
      <c r="AE1177" s="25"/>
      <c r="AF1177" s="25"/>
      <c r="AG1177" s="25"/>
      <c r="AH1177" s="25"/>
      <c r="AI1177" s="25"/>
      <c r="AJ1177" s="25"/>
      <c r="AK1177" s="25"/>
      <c r="AL1177" s="25"/>
      <c r="AM1177" s="25"/>
      <c r="AN1177" s="25"/>
      <c r="AO1177" s="25"/>
      <c r="AP1177" s="25"/>
      <c r="AQ1177" s="25"/>
      <c r="AR1177" s="25"/>
      <c r="AS1177" s="25"/>
      <c r="AT1177" s="25"/>
      <c r="AU1177" s="25"/>
      <c r="AV1177" s="25"/>
      <c r="AW1177" s="25"/>
      <c r="AX1177" s="25"/>
      <c r="AY1177" s="25"/>
      <c r="AZ1177" s="25"/>
      <c r="BA1177" s="25"/>
      <c r="BB1177" s="25"/>
      <c r="BC1177" s="25"/>
      <c r="BD1177" s="25"/>
      <c r="BE1177" s="25"/>
      <c r="BF1177" s="25"/>
      <c r="BG1177" s="25"/>
      <c r="BH1177" s="25"/>
      <c r="BI1177" s="25"/>
      <c r="BJ1177" s="25"/>
      <c r="BK1177" s="25"/>
      <c r="BL1177" s="25"/>
      <c r="BM1177" s="25"/>
      <c r="BN1177" s="25"/>
      <c r="BO1177" s="25"/>
      <c r="BP1177" s="25"/>
      <c r="BQ1177" s="25"/>
      <c r="BR1177" s="25"/>
      <c r="BS1177" s="25"/>
      <c r="BT1177" s="25"/>
      <c r="BU1177" s="25"/>
      <c r="BV1177" s="25"/>
      <c r="BW1177" s="25"/>
      <c r="BX1177" s="25"/>
      <c r="BY1177" s="25"/>
      <c r="BZ1177" s="25"/>
      <c r="CA1177" s="25"/>
      <c r="CB1177" s="25"/>
    </row>
    <row r="1178" spans="1:80" ht="12.75" hidden="1" customHeight="1">
      <c r="A1178" s="10">
        <f ca="1">IFERROR(__xludf.DUMMYFUNCTION("""COMPUTED_VALUE"""),2016)</f>
        <v>2016</v>
      </c>
      <c r="B1178" s="50">
        <f ca="1">IFERROR(__xludf.DUMMYFUNCTION("""COMPUTED_VALUE"""),43322)</f>
        <v>43322</v>
      </c>
      <c r="C1178" s="41">
        <f ca="1">IFERROR(__xludf.DUMMYFUNCTION("""COMPUTED_VALUE"""),43188)</f>
        <v>43188</v>
      </c>
      <c r="D1178" s="42" t="str">
        <f ca="1">IFERROR(__xludf.DUMMYFUNCTION("""COMPUTED_VALUE"""),"Common Redpoll")</f>
        <v>Common Redpoll</v>
      </c>
      <c r="E1178" s="53">
        <f ca="1">IFERROR(__xludf.DUMMYFUNCTION("""COMPUTED_VALUE"""),2)</f>
        <v>2</v>
      </c>
      <c r="F1178" s="15"/>
      <c r="G1178" s="62" t="str">
        <f ca="1">IFERROR(__xludf.DUMMYFUNCTION("""COMPUTED_VALUE"""),"Hale Village")</f>
        <v>Hale Village</v>
      </c>
      <c r="H1178" s="12">
        <f ca="1">IFERROR(__xludf.DUMMYFUNCTION("""COMPUTED_VALUE"""),42390)</f>
        <v>42390</v>
      </c>
      <c r="I1178" s="13"/>
      <c r="J1178" s="75"/>
      <c r="K1178" s="15"/>
      <c r="L1178" s="17" t="str">
        <f ca="1">IFERROR(__xludf.DUMMYFUNCTION("""COMPUTED_VALUE"""),"closed")</f>
        <v>closed</v>
      </c>
      <c r="M1178" s="17" t="str">
        <f ca="1">IFERROR(__xludf.DUMMYFUNCTION("""COMPUTED_VALUE"""),"1st M")</f>
        <v>1st M</v>
      </c>
      <c r="N1178" s="58" t="str">
        <f ca="1">IFERROR(__xludf.DUMMYFUNCTION("""COMPUTED_VALUE"""),"unproven")</f>
        <v>unproven</v>
      </c>
      <c r="O1178" s="76"/>
      <c r="P1178" s="15"/>
      <c r="Q1178" s="15"/>
      <c r="R1178" s="58"/>
      <c r="S1178" s="15"/>
      <c r="T1178" s="15"/>
      <c r="U1178" s="15"/>
      <c r="V1178" s="15"/>
      <c r="W1178" s="15"/>
      <c r="X1178" s="15"/>
      <c r="Y1178" s="15"/>
      <c r="Z1178" s="15"/>
      <c r="AA1178" s="15"/>
      <c r="AB1178" s="15"/>
      <c r="AC1178" s="15"/>
      <c r="AD1178" s="15"/>
      <c r="AE1178" s="15"/>
      <c r="AF1178" s="15"/>
      <c r="AG1178" s="15"/>
      <c r="AH1178" s="15"/>
      <c r="AI1178" s="15"/>
      <c r="AJ1178" s="15"/>
      <c r="AK1178" s="15"/>
      <c r="AL1178" s="15"/>
      <c r="AM1178" s="15"/>
      <c r="AN1178" s="15"/>
      <c r="AO1178" s="15"/>
      <c r="AP1178" s="15"/>
      <c r="AQ1178" s="15"/>
      <c r="AR1178" s="15"/>
      <c r="AS1178" s="15"/>
      <c r="AT1178" s="15"/>
      <c r="AU1178" s="15"/>
      <c r="AV1178" s="15"/>
      <c r="AW1178" s="15"/>
      <c r="AX1178" s="15"/>
      <c r="AY1178" s="15"/>
      <c r="AZ1178" s="15"/>
      <c r="BA1178" s="15"/>
      <c r="BB1178" s="15"/>
      <c r="BC1178" s="15"/>
      <c r="BD1178" s="15"/>
      <c r="BE1178" s="15"/>
      <c r="BF1178" s="15"/>
      <c r="BG1178" s="15"/>
      <c r="BH1178" s="15"/>
      <c r="BI1178" s="15"/>
      <c r="BJ1178" s="15"/>
      <c r="BK1178" s="15"/>
      <c r="BL1178" s="15"/>
      <c r="BM1178" s="15"/>
      <c r="BN1178" s="15"/>
      <c r="BO1178" s="15"/>
      <c r="BP1178" s="15"/>
      <c r="BQ1178" s="15"/>
      <c r="BR1178" s="15"/>
      <c r="BS1178" s="15"/>
      <c r="BT1178" s="15"/>
      <c r="BU1178" s="15"/>
      <c r="BV1178" s="15"/>
      <c r="BW1178" s="15"/>
      <c r="BX1178" s="15"/>
      <c r="BY1178" s="15"/>
      <c r="BZ1178" s="15"/>
      <c r="CA1178" s="15"/>
      <c r="CB1178" s="15"/>
    </row>
    <row r="1179" spans="1:80" ht="12.75" hidden="1" customHeight="1">
      <c r="A1179" s="20">
        <f ca="1">IFERROR(__xludf.DUMMYFUNCTION("""COMPUTED_VALUE"""),2016)</f>
        <v>2016</v>
      </c>
      <c r="B1179" s="45">
        <f ca="1">IFERROR(__xludf.DUMMYFUNCTION("""COMPUTED_VALUE"""),43322)</f>
        <v>43322</v>
      </c>
      <c r="C1179" s="46">
        <f ca="1">IFERROR(__xludf.DUMMYFUNCTION("""COMPUTED_VALUE"""),43188)</f>
        <v>43188</v>
      </c>
      <c r="D1179" s="47" t="str">
        <f ca="1">IFERROR(__xludf.DUMMYFUNCTION("""COMPUTED_VALUE"""),"Common Redpoll [Greenland/Iceland race]")</f>
        <v>Common Redpoll [Greenland/Iceland race]</v>
      </c>
      <c r="E1179" s="52">
        <f ca="1">IFERROR(__xludf.DUMMYFUNCTION("""COMPUTED_VALUE"""),1)</f>
        <v>1</v>
      </c>
      <c r="F1179" s="25"/>
      <c r="G1179" s="48" t="str">
        <f ca="1">IFERROR(__xludf.DUMMYFUNCTION("""COMPUTED_VALUE"""),"Red Rocks, Hoylake")</f>
        <v>Red Rocks, Hoylake</v>
      </c>
      <c r="H1179" s="22">
        <f ca="1">IFERROR(__xludf.DUMMYFUNCTION("""COMPUTED_VALUE"""),42502)</f>
        <v>42502</v>
      </c>
      <c r="I1179" s="22">
        <f ca="1">IFERROR(__xludf.DUMMYFUNCTION("""COMPUTED_VALUE"""),42502)</f>
        <v>42502</v>
      </c>
      <c r="J1179" s="24" t="str">
        <f ca="1">IFERROR(__xludf.DUMMYFUNCTION("""COMPUTED_VALUE"""),"Turner, JE")</f>
        <v>Turner, JE</v>
      </c>
      <c r="K1179" s="25" t="str">
        <f ca="1">IFERROR(__xludf.DUMMYFUNCTION("""COMPUTED_VALUE"""),"Turner, JE")</f>
        <v>Turner, JE</v>
      </c>
      <c r="L1179" s="27" t="str">
        <f ca="1">IFERROR(__xludf.DUMMYFUNCTION("""COMPUTED_VALUE"""),"closed")</f>
        <v>closed</v>
      </c>
      <c r="M1179" s="27" t="str">
        <f ca="1">IFERROR(__xludf.DUMMYFUNCTION("""COMPUTED_VALUE"""),"2nd U")</f>
        <v>2nd U</v>
      </c>
      <c r="N1179" s="25" t="str">
        <f ca="1">IFERROR(__xludf.DUMMYFUNCTION("""COMPUTED_VALUE"""),"accepted")</f>
        <v>accepted</v>
      </c>
      <c r="O1179" s="28" t="str">
        <f ca="1">IFERROR(__xludf.DUMMYFUNCTION("""COMPUTED_VALUE"""),"Publish as rostrata/icelandic NorthWestern Repoll")</f>
        <v>Publish as rostrata/icelandic NorthWestern Repoll</v>
      </c>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c r="AK1179" s="25"/>
      <c r="AL1179" s="25"/>
      <c r="AM1179" s="25"/>
      <c r="AN1179" s="25"/>
      <c r="AO1179" s="25"/>
      <c r="AP1179" s="25"/>
      <c r="AQ1179" s="25"/>
      <c r="AR1179" s="25"/>
      <c r="AS1179" s="25"/>
      <c r="AT1179" s="25"/>
      <c r="AU1179" s="25"/>
      <c r="AV1179" s="25"/>
      <c r="AW1179" s="25"/>
      <c r="AX1179" s="25"/>
      <c r="AY1179" s="25"/>
      <c r="AZ1179" s="25"/>
      <c r="BA1179" s="25"/>
      <c r="BB1179" s="25"/>
      <c r="BC1179" s="25"/>
      <c r="BD1179" s="25"/>
      <c r="BE1179" s="25"/>
      <c r="BF1179" s="25"/>
      <c r="BG1179" s="25"/>
      <c r="BH1179" s="25"/>
      <c r="BI1179" s="25"/>
      <c r="BJ1179" s="25"/>
      <c r="BK1179" s="25"/>
      <c r="BL1179" s="25"/>
      <c r="BM1179" s="25"/>
      <c r="BN1179" s="25"/>
      <c r="BO1179" s="25"/>
      <c r="BP1179" s="25"/>
      <c r="BQ1179" s="25"/>
      <c r="BR1179" s="25"/>
      <c r="BS1179" s="25"/>
      <c r="BT1179" s="25"/>
      <c r="BU1179" s="25"/>
      <c r="BV1179" s="25"/>
      <c r="BW1179" s="25"/>
      <c r="BX1179" s="25"/>
      <c r="BY1179" s="25"/>
      <c r="BZ1179" s="25"/>
      <c r="CA1179" s="25"/>
      <c r="CB1179" s="25"/>
    </row>
    <row r="1180" spans="1:80" ht="12.75" hidden="1" customHeight="1">
      <c r="A1180" s="10">
        <f ca="1">IFERROR(__xludf.DUMMYFUNCTION("""COMPUTED_VALUE"""),2016)</f>
        <v>2016</v>
      </c>
      <c r="B1180" s="50">
        <f ca="1">IFERROR(__xludf.DUMMYFUNCTION("""COMPUTED_VALUE"""),43322)</f>
        <v>43322</v>
      </c>
      <c r="C1180" s="41">
        <f ca="1">IFERROR(__xludf.DUMMYFUNCTION("""COMPUTED_VALUE"""),43188)</f>
        <v>43188</v>
      </c>
      <c r="D1180" s="42" t="str">
        <f ca="1">IFERROR(__xludf.DUMMYFUNCTION("""COMPUTED_VALUE"""),"Common Redpoll")</f>
        <v>Common Redpoll</v>
      </c>
      <c r="E1180" s="53">
        <f ca="1">IFERROR(__xludf.DUMMYFUNCTION("""COMPUTED_VALUE"""),1)</f>
        <v>1</v>
      </c>
      <c r="F1180" s="15"/>
      <c r="G1180" s="62" t="str">
        <f ca="1">IFERROR(__xludf.DUMMYFUNCTION("""COMPUTED_VALUE"""),"Red Rocks, Hoylake")</f>
        <v>Red Rocks, Hoylake</v>
      </c>
      <c r="H1180" s="12">
        <f ca="1">IFERROR(__xludf.DUMMYFUNCTION("""COMPUTED_VALUE"""),42663)</f>
        <v>42663</v>
      </c>
      <c r="I1180" s="12">
        <f ca="1">IFERROR(__xludf.DUMMYFUNCTION("""COMPUTED_VALUE"""),42663)</f>
        <v>42663</v>
      </c>
      <c r="J1180" s="75" t="str">
        <f ca="1">IFERROR(__xludf.DUMMYFUNCTION("""COMPUTED_VALUE"""),"Turner, JE")</f>
        <v>Turner, JE</v>
      </c>
      <c r="K1180" s="15"/>
      <c r="L1180" s="17" t="str">
        <f ca="1">IFERROR(__xludf.DUMMYFUNCTION("""COMPUTED_VALUE"""),"closed")</f>
        <v>closed</v>
      </c>
      <c r="M1180" s="17" t="str">
        <f ca="1">IFERROR(__xludf.DUMMYFUNCTION("""COMPUTED_VALUE"""),"1st M")</f>
        <v>1st M</v>
      </c>
      <c r="N1180" s="58" t="str">
        <f ca="1">IFERROR(__xludf.DUMMYFUNCTION("""COMPUTED_VALUE"""),"accepted")</f>
        <v>accepted</v>
      </c>
      <c r="O1180" s="76"/>
      <c r="P1180" s="15"/>
      <c r="Q1180" s="15"/>
      <c r="R1180" s="58"/>
      <c r="S1180" s="15"/>
      <c r="T1180" s="15"/>
      <c r="U1180" s="15"/>
      <c r="V1180" s="15"/>
      <c r="W1180" s="15"/>
      <c r="X1180" s="15"/>
      <c r="Y1180" s="15"/>
      <c r="Z1180" s="15"/>
      <c r="AA1180" s="15"/>
      <c r="AB1180" s="15"/>
      <c r="AC1180" s="15"/>
      <c r="AD1180" s="15"/>
      <c r="AE1180" s="15"/>
      <c r="AF1180" s="15"/>
      <c r="AG1180" s="15"/>
      <c r="AH1180" s="15"/>
      <c r="AI1180" s="15"/>
      <c r="AJ1180" s="15"/>
      <c r="AK1180" s="15"/>
      <c r="AL1180" s="15"/>
      <c r="AM1180" s="15"/>
      <c r="AN1180" s="15"/>
      <c r="AO1180" s="15"/>
      <c r="AP1180" s="15"/>
      <c r="AQ1180" s="15"/>
      <c r="AR1180" s="15"/>
      <c r="AS1180" s="15"/>
      <c r="AT1180" s="15"/>
      <c r="AU1180" s="15"/>
      <c r="AV1180" s="15"/>
      <c r="AW1180" s="15"/>
      <c r="AX1180" s="15"/>
      <c r="AY1180" s="15"/>
      <c r="AZ1180" s="15"/>
      <c r="BA1180" s="15"/>
      <c r="BB1180" s="15"/>
      <c r="BC1180" s="15"/>
      <c r="BD1180" s="15"/>
      <c r="BE1180" s="15"/>
      <c r="BF1180" s="15"/>
      <c r="BG1180" s="15"/>
      <c r="BH1180" s="15"/>
      <c r="BI1180" s="15"/>
      <c r="BJ1180" s="15"/>
      <c r="BK1180" s="15"/>
      <c r="BL1180" s="15"/>
      <c r="BM1180" s="15"/>
      <c r="BN1180" s="15"/>
      <c r="BO1180" s="15"/>
      <c r="BP1180" s="15"/>
      <c r="BQ1180" s="15"/>
      <c r="BR1180" s="15"/>
      <c r="BS1180" s="15"/>
      <c r="BT1180" s="15"/>
      <c r="BU1180" s="15"/>
      <c r="BV1180" s="15"/>
      <c r="BW1180" s="15"/>
      <c r="BX1180" s="15"/>
      <c r="BY1180" s="15"/>
      <c r="BZ1180" s="15"/>
      <c r="CA1180" s="15"/>
      <c r="CB1180" s="15"/>
    </row>
    <row r="1181" spans="1:80" ht="12.75" hidden="1" customHeight="1">
      <c r="A1181" s="20">
        <f ca="1">IFERROR(__xludf.DUMMYFUNCTION("""COMPUTED_VALUE"""),2016)</f>
        <v>2016</v>
      </c>
      <c r="B1181" s="45">
        <f ca="1">IFERROR(__xludf.DUMMYFUNCTION("""COMPUTED_VALUE"""),43257)</f>
        <v>43257</v>
      </c>
      <c r="C1181" s="46">
        <f ca="1">IFERROR(__xludf.DUMMYFUNCTION("""COMPUTED_VALUE"""),43313)</f>
        <v>43313</v>
      </c>
      <c r="D1181" s="47" t="str">
        <f ca="1">IFERROR(__xludf.DUMMYFUNCTION("""COMPUTED_VALUE"""),"Nightjar")</f>
        <v>Nightjar</v>
      </c>
      <c r="E1181" s="52">
        <f ca="1">IFERROR(__xludf.DUMMYFUNCTION("""COMPUTED_VALUE"""),1)</f>
        <v>1</v>
      </c>
      <c r="F1181" s="25"/>
      <c r="G1181" s="48" t="str">
        <f ca="1">IFERROR(__xludf.DUMMYFUNCTION("""COMPUTED_VALUE"""),"Hilbre")</f>
        <v>Hilbre</v>
      </c>
      <c r="H1181" s="22">
        <f ca="1">IFERROR(__xludf.DUMMYFUNCTION("""COMPUTED_VALUE"""),42502)</f>
        <v>42502</v>
      </c>
      <c r="I1181" s="22">
        <f ca="1">IFERROR(__xludf.DUMMYFUNCTION("""COMPUTED_VALUE"""),42502)</f>
        <v>42502</v>
      </c>
      <c r="J1181" s="24" t="str">
        <f ca="1">IFERROR(__xludf.DUMMYFUNCTION("""COMPUTED_VALUE"""),"Hilbre Bird Observatory")</f>
        <v>Hilbre Bird Observatory</v>
      </c>
      <c r="K1181" s="25"/>
      <c r="L1181" s="27" t="str">
        <f ca="1">IFERROR(__xludf.DUMMYFUNCTION("""COMPUTED_VALUE"""),"closed")</f>
        <v>closed</v>
      </c>
      <c r="M1181" s="27" t="str">
        <f ca="1">IFERROR(__xludf.DUMMYFUNCTION("""COMPUTED_VALUE"""),"1st U")</f>
        <v>1st U</v>
      </c>
      <c r="N1181" s="25" t="str">
        <f ca="1">IFERROR(__xludf.DUMMYFUNCTION("""COMPUTED_VALUE"""),"accepted")</f>
        <v>accepted</v>
      </c>
      <c r="O1181" s="28" t="str">
        <f ca="1">IFERROR(__xludf.DUMMYFUNCTION("""COMPUTED_VALUE"""),"(CJ, SREW on bench New Obs)")</f>
        <v>(CJ, SREW on bench New Obs)</v>
      </c>
      <c r="P1181" s="25"/>
      <c r="Q1181" s="25"/>
      <c r="R1181" s="25"/>
      <c r="S1181" s="25"/>
      <c r="T1181" s="25"/>
      <c r="U1181" s="25"/>
      <c r="V1181" s="25"/>
      <c r="W1181" s="25"/>
      <c r="X1181" s="25"/>
      <c r="Y1181" s="25"/>
      <c r="Z1181" s="25"/>
      <c r="AA1181" s="25"/>
      <c r="AB1181" s="25"/>
      <c r="AC1181" s="25"/>
      <c r="AD1181" s="25"/>
      <c r="AE1181" s="25"/>
      <c r="AF1181" s="25"/>
      <c r="AG1181" s="25"/>
      <c r="AH1181" s="25"/>
      <c r="AI1181" s="25"/>
      <c r="AJ1181" s="25"/>
      <c r="AK1181" s="25"/>
      <c r="AL1181" s="25"/>
      <c r="AM1181" s="25"/>
      <c r="AN1181" s="25"/>
      <c r="AO1181" s="25"/>
      <c r="AP1181" s="25"/>
      <c r="AQ1181" s="25"/>
      <c r="AR1181" s="25"/>
      <c r="AS1181" s="25"/>
      <c r="AT1181" s="25"/>
      <c r="AU1181" s="25"/>
      <c r="AV1181" s="25"/>
      <c r="AW1181" s="25"/>
      <c r="AX1181" s="25"/>
      <c r="AY1181" s="25"/>
      <c r="AZ1181" s="25"/>
      <c r="BA1181" s="25"/>
      <c r="BB1181" s="25"/>
      <c r="BC1181" s="25"/>
      <c r="BD1181" s="25"/>
      <c r="BE1181" s="25"/>
      <c r="BF1181" s="25"/>
      <c r="BG1181" s="25"/>
      <c r="BH1181" s="25"/>
      <c r="BI1181" s="25"/>
      <c r="BJ1181" s="25"/>
      <c r="BK1181" s="25"/>
      <c r="BL1181" s="25"/>
      <c r="BM1181" s="25"/>
      <c r="BN1181" s="25"/>
      <c r="BO1181" s="25"/>
      <c r="BP1181" s="25"/>
      <c r="BQ1181" s="25"/>
      <c r="BR1181" s="25"/>
      <c r="BS1181" s="25"/>
      <c r="BT1181" s="25"/>
      <c r="BU1181" s="25"/>
      <c r="BV1181" s="25"/>
      <c r="BW1181" s="25"/>
      <c r="BX1181" s="25"/>
      <c r="BY1181" s="25"/>
      <c r="BZ1181" s="25"/>
      <c r="CA1181" s="25"/>
      <c r="CB1181" s="25"/>
    </row>
    <row r="1182" spans="1:80" ht="12.75" hidden="1" customHeight="1">
      <c r="A1182" s="10">
        <f ca="1">IFERROR(__xludf.DUMMYFUNCTION("""COMPUTED_VALUE"""),2016)</f>
        <v>2016</v>
      </c>
      <c r="B1182" s="50">
        <f ca="1">IFERROR(__xludf.DUMMYFUNCTION("""COMPUTED_VALUE"""),43257)</f>
        <v>43257</v>
      </c>
      <c r="C1182" s="41">
        <f ca="1">IFERROR(__xludf.DUMMYFUNCTION("""COMPUTED_VALUE"""),43313)</f>
        <v>43313</v>
      </c>
      <c r="D1182" s="42" t="str">
        <f ca="1">IFERROR(__xludf.DUMMYFUNCTION("""COMPUTED_VALUE"""),"Nightjar")</f>
        <v>Nightjar</v>
      </c>
      <c r="E1182" s="53">
        <f ca="1">IFERROR(__xludf.DUMMYFUNCTION("""COMPUTED_VALUE"""),1)</f>
        <v>1</v>
      </c>
      <c r="F1182" s="15"/>
      <c r="G1182" s="44" t="str">
        <f ca="1">IFERROR(__xludf.DUMMYFUNCTION("""COMPUTED_VALUE"""),"Hilbre from Hoylake")</f>
        <v>Hilbre from Hoylake</v>
      </c>
      <c r="H1182" s="12">
        <f ca="1">IFERROR(__xludf.DUMMYFUNCTION("""COMPUTED_VALUE"""),42502)</f>
        <v>42502</v>
      </c>
      <c r="I1182" s="12">
        <f ca="1">IFERROR(__xludf.DUMMYFUNCTION("""COMPUTED_VALUE"""),42502)</f>
        <v>42502</v>
      </c>
      <c r="J1182" s="14" t="str">
        <f ca="1">IFERROR(__xludf.DUMMYFUNCTION("""COMPUTED_VALUE"""),"Turner,JE")</f>
        <v>Turner,JE</v>
      </c>
      <c r="K1182" s="15"/>
      <c r="L1182" s="17" t="str">
        <f ca="1">IFERROR(__xludf.DUMMYFUNCTION("""COMPUTED_VALUE"""),"closed")</f>
        <v>closed</v>
      </c>
      <c r="M1182" s="17" t="str">
        <f ca="1">IFERROR(__xludf.DUMMYFUNCTION("""COMPUTED_VALUE"""),"1st U")</f>
        <v>1st U</v>
      </c>
      <c r="N1182" s="15" t="str">
        <f ca="1">IFERROR(__xludf.DUMMYFUNCTION("""COMPUTED_VALUE"""),"accepted")</f>
        <v>accepted</v>
      </c>
      <c r="O1182" s="18" t="str">
        <f ca="1">IFERROR(__xludf.DUMMYFUNCTION("""COMPUTED_VALUE"""),"The Hilbre bird seen in flight")</f>
        <v>The Hilbre bird seen in flight</v>
      </c>
      <c r="P1182" s="15"/>
      <c r="Q1182" s="15"/>
      <c r="R1182" s="15"/>
      <c r="S1182" s="15"/>
      <c r="T1182" s="15"/>
      <c r="U1182" s="15"/>
      <c r="V1182" s="15"/>
      <c r="W1182" s="15"/>
      <c r="X1182" s="15"/>
      <c r="Y1182" s="15"/>
      <c r="Z1182" s="15"/>
      <c r="AA1182" s="15"/>
      <c r="AB1182" s="15"/>
      <c r="AC1182" s="15"/>
      <c r="AD1182" s="15"/>
      <c r="AE1182" s="15"/>
      <c r="AF1182" s="15"/>
      <c r="AG1182" s="15"/>
      <c r="AH1182" s="15"/>
      <c r="AI1182" s="15"/>
      <c r="AJ1182" s="15"/>
      <c r="AK1182" s="15"/>
      <c r="AL1182" s="15"/>
      <c r="AM1182" s="15"/>
      <c r="AN1182" s="15"/>
      <c r="AO1182" s="15"/>
      <c r="AP1182" s="15"/>
      <c r="AQ1182" s="15"/>
      <c r="AR1182" s="15"/>
      <c r="AS1182" s="15"/>
      <c r="AT1182" s="15"/>
      <c r="AU1182" s="15"/>
      <c r="AV1182" s="15"/>
      <c r="AW1182" s="15"/>
      <c r="AX1182" s="15"/>
      <c r="AY1182" s="15"/>
      <c r="AZ1182" s="15"/>
      <c r="BA1182" s="15"/>
      <c r="BB1182" s="15"/>
      <c r="BC1182" s="15"/>
      <c r="BD1182" s="15"/>
      <c r="BE1182" s="15"/>
      <c r="BF1182" s="15"/>
      <c r="BG1182" s="15"/>
      <c r="BH1182" s="15"/>
      <c r="BI1182" s="15"/>
      <c r="BJ1182" s="15"/>
      <c r="BK1182" s="15"/>
      <c r="BL1182" s="15"/>
      <c r="BM1182" s="15"/>
      <c r="BN1182" s="15"/>
      <c r="BO1182" s="15"/>
      <c r="BP1182" s="15"/>
      <c r="BQ1182" s="15"/>
      <c r="BR1182" s="15"/>
      <c r="BS1182" s="15"/>
      <c r="BT1182" s="15"/>
      <c r="BU1182" s="15"/>
      <c r="BV1182" s="15"/>
      <c r="BW1182" s="15"/>
      <c r="BX1182" s="15"/>
      <c r="BY1182" s="15"/>
      <c r="BZ1182" s="15"/>
      <c r="CA1182" s="15"/>
      <c r="CB1182" s="15"/>
    </row>
    <row r="1183" spans="1:80" ht="12.75" hidden="1" customHeight="1">
      <c r="A1183" s="20">
        <f ca="1">IFERROR(__xludf.DUMMYFUNCTION("""COMPUTED_VALUE"""),2016)</f>
        <v>2016</v>
      </c>
      <c r="B1183" s="45">
        <f ca="1">IFERROR(__xludf.DUMMYFUNCTION("""COMPUTED_VALUE"""),43165)</f>
        <v>43165</v>
      </c>
      <c r="C1183" s="46"/>
      <c r="D1183" s="47" t="str">
        <f ca="1">IFERROR(__xludf.DUMMYFUNCTION("""COMPUTED_VALUE"""),"Nightjar")</f>
        <v>Nightjar</v>
      </c>
      <c r="E1183" s="52">
        <f ca="1">IFERROR(__xludf.DUMMYFUNCTION("""COMPUTED_VALUE"""),4)</f>
        <v>4</v>
      </c>
      <c r="F1183" s="25"/>
      <c r="G1183" s="71" t="str">
        <f ca="1">IFERROR(__xludf.DUMMYFUNCTION("""COMPUTED_VALUE"""),"Primrose Hill, Delamere")</f>
        <v>Primrose Hill, Delamere</v>
      </c>
      <c r="H1183" s="22">
        <f ca="1">IFERROR(__xludf.DUMMYFUNCTION("""COMPUTED_VALUE"""),42514)</f>
        <v>42514</v>
      </c>
      <c r="I1183" s="79"/>
      <c r="J1183" s="73" t="str">
        <f ca="1">IFERROR(__xludf.DUMMYFUNCTION("""COMPUTED_VALUE"""),"Baker, G")</f>
        <v>Baker, G</v>
      </c>
      <c r="K1183" s="25" t="str">
        <f ca="1">IFERROR(__xludf.DUMMYFUNCTION("""COMPUTED_VALUE"""),"Baker, G")</f>
        <v>Baker, G</v>
      </c>
      <c r="L1183" s="27" t="str">
        <f ca="1">IFERROR(__xludf.DUMMYFUNCTION("""COMPUTED_VALUE"""),"closed")</f>
        <v>closed</v>
      </c>
      <c r="M1183" s="27" t="str">
        <f ca="1">IFERROR(__xludf.DUMMYFUNCTION("""COMPUTED_VALUE"""),"1st U")</f>
        <v>1st U</v>
      </c>
      <c r="N1183" s="40" t="str">
        <f ca="1">IFERROR(__xludf.DUMMYFUNCTION("""COMPUTED_VALUE"""),"accepted")</f>
        <v>accepted</v>
      </c>
      <c r="O1183" s="74"/>
      <c r="P1183" s="25"/>
      <c r="Q1183" s="25"/>
      <c r="R1183" s="40"/>
      <c r="S1183" s="25"/>
      <c r="T1183" s="25"/>
      <c r="U1183" s="25"/>
      <c r="V1183" s="25"/>
      <c r="W1183" s="25"/>
      <c r="X1183" s="25"/>
      <c r="Y1183" s="25"/>
      <c r="Z1183" s="25"/>
      <c r="AA1183" s="25"/>
      <c r="AB1183" s="25"/>
      <c r="AC1183" s="25"/>
      <c r="AD1183" s="25"/>
      <c r="AE1183" s="25"/>
      <c r="AF1183" s="25"/>
      <c r="AG1183" s="25"/>
      <c r="AH1183" s="25"/>
      <c r="AI1183" s="25"/>
      <c r="AJ1183" s="25"/>
      <c r="AK1183" s="25"/>
      <c r="AL1183" s="25"/>
      <c r="AM1183" s="25"/>
      <c r="AN1183" s="25"/>
      <c r="AO1183" s="25"/>
      <c r="AP1183" s="25"/>
      <c r="AQ1183" s="25"/>
      <c r="AR1183" s="25"/>
      <c r="AS1183" s="25"/>
      <c r="AT1183" s="25"/>
      <c r="AU1183" s="25"/>
      <c r="AV1183" s="25"/>
      <c r="AW1183" s="25"/>
      <c r="AX1183" s="25"/>
      <c r="AY1183" s="25"/>
      <c r="AZ1183" s="25"/>
      <c r="BA1183" s="25"/>
      <c r="BB1183" s="25"/>
      <c r="BC1183" s="25"/>
      <c r="BD1183" s="25"/>
      <c r="BE1183" s="25"/>
      <c r="BF1183" s="25"/>
      <c r="BG1183" s="25"/>
      <c r="BH1183" s="25"/>
      <c r="BI1183" s="25"/>
      <c r="BJ1183" s="25"/>
      <c r="BK1183" s="25"/>
      <c r="BL1183" s="25"/>
      <c r="BM1183" s="25"/>
      <c r="BN1183" s="25"/>
      <c r="BO1183" s="25"/>
      <c r="BP1183" s="25"/>
      <c r="BQ1183" s="25"/>
      <c r="BR1183" s="25"/>
      <c r="BS1183" s="25"/>
      <c r="BT1183" s="25"/>
      <c r="BU1183" s="25"/>
      <c r="BV1183" s="25"/>
      <c r="BW1183" s="25"/>
      <c r="BX1183" s="25"/>
      <c r="BY1183" s="25"/>
      <c r="BZ1183" s="25"/>
      <c r="CA1183" s="25"/>
      <c r="CB1183" s="25"/>
    </row>
    <row r="1184" spans="1:80" ht="12.75" hidden="1" customHeight="1">
      <c r="A1184" s="10">
        <f ca="1">IFERROR(__xludf.DUMMYFUNCTION("""COMPUTED_VALUE"""),2016)</f>
        <v>2016</v>
      </c>
      <c r="B1184" s="50">
        <f ca="1">IFERROR(__xludf.DUMMYFUNCTION("""COMPUTED_VALUE"""),43165)</f>
        <v>43165</v>
      </c>
      <c r="C1184" s="41"/>
      <c r="D1184" s="42" t="str">
        <f ca="1">IFERROR(__xludf.DUMMYFUNCTION("""COMPUTED_VALUE"""),"Nightjar")</f>
        <v>Nightjar</v>
      </c>
      <c r="E1184" s="53">
        <f ca="1">IFERROR(__xludf.DUMMYFUNCTION("""COMPUTED_VALUE"""),2)</f>
        <v>2</v>
      </c>
      <c r="F1184" s="15" t="str">
        <f ca="1">IFERROR(__xludf.DUMMYFUNCTION("""COMPUTED_VALUE"""),"mm")</f>
        <v>mm</v>
      </c>
      <c r="G1184" s="44" t="str">
        <f ca="1">IFERROR(__xludf.DUMMYFUNCTION("""COMPUTED_VALUE"""),"Delamere Forest")</f>
        <v>Delamere Forest</v>
      </c>
      <c r="H1184" s="12">
        <f ca="1">IFERROR(__xludf.DUMMYFUNCTION("""COMPUTED_VALUE"""),42523)</f>
        <v>42523</v>
      </c>
      <c r="I1184" s="13"/>
      <c r="J1184" s="14" t="str">
        <f ca="1">IFERROR(__xludf.DUMMYFUNCTION("""COMPUTED_VALUE"""),"Kirkham,J")</f>
        <v>Kirkham,J</v>
      </c>
      <c r="K1184" s="15" t="str">
        <f ca="1">IFERROR(__xludf.DUMMYFUNCTION("""COMPUTED_VALUE"""),"Kirkham,J")</f>
        <v>Kirkham,J</v>
      </c>
      <c r="L1184" s="17" t="str">
        <f ca="1">IFERROR(__xludf.DUMMYFUNCTION("""COMPUTED_VALUE"""),"closed")</f>
        <v>closed</v>
      </c>
      <c r="M1184" s="17" t="str">
        <f ca="1">IFERROR(__xludf.DUMMYFUNCTION("""COMPUTED_VALUE"""),"1st U")</f>
        <v>1st U</v>
      </c>
      <c r="N1184" s="15" t="str">
        <f ca="1">IFERROR(__xludf.DUMMYFUNCTION("""COMPUTED_VALUE"""),"accepted")</f>
        <v>accepted</v>
      </c>
      <c r="O1184" s="18"/>
      <c r="P1184" s="15"/>
      <c r="Q1184" s="15"/>
      <c r="R1184" s="15"/>
      <c r="S1184" s="15"/>
      <c r="T1184" s="15"/>
      <c r="U1184" s="15"/>
      <c r="V1184" s="15"/>
      <c r="W1184" s="15"/>
      <c r="X1184" s="15"/>
      <c r="Y1184" s="15"/>
      <c r="Z1184" s="15"/>
      <c r="AA1184" s="15"/>
      <c r="AB1184" s="15"/>
      <c r="AC1184" s="15"/>
      <c r="AD1184" s="15"/>
      <c r="AE1184" s="15"/>
      <c r="AF1184" s="15"/>
      <c r="AG1184" s="15"/>
      <c r="AH1184" s="15"/>
      <c r="AI1184" s="15"/>
      <c r="AJ1184" s="15"/>
      <c r="AK1184" s="15"/>
      <c r="AL1184" s="15"/>
      <c r="AM1184" s="15"/>
      <c r="AN1184" s="15"/>
      <c r="AO1184" s="15"/>
      <c r="AP1184" s="15"/>
      <c r="AQ1184" s="15"/>
      <c r="AR1184" s="15"/>
      <c r="AS1184" s="15"/>
      <c r="AT1184" s="15"/>
      <c r="AU1184" s="15"/>
      <c r="AV1184" s="15"/>
      <c r="AW1184" s="15"/>
      <c r="AX1184" s="15"/>
      <c r="AY1184" s="15"/>
      <c r="AZ1184" s="15"/>
      <c r="BA1184" s="15"/>
      <c r="BB1184" s="15"/>
      <c r="BC1184" s="15"/>
      <c r="BD1184" s="15"/>
      <c r="BE1184" s="15"/>
      <c r="BF1184" s="15"/>
      <c r="BG1184" s="15"/>
      <c r="BH1184" s="15"/>
      <c r="BI1184" s="15"/>
      <c r="BJ1184" s="15"/>
      <c r="BK1184" s="15"/>
      <c r="BL1184" s="15"/>
      <c r="BM1184" s="15"/>
      <c r="BN1184" s="15"/>
      <c r="BO1184" s="15"/>
      <c r="BP1184" s="15"/>
      <c r="BQ1184" s="15"/>
      <c r="BR1184" s="15"/>
      <c r="BS1184" s="15"/>
      <c r="BT1184" s="15"/>
      <c r="BU1184" s="15"/>
      <c r="BV1184" s="15"/>
      <c r="BW1184" s="15"/>
      <c r="BX1184" s="15"/>
      <c r="BY1184" s="15"/>
      <c r="BZ1184" s="15"/>
      <c r="CA1184" s="15"/>
      <c r="CB1184" s="15"/>
    </row>
    <row r="1185" spans="1:80" ht="12.75" hidden="1" customHeight="1">
      <c r="A1185" s="20">
        <f ca="1">IFERROR(__xludf.DUMMYFUNCTION("""COMPUTED_VALUE"""),2016)</f>
        <v>2016</v>
      </c>
      <c r="B1185" s="45">
        <f ca="1">IFERROR(__xludf.DUMMYFUNCTION("""COMPUTED_VALUE"""),43313)</f>
        <v>43313</v>
      </c>
      <c r="C1185" s="46">
        <f ca="1">IFERROR(__xludf.DUMMYFUNCTION("""COMPUTED_VALUE"""),43313)</f>
        <v>43313</v>
      </c>
      <c r="D1185" s="47" t="str">
        <f ca="1">IFERROR(__xludf.DUMMYFUNCTION("""COMPUTED_VALUE"""),"White-winged Black Tern")</f>
        <v>White-winged Black Tern</v>
      </c>
      <c r="E1185" s="52">
        <f ca="1">IFERROR(__xludf.DUMMYFUNCTION("""COMPUTED_VALUE"""),1)</f>
        <v>1</v>
      </c>
      <c r="F1185" s="40" t="str">
        <f ca="1">IFERROR(__xludf.DUMMYFUNCTION("""COMPUTED_VALUE"""),"AdS,")</f>
        <v>AdS,</v>
      </c>
      <c r="G1185" s="71" t="str">
        <f ca="1">IFERROR(__xludf.DUMMYFUNCTION("""COMPUTED_VALUE"""),"Burton Mere Wetlands RSPB")</f>
        <v>Burton Mere Wetlands RSPB</v>
      </c>
      <c r="H1185" s="22">
        <f ca="1">IFERROR(__xludf.DUMMYFUNCTION("""COMPUTED_VALUE"""),42538)</f>
        <v>42538</v>
      </c>
      <c r="I1185" s="22">
        <f ca="1">IFERROR(__xludf.DUMMYFUNCTION("""COMPUTED_VALUE"""),42538)</f>
        <v>42538</v>
      </c>
      <c r="J1185" s="73" t="str">
        <f ca="1">IFERROR(__xludf.DUMMYFUNCTION("""COMPUTED_VALUE"""),"Wells, CE")</f>
        <v>Wells, CE</v>
      </c>
      <c r="K1185" s="25" t="str">
        <f ca="1">IFERROR(__xludf.DUMMYFUNCTION("""COMPUTED_VALUE"""),"Conlin A")</f>
        <v>Conlin A</v>
      </c>
      <c r="L1185" s="27" t="str">
        <f ca="1">IFERROR(__xludf.DUMMYFUNCTION("""COMPUTED_VALUE"""),"closed")</f>
        <v>closed</v>
      </c>
      <c r="M1185" s="27" t="str">
        <f ca="1">IFERROR(__xludf.DUMMYFUNCTION("""COMPUTED_VALUE"""),"1st U")</f>
        <v>1st U</v>
      </c>
      <c r="N1185" s="40" t="str">
        <f ca="1">IFERROR(__xludf.DUMMYFUNCTION("""COMPUTED_VALUE"""),"accepted")</f>
        <v>accepted</v>
      </c>
      <c r="O1185" s="74" t="str">
        <f ca="1">IFERROR(__xludf.DUMMYFUNCTION("""COMPUTED_VALUE"""),"CC Schofield A Livermore R Wilkinson D&amp;K Leeming")</f>
        <v>CC Schofield A Livermore R Wilkinson D&amp;K Leeming</v>
      </c>
      <c r="P1185" s="25"/>
      <c r="Q1185" s="40"/>
      <c r="R1185" s="40"/>
      <c r="S1185" s="25"/>
      <c r="T1185" s="25"/>
      <c r="U1185" s="25"/>
      <c r="V1185" s="25"/>
      <c r="W1185" s="25"/>
      <c r="X1185" s="25"/>
      <c r="Y1185" s="25"/>
      <c r="Z1185" s="25"/>
      <c r="AA1185" s="25"/>
      <c r="AB1185" s="25"/>
      <c r="AC1185" s="25"/>
      <c r="AD1185" s="25"/>
      <c r="AE1185" s="25"/>
      <c r="AF1185" s="25"/>
      <c r="AG1185" s="25"/>
      <c r="AH1185" s="25"/>
      <c r="AI1185" s="25"/>
      <c r="AJ1185" s="25"/>
      <c r="AK1185" s="25"/>
      <c r="AL1185" s="25"/>
      <c r="AM1185" s="25"/>
      <c r="AN1185" s="25"/>
      <c r="AO1185" s="25"/>
      <c r="AP1185" s="25"/>
      <c r="AQ1185" s="25"/>
      <c r="AR1185" s="25"/>
      <c r="AS1185" s="25"/>
      <c r="AT1185" s="25"/>
      <c r="AU1185" s="25"/>
      <c r="AV1185" s="25"/>
      <c r="AW1185" s="25"/>
      <c r="AX1185" s="25"/>
      <c r="AY1185" s="25"/>
      <c r="AZ1185" s="25"/>
      <c r="BA1185" s="25"/>
      <c r="BB1185" s="25"/>
      <c r="BC1185" s="25"/>
      <c r="BD1185" s="25"/>
      <c r="BE1185" s="25"/>
      <c r="BF1185" s="25"/>
      <c r="BG1185" s="25"/>
      <c r="BH1185" s="25"/>
      <c r="BI1185" s="25"/>
      <c r="BJ1185" s="25"/>
      <c r="BK1185" s="25"/>
      <c r="BL1185" s="25"/>
      <c r="BM1185" s="25"/>
      <c r="BN1185" s="25"/>
      <c r="BO1185" s="25"/>
      <c r="BP1185" s="25"/>
      <c r="BQ1185" s="25"/>
      <c r="BR1185" s="25"/>
      <c r="BS1185" s="25"/>
      <c r="BT1185" s="25"/>
      <c r="BU1185" s="25"/>
      <c r="BV1185" s="25"/>
      <c r="BW1185" s="25"/>
      <c r="BX1185" s="25"/>
      <c r="BY1185" s="25"/>
      <c r="BZ1185" s="25"/>
      <c r="CA1185" s="25"/>
      <c r="CB1185" s="25"/>
    </row>
    <row r="1186" spans="1:80" ht="12.75" hidden="1" customHeight="1">
      <c r="A1186" s="10">
        <f ca="1">IFERROR(__xludf.DUMMYFUNCTION("""COMPUTED_VALUE"""),2016)</f>
        <v>2016</v>
      </c>
      <c r="B1186" s="50">
        <f ca="1">IFERROR(__xludf.DUMMYFUNCTION("""COMPUTED_VALUE"""),43208)</f>
        <v>43208</v>
      </c>
      <c r="C1186" s="41">
        <f ca="1">IFERROR(__xludf.DUMMYFUNCTION("""COMPUTED_VALUE"""),43186)</f>
        <v>43186</v>
      </c>
      <c r="D1186" s="42" t="str">
        <f ca="1">IFERROR(__xludf.DUMMYFUNCTION("""COMPUTED_VALUE"""),"Wryneck")</f>
        <v>Wryneck</v>
      </c>
      <c r="E1186" s="53">
        <f ca="1">IFERROR(__xludf.DUMMYFUNCTION("""COMPUTED_VALUE"""),1)</f>
        <v>1</v>
      </c>
      <c r="F1186" s="15"/>
      <c r="G1186" s="62" t="str">
        <f ca="1">IFERROR(__xludf.DUMMYFUNCTION("""COMPUTED_VALUE"""),"Rode Hall")</f>
        <v>Rode Hall</v>
      </c>
      <c r="H1186" s="12">
        <f ca="1">IFERROR(__xludf.DUMMYFUNCTION("""COMPUTED_VALUE"""),42488)</f>
        <v>42488</v>
      </c>
      <c r="I1186" s="13"/>
      <c r="J1186" s="14" t="str">
        <f ca="1">IFERROR(__xludf.DUMMYFUNCTION("""COMPUTED_VALUE"""),"Grundy, P")</f>
        <v>Grundy, P</v>
      </c>
      <c r="K1186" s="15" t="str">
        <f ca="1">IFERROR(__xludf.DUMMYFUNCTION("""COMPUTED_VALUE"""),"Grundy, P")</f>
        <v>Grundy, P</v>
      </c>
      <c r="L1186" s="17" t="str">
        <f ca="1">IFERROR(__xludf.DUMMYFUNCTION("""COMPUTED_VALUE"""),"closed")</f>
        <v>closed</v>
      </c>
      <c r="M1186" s="17" t="str">
        <f ca="1">IFERROR(__xludf.DUMMYFUNCTION("""COMPUTED_VALUE"""),"1st U")</f>
        <v>1st U</v>
      </c>
      <c r="N1186" s="58" t="str">
        <f ca="1">IFERROR(__xludf.DUMMYFUNCTION("""COMPUTED_VALUE"""),"accepted")</f>
        <v>accepted</v>
      </c>
      <c r="O1186" s="18"/>
      <c r="P1186" s="15"/>
      <c r="Q1186" s="15"/>
      <c r="R1186" s="15"/>
      <c r="S1186" s="15"/>
      <c r="T1186" s="15"/>
      <c r="U1186" s="15"/>
      <c r="V1186" s="15"/>
      <c r="W1186" s="15"/>
      <c r="X1186" s="15"/>
      <c r="Y1186" s="15"/>
      <c r="Z1186" s="15"/>
      <c r="AA1186" s="15"/>
      <c r="AB1186" s="15"/>
      <c r="AC1186" s="15"/>
      <c r="AD1186" s="15"/>
      <c r="AE1186" s="15"/>
      <c r="AF1186" s="15"/>
      <c r="AG1186" s="15"/>
      <c r="AH1186" s="15"/>
      <c r="AI1186" s="15"/>
      <c r="AJ1186" s="15"/>
      <c r="AK1186" s="15"/>
      <c r="AL1186" s="15"/>
      <c r="AM1186" s="15"/>
      <c r="AN1186" s="15"/>
      <c r="AO1186" s="15"/>
      <c r="AP1186" s="15"/>
      <c r="AQ1186" s="15"/>
      <c r="AR1186" s="15"/>
      <c r="AS1186" s="15"/>
      <c r="AT1186" s="15"/>
      <c r="AU1186" s="15"/>
      <c r="AV1186" s="15"/>
      <c r="AW1186" s="15"/>
      <c r="AX1186" s="15"/>
      <c r="AY1186" s="15"/>
      <c r="AZ1186" s="15"/>
      <c r="BA1186" s="15"/>
      <c r="BB1186" s="15"/>
      <c r="BC1186" s="15"/>
      <c r="BD1186" s="15"/>
      <c r="BE1186" s="15"/>
      <c r="BF1186" s="15"/>
      <c r="BG1186" s="15"/>
      <c r="BH1186" s="15"/>
      <c r="BI1186" s="15"/>
      <c r="BJ1186" s="15"/>
      <c r="BK1186" s="15"/>
      <c r="BL1186" s="15"/>
      <c r="BM1186" s="15"/>
      <c r="BN1186" s="15"/>
      <c r="BO1186" s="15"/>
      <c r="BP1186" s="15"/>
      <c r="BQ1186" s="15"/>
      <c r="BR1186" s="15"/>
      <c r="BS1186" s="15"/>
      <c r="BT1186" s="15"/>
      <c r="BU1186" s="15"/>
      <c r="BV1186" s="15"/>
      <c r="BW1186" s="15"/>
      <c r="BX1186" s="15"/>
      <c r="BY1186" s="15"/>
      <c r="BZ1186" s="15"/>
      <c r="CA1186" s="15"/>
      <c r="CB1186" s="15"/>
    </row>
    <row r="1187" spans="1:80" ht="12.75" hidden="1" customHeight="1">
      <c r="A1187" s="20">
        <f ca="1">IFERROR(__xludf.DUMMYFUNCTION("""COMPUTED_VALUE"""),2016)</f>
        <v>2016</v>
      </c>
      <c r="B1187" s="45">
        <f ca="1">IFERROR(__xludf.DUMMYFUNCTION("""COMPUTED_VALUE"""),43322)</f>
        <v>43322</v>
      </c>
      <c r="C1187" s="46">
        <f ca="1">IFERROR(__xludf.DUMMYFUNCTION("""COMPUTED_VALUE"""),43187)</f>
        <v>43187</v>
      </c>
      <c r="D1187" s="47" t="str">
        <f ca="1">IFERROR(__xludf.DUMMYFUNCTION("""COMPUTED_VALUE"""),"Tree pipit spp")</f>
        <v>Tree pipit spp</v>
      </c>
      <c r="E1187" s="52">
        <f ca="1">IFERROR(__xludf.DUMMYFUNCTION("""COMPUTED_VALUE"""),1)</f>
        <v>1</v>
      </c>
      <c r="F1187" s="25"/>
      <c r="G1187" s="48" t="str">
        <f ca="1">IFERROR(__xludf.DUMMYFUNCTION("""COMPUTED_VALUE"""),"Red Rocks, Hoylake")</f>
        <v>Red Rocks, Hoylake</v>
      </c>
      <c r="H1187" s="22">
        <f ca="1">IFERROR(__xludf.DUMMYFUNCTION("""COMPUTED_VALUE"""),42647)</f>
        <v>42647</v>
      </c>
      <c r="I1187" s="22">
        <f ca="1">IFERROR(__xludf.DUMMYFUNCTION("""COMPUTED_VALUE"""),42648)</f>
        <v>42648</v>
      </c>
      <c r="J1187" s="24" t="str">
        <f ca="1">IFERROR(__xludf.DUMMYFUNCTION("""COMPUTED_VALUE"""),"Turner, JE")</f>
        <v>Turner, JE</v>
      </c>
      <c r="K1187" s="25" t="str">
        <f ca="1">IFERROR(__xludf.DUMMYFUNCTION("""COMPUTED_VALUE"""),"Turner, JE")</f>
        <v>Turner, JE</v>
      </c>
      <c r="L1187" s="27" t="str">
        <f ca="1">IFERROR(__xludf.DUMMYFUNCTION("""COMPUTED_VALUE"""),"closed")</f>
        <v>closed</v>
      </c>
      <c r="M1187" s="27" t="str">
        <f ca="1">IFERROR(__xludf.DUMMYFUNCTION("""COMPUTED_VALUE"""),"1st M")</f>
        <v>1st M</v>
      </c>
      <c r="N1187" s="25" t="str">
        <f ca="1">IFERROR(__xludf.DUMMYFUNCTION("""COMPUTED_VALUE"""),"accepted")</f>
        <v>accepted</v>
      </c>
      <c r="O1187" s="28" t="str">
        <f ca="1">IFERROR(__xludf.DUMMYFUNCTION("""COMPUTED_VALUE"""),"report under Tree pipit as Tree P spp")</f>
        <v>report under Tree pipit as Tree P spp</v>
      </c>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K1187" s="25"/>
      <c r="AL1187" s="25"/>
      <c r="AM1187" s="25"/>
      <c r="AN1187" s="25"/>
      <c r="AO1187" s="25"/>
      <c r="AP1187" s="25"/>
      <c r="AQ1187" s="25"/>
      <c r="AR1187" s="25"/>
      <c r="AS1187" s="25"/>
      <c r="AT1187" s="25"/>
      <c r="AU1187" s="25"/>
      <c r="AV1187" s="25"/>
      <c r="AW1187" s="25"/>
      <c r="AX1187" s="25"/>
      <c r="AY1187" s="25"/>
      <c r="AZ1187" s="25"/>
      <c r="BA1187" s="25"/>
      <c r="BB1187" s="25"/>
      <c r="BC1187" s="25"/>
      <c r="BD1187" s="25"/>
      <c r="BE1187" s="25"/>
      <c r="BF1187" s="25"/>
      <c r="BG1187" s="25"/>
      <c r="BH1187" s="25"/>
      <c r="BI1187" s="25"/>
      <c r="BJ1187" s="25"/>
      <c r="BK1187" s="25"/>
      <c r="BL1187" s="25"/>
      <c r="BM1187" s="25"/>
      <c r="BN1187" s="25"/>
      <c r="BO1187" s="25"/>
      <c r="BP1187" s="25"/>
      <c r="BQ1187" s="25"/>
      <c r="BR1187" s="25"/>
      <c r="BS1187" s="25"/>
      <c r="BT1187" s="25"/>
      <c r="BU1187" s="25"/>
      <c r="BV1187" s="25"/>
      <c r="BW1187" s="25"/>
      <c r="BX1187" s="25"/>
      <c r="BY1187" s="25"/>
      <c r="BZ1187" s="25"/>
      <c r="CA1187" s="25"/>
      <c r="CB1187" s="25"/>
    </row>
    <row r="1188" spans="1:80" ht="12.75" hidden="1" customHeight="1">
      <c r="A1188" s="10">
        <f ca="1">IFERROR(__xludf.DUMMYFUNCTION("""COMPUTED_VALUE"""),2016)</f>
        <v>2016</v>
      </c>
      <c r="B1188" s="50">
        <f ca="1">IFERROR(__xludf.DUMMYFUNCTION("""COMPUTED_VALUE"""),43322)</f>
        <v>43322</v>
      </c>
      <c r="C1188" s="41"/>
      <c r="D1188" s="42" t="str">
        <f ca="1">IFERROR(__xludf.DUMMYFUNCTION("""COMPUTED_VALUE"""),"Water Pipit")</f>
        <v>Water Pipit</v>
      </c>
      <c r="E1188" s="53">
        <f ca="1">IFERROR(__xludf.DUMMYFUNCTION("""COMPUTED_VALUE"""),1)</f>
        <v>1</v>
      </c>
      <c r="F1188" s="15"/>
      <c r="G1188" s="62" t="str">
        <f ca="1">IFERROR(__xludf.DUMMYFUNCTION("""COMPUTED_VALUE"""),"Burton Marsh, Dee Est Saltmarsh RSPB")</f>
        <v>Burton Marsh, Dee Est Saltmarsh RSPB</v>
      </c>
      <c r="H1188" s="12">
        <f ca="1">IFERROR(__xludf.DUMMYFUNCTION("""COMPUTED_VALUE"""),42374)</f>
        <v>42374</v>
      </c>
      <c r="I1188" s="78"/>
      <c r="J1188" s="75"/>
      <c r="K1188" s="15"/>
      <c r="L1188" s="17" t="str">
        <f ca="1">IFERROR(__xludf.DUMMYFUNCTION("""COMPUTED_VALUE"""),"closed")</f>
        <v>closed</v>
      </c>
      <c r="M1188" s="17" t="str">
        <f ca="1">IFERROR(__xludf.DUMMYFUNCTION("""COMPUTED_VALUE"""),"1st M")</f>
        <v>1st M</v>
      </c>
      <c r="N1188" s="58" t="str">
        <f ca="1">IFERROR(__xludf.DUMMYFUNCTION("""COMPUTED_VALUE"""),"unproven")</f>
        <v>unproven</v>
      </c>
      <c r="O1188" s="76"/>
      <c r="P1188" s="15"/>
      <c r="Q1188" s="15"/>
      <c r="R1188" s="58"/>
      <c r="S1188" s="15"/>
      <c r="T1188" s="15"/>
      <c r="U1188" s="15"/>
      <c r="V1188" s="15"/>
      <c r="W1188" s="15"/>
      <c r="X1188" s="15"/>
      <c r="Y1188" s="15"/>
      <c r="Z1188" s="15"/>
      <c r="AA1188" s="15"/>
      <c r="AB1188" s="15"/>
      <c r="AC1188" s="15"/>
      <c r="AD1188" s="15"/>
      <c r="AE1188" s="15"/>
      <c r="AF1188" s="15"/>
      <c r="AG1188" s="15"/>
      <c r="AH1188" s="15"/>
      <c r="AI1188" s="15"/>
      <c r="AJ1188" s="15"/>
      <c r="AK1188" s="15"/>
      <c r="AL1188" s="15"/>
      <c r="AM1188" s="15"/>
      <c r="AN1188" s="15"/>
      <c r="AO1188" s="15"/>
      <c r="AP1188" s="15"/>
      <c r="AQ1188" s="15"/>
      <c r="AR1188" s="15"/>
      <c r="AS1188" s="15"/>
      <c r="AT1188" s="15"/>
      <c r="AU1188" s="15"/>
      <c r="AV1188" s="15"/>
      <c r="AW1188" s="15"/>
      <c r="AX1188" s="15"/>
      <c r="AY1188" s="15"/>
      <c r="AZ1188" s="15"/>
      <c r="BA1188" s="15"/>
      <c r="BB1188" s="15"/>
      <c r="BC1188" s="15"/>
      <c r="BD1188" s="15"/>
      <c r="BE1188" s="15"/>
      <c r="BF1188" s="15"/>
      <c r="BG1188" s="15"/>
      <c r="BH1188" s="15"/>
      <c r="BI1188" s="15"/>
      <c r="BJ1188" s="15"/>
      <c r="BK1188" s="15"/>
      <c r="BL1188" s="15"/>
      <c r="BM1188" s="15"/>
      <c r="BN1188" s="15"/>
      <c r="BO1188" s="15"/>
      <c r="BP1188" s="15"/>
      <c r="BQ1188" s="15"/>
      <c r="BR1188" s="15"/>
      <c r="BS1188" s="15"/>
      <c r="BT1188" s="15"/>
      <c r="BU1188" s="15"/>
      <c r="BV1188" s="15"/>
      <c r="BW1188" s="15"/>
      <c r="BX1188" s="15"/>
      <c r="BY1188" s="15"/>
      <c r="BZ1188" s="15"/>
      <c r="CA1188" s="15"/>
      <c r="CB1188" s="15"/>
    </row>
    <row r="1189" spans="1:80" ht="12.75" hidden="1" customHeight="1">
      <c r="A1189" s="20">
        <f ca="1">IFERROR(__xludf.DUMMYFUNCTION("""COMPUTED_VALUE"""),2016)</f>
        <v>2016</v>
      </c>
      <c r="B1189" s="45">
        <f ca="1">IFERROR(__xludf.DUMMYFUNCTION("""COMPUTED_VALUE"""),43322)</f>
        <v>43322</v>
      </c>
      <c r="C1189" s="46">
        <f ca="1">IFERROR(__xludf.DUMMYFUNCTION("""COMPUTED_VALUE"""),43137)</f>
        <v>43137</v>
      </c>
      <c r="D1189" s="47" t="str">
        <f ca="1">IFERROR(__xludf.DUMMYFUNCTION("""COMPUTED_VALUE"""),"Water Pipit")</f>
        <v>Water Pipit</v>
      </c>
      <c r="E1189" s="52">
        <f ca="1">IFERROR(__xludf.DUMMYFUNCTION("""COMPUTED_VALUE"""),1)</f>
        <v>1</v>
      </c>
      <c r="F1189" s="25"/>
      <c r="G1189" s="71" t="str">
        <f ca="1">IFERROR(__xludf.DUMMYFUNCTION("""COMPUTED_VALUE"""),"Neston SF")</f>
        <v>Neston SF</v>
      </c>
      <c r="H1189" s="22">
        <f ca="1">IFERROR(__xludf.DUMMYFUNCTION("""COMPUTED_VALUE"""),42375)</f>
        <v>42375</v>
      </c>
      <c r="I1189" s="23"/>
      <c r="J1189" s="73" t="str">
        <f ca="1">IFERROR(__xludf.DUMMYFUNCTION("""COMPUTED_VALUE"""),"Atherton, P")</f>
        <v>Atherton, P</v>
      </c>
      <c r="K1189" s="40"/>
      <c r="L1189" s="27" t="str">
        <f ca="1">IFERROR(__xludf.DUMMYFUNCTION("""COMPUTED_VALUE"""),"closed")</f>
        <v>closed</v>
      </c>
      <c r="M1189" s="27" t="str">
        <f ca="1">IFERROR(__xludf.DUMMYFUNCTION("""COMPUTED_VALUE"""),"1st M")</f>
        <v>1st M</v>
      </c>
      <c r="N1189" s="40" t="str">
        <f ca="1">IFERROR(__xludf.DUMMYFUNCTION("""COMPUTED_VALUE"""),"accepted")</f>
        <v>accepted</v>
      </c>
      <c r="O1189" s="74"/>
      <c r="P1189" s="25"/>
      <c r="Q1189" s="40"/>
      <c r="R1189" s="40"/>
      <c r="S1189" s="25"/>
      <c r="T1189" s="25"/>
      <c r="U1189" s="25"/>
      <c r="V1189" s="25"/>
      <c r="W1189" s="25"/>
      <c r="X1189" s="25"/>
      <c r="Y1189" s="25"/>
      <c r="Z1189" s="25"/>
      <c r="AA1189" s="25"/>
      <c r="AB1189" s="25"/>
      <c r="AC1189" s="25"/>
      <c r="AD1189" s="25"/>
      <c r="AE1189" s="25"/>
      <c r="AF1189" s="25"/>
      <c r="AG1189" s="25"/>
      <c r="AH1189" s="25"/>
      <c r="AI1189" s="25"/>
      <c r="AJ1189" s="25"/>
      <c r="AK1189" s="25"/>
      <c r="AL1189" s="25"/>
      <c r="AM1189" s="25"/>
      <c r="AN1189" s="25"/>
      <c r="AO1189" s="25"/>
      <c r="AP1189" s="25"/>
      <c r="AQ1189" s="25"/>
      <c r="AR1189" s="25"/>
      <c r="AS1189" s="25"/>
      <c r="AT1189" s="25"/>
      <c r="AU1189" s="25"/>
      <c r="AV1189" s="25"/>
      <c r="AW1189" s="25"/>
      <c r="AX1189" s="25"/>
      <c r="AY1189" s="25"/>
      <c r="AZ1189" s="25"/>
      <c r="BA1189" s="25"/>
      <c r="BB1189" s="25"/>
      <c r="BC1189" s="25"/>
      <c r="BD1189" s="25"/>
      <c r="BE1189" s="25"/>
      <c r="BF1189" s="25"/>
      <c r="BG1189" s="25"/>
      <c r="BH1189" s="25"/>
      <c r="BI1189" s="25"/>
      <c r="BJ1189" s="25"/>
      <c r="BK1189" s="25"/>
      <c r="BL1189" s="25"/>
      <c r="BM1189" s="25"/>
      <c r="BN1189" s="25"/>
      <c r="BO1189" s="25"/>
      <c r="BP1189" s="25"/>
      <c r="BQ1189" s="25"/>
      <c r="BR1189" s="25"/>
      <c r="BS1189" s="25"/>
      <c r="BT1189" s="25"/>
      <c r="BU1189" s="25"/>
      <c r="BV1189" s="25"/>
      <c r="BW1189" s="25"/>
      <c r="BX1189" s="25"/>
      <c r="BY1189" s="25"/>
      <c r="BZ1189" s="25"/>
      <c r="CA1189" s="25"/>
      <c r="CB1189" s="25"/>
    </row>
    <row r="1190" spans="1:80" ht="12.75" hidden="1" customHeight="1">
      <c r="A1190" s="10">
        <f ca="1">IFERROR(__xludf.DUMMYFUNCTION("""COMPUTED_VALUE"""),2016)</f>
        <v>2016</v>
      </c>
      <c r="B1190" s="50">
        <f ca="1">IFERROR(__xludf.DUMMYFUNCTION("""COMPUTED_VALUE"""),43187)</f>
        <v>43187</v>
      </c>
      <c r="C1190" s="41">
        <f ca="1">IFERROR(__xludf.DUMMYFUNCTION("""COMPUTED_VALUE"""),43187)</f>
        <v>43187</v>
      </c>
      <c r="D1190" s="42" t="str">
        <f ca="1">IFERROR(__xludf.DUMMYFUNCTION("""COMPUTED_VALUE"""),"Water Pipit")</f>
        <v>Water Pipit</v>
      </c>
      <c r="E1190" s="53">
        <f ca="1">IFERROR(__xludf.DUMMYFUNCTION("""COMPUTED_VALUE"""),1)</f>
        <v>1</v>
      </c>
      <c r="F1190" s="15"/>
      <c r="G1190" s="44" t="str">
        <f ca="1">IFERROR(__xludf.DUMMYFUNCTION("""COMPUTED_VALUE"""),"Neston SF")</f>
        <v>Neston SF</v>
      </c>
      <c r="H1190" s="12">
        <f ca="1">IFERROR(__xludf.DUMMYFUNCTION("""COMPUTED_VALUE"""),42441)</f>
        <v>42441</v>
      </c>
      <c r="I1190" s="12">
        <f ca="1">IFERROR(__xludf.DUMMYFUNCTION("""COMPUTED_VALUE"""),42441)</f>
        <v>42441</v>
      </c>
      <c r="J1190" s="14" t="str">
        <f ca="1">IFERROR(__xludf.DUMMYFUNCTION("""COMPUTED_VALUE"""),"Turner MG &amp; JE")</f>
        <v>Turner MG &amp; JE</v>
      </c>
      <c r="K1190" s="15"/>
      <c r="L1190" s="17" t="str">
        <f ca="1">IFERROR(__xludf.DUMMYFUNCTION("""COMPUTED_VALUE"""),"closed")</f>
        <v>closed</v>
      </c>
      <c r="M1190" s="17" t="str">
        <f ca="1">IFERROR(__xludf.DUMMYFUNCTION("""COMPUTED_VALUE"""),"1st U")</f>
        <v>1st U</v>
      </c>
      <c r="N1190" s="58" t="str">
        <f ca="1">IFERROR(__xludf.DUMMYFUNCTION("""COMPUTED_VALUE"""),"accepted")</f>
        <v>accepted</v>
      </c>
      <c r="O1190" s="18"/>
      <c r="P1190" s="15"/>
      <c r="Q1190" s="15"/>
      <c r="R1190" s="15"/>
      <c r="S1190" s="15"/>
      <c r="T1190" s="15"/>
      <c r="U1190" s="15"/>
      <c r="V1190" s="15"/>
      <c r="W1190" s="15"/>
      <c r="X1190" s="15"/>
      <c r="Y1190" s="15"/>
      <c r="Z1190" s="15"/>
      <c r="AA1190" s="15"/>
      <c r="AB1190" s="15"/>
      <c r="AC1190" s="15"/>
      <c r="AD1190" s="15"/>
      <c r="AE1190" s="15"/>
      <c r="AF1190" s="15"/>
      <c r="AG1190" s="15"/>
      <c r="AH1190" s="15"/>
      <c r="AI1190" s="15"/>
      <c r="AJ1190" s="15"/>
      <c r="AK1190" s="15"/>
      <c r="AL1190" s="15"/>
      <c r="AM1190" s="15"/>
      <c r="AN1190" s="15"/>
      <c r="AO1190" s="15"/>
      <c r="AP1190" s="15"/>
      <c r="AQ1190" s="15"/>
      <c r="AR1190" s="15"/>
      <c r="AS1190" s="15"/>
      <c r="AT1190" s="15"/>
      <c r="AU1190" s="15"/>
      <c r="AV1190" s="15"/>
      <c r="AW1190" s="15"/>
      <c r="AX1190" s="15"/>
      <c r="AY1190" s="15"/>
      <c r="AZ1190" s="15"/>
      <c r="BA1190" s="15"/>
      <c r="BB1190" s="15"/>
      <c r="BC1190" s="15"/>
      <c r="BD1190" s="15"/>
      <c r="BE1190" s="15"/>
      <c r="BF1190" s="15"/>
      <c r="BG1190" s="15"/>
      <c r="BH1190" s="15"/>
      <c r="BI1190" s="15"/>
      <c r="BJ1190" s="15"/>
      <c r="BK1190" s="15"/>
      <c r="BL1190" s="15"/>
      <c r="BM1190" s="15"/>
      <c r="BN1190" s="15"/>
      <c r="BO1190" s="15"/>
      <c r="BP1190" s="15"/>
      <c r="BQ1190" s="15"/>
      <c r="BR1190" s="15"/>
      <c r="BS1190" s="15"/>
      <c r="BT1190" s="15"/>
      <c r="BU1190" s="15"/>
      <c r="BV1190" s="15"/>
      <c r="BW1190" s="15"/>
      <c r="BX1190" s="15"/>
      <c r="BY1190" s="15"/>
      <c r="BZ1190" s="15"/>
      <c r="CA1190" s="15"/>
      <c r="CB1190" s="15"/>
    </row>
    <row r="1191" spans="1:80" ht="12.75" hidden="1" customHeight="1">
      <c r="A1191" s="20">
        <f ca="1">IFERROR(__xludf.DUMMYFUNCTION("""COMPUTED_VALUE"""),2016)</f>
        <v>2016</v>
      </c>
      <c r="B1191" s="45">
        <f ca="1">IFERROR(__xludf.DUMMYFUNCTION("""COMPUTED_VALUE"""),43318)</f>
        <v>43318</v>
      </c>
      <c r="C1191" s="46"/>
      <c r="D1191" s="47" t="str">
        <f ca="1">IFERROR(__xludf.DUMMYFUNCTION("""COMPUTED_VALUE"""),"Water Pipit")</f>
        <v>Water Pipit</v>
      </c>
      <c r="E1191" s="52">
        <f ca="1">IFERROR(__xludf.DUMMYFUNCTION("""COMPUTED_VALUE"""),4)</f>
        <v>4</v>
      </c>
      <c r="F1191" s="25"/>
      <c r="G1191" s="48" t="str">
        <f ca="1">IFERROR(__xludf.DUMMYFUNCTION("""COMPUTED_VALUE"""),"Carr Lane Pools Hale")</f>
        <v>Carr Lane Pools Hale</v>
      </c>
      <c r="H1191" s="22">
        <f ca="1">IFERROR(__xludf.DUMMYFUNCTION("""COMPUTED_VALUE"""),42684)</f>
        <v>42684</v>
      </c>
      <c r="I1191" s="22" t="str">
        <f ca="1">IFERROR(__xludf.DUMMYFUNCTION("""COMPUTED_VALUE"""),"dec")</f>
        <v>dec</v>
      </c>
      <c r="J1191" s="24" t="str">
        <f ca="1">IFERROR(__xludf.DUMMYFUNCTION("""COMPUTED_VALUE"""),"Cockbain, R")</f>
        <v>Cockbain, R</v>
      </c>
      <c r="K1191" s="25" t="str">
        <f ca="1">IFERROR(__xludf.DUMMYFUNCTION("""COMPUTED_VALUE"""),"Cockbain, R")</f>
        <v>Cockbain, R</v>
      </c>
      <c r="L1191" s="27" t="str">
        <f ca="1">IFERROR(__xludf.DUMMYFUNCTION("""COMPUTED_VALUE"""),"closed")</f>
        <v>closed</v>
      </c>
      <c r="M1191" s="27" t="str">
        <f ca="1">IFERROR(__xludf.DUMMYFUNCTION("""COMPUTED_VALUE"""),"1st U")</f>
        <v>1st U</v>
      </c>
      <c r="N1191" s="25" t="str">
        <f ca="1">IFERROR(__xludf.DUMMYFUNCTION("""COMPUTED_VALUE"""),"accepted")</f>
        <v>accepted</v>
      </c>
      <c r="O1191" s="28"/>
      <c r="P1191" s="25"/>
      <c r="Q1191" s="25"/>
      <c r="R1191" s="40"/>
      <c r="S1191" s="25"/>
      <c r="T1191" s="25"/>
      <c r="U1191" s="25"/>
      <c r="V1191" s="25"/>
      <c r="W1191" s="25"/>
      <c r="X1191" s="25"/>
      <c r="Y1191" s="25"/>
      <c r="Z1191" s="25"/>
      <c r="AA1191" s="25"/>
      <c r="AB1191" s="25"/>
      <c r="AC1191" s="25"/>
      <c r="AD1191" s="25"/>
      <c r="AE1191" s="25"/>
      <c r="AF1191" s="25"/>
      <c r="AG1191" s="25"/>
      <c r="AH1191" s="25"/>
      <c r="AI1191" s="25"/>
      <c r="AJ1191" s="25"/>
      <c r="AK1191" s="25"/>
      <c r="AL1191" s="25"/>
      <c r="AM1191" s="25"/>
      <c r="AN1191" s="25"/>
      <c r="AO1191" s="25"/>
      <c r="AP1191" s="25"/>
      <c r="AQ1191" s="25"/>
      <c r="AR1191" s="25"/>
      <c r="AS1191" s="25"/>
      <c r="AT1191" s="25"/>
      <c r="AU1191" s="25"/>
      <c r="AV1191" s="25"/>
      <c r="AW1191" s="25"/>
      <c r="AX1191" s="25"/>
      <c r="AY1191" s="25"/>
      <c r="AZ1191" s="25"/>
      <c r="BA1191" s="25"/>
      <c r="BB1191" s="25"/>
      <c r="BC1191" s="25"/>
      <c r="BD1191" s="25"/>
      <c r="BE1191" s="25"/>
      <c r="BF1191" s="25"/>
      <c r="BG1191" s="25"/>
      <c r="BH1191" s="25"/>
      <c r="BI1191" s="25"/>
      <c r="BJ1191" s="25"/>
      <c r="BK1191" s="25"/>
      <c r="BL1191" s="25"/>
      <c r="BM1191" s="25"/>
      <c r="BN1191" s="25"/>
      <c r="BO1191" s="25"/>
      <c r="BP1191" s="25"/>
      <c r="BQ1191" s="25"/>
      <c r="BR1191" s="25"/>
      <c r="BS1191" s="25"/>
      <c r="BT1191" s="25"/>
      <c r="BU1191" s="25"/>
      <c r="BV1191" s="25"/>
      <c r="BW1191" s="25"/>
      <c r="BX1191" s="25"/>
      <c r="BY1191" s="25"/>
      <c r="BZ1191" s="25"/>
      <c r="CA1191" s="25"/>
      <c r="CB1191" s="25"/>
    </row>
    <row r="1192" spans="1:80" ht="12.75" hidden="1" customHeight="1">
      <c r="A1192" s="10">
        <f ca="1">IFERROR(__xludf.DUMMYFUNCTION("""COMPUTED_VALUE"""),2016)</f>
        <v>2016</v>
      </c>
      <c r="B1192" s="50">
        <f ca="1">IFERROR(__xludf.DUMMYFUNCTION("""COMPUTED_VALUE"""),43322)</f>
        <v>43322</v>
      </c>
      <c r="C1192" s="41"/>
      <c r="D1192" s="42" t="str">
        <f ca="1">IFERROR(__xludf.DUMMYFUNCTION("""COMPUTED_VALUE"""),"Water/Rock pipit (littoralis/spinoletta)")</f>
        <v>Water/Rock pipit (littoralis/spinoletta)</v>
      </c>
      <c r="E1192" s="53">
        <f ca="1">IFERROR(__xludf.DUMMYFUNCTION("""COMPUTED_VALUE"""),1)</f>
        <v>1</v>
      </c>
      <c r="F1192" s="15"/>
      <c r="G1192" s="44" t="str">
        <f ca="1">IFERROR(__xludf.DUMMYFUNCTION("""COMPUTED_VALUE"""),"Burton Marsh, Dee Est Saltmarsh RSPB")</f>
        <v>Burton Marsh, Dee Est Saltmarsh RSPB</v>
      </c>
      <c r="H1192" s="12">
        <f ca="1">IFERROR(__xludf.DUMMYFUNCTION("""COMPUTED_VALUE"""),42374)</f>
        <v>42374</v>
      </c>
      <c r="I1192" s="13"/>
      <c r="J1192" s="14" t="str">
        <f ca="1">IFERROR(__xludf.DUMMYFUNCTION("""COMPUTED_VALUE"""),"Cook, H")</f>
        <v>Cook, H</v>
      </c>
      <c r="K1192" s="15"/>
      <c r="L1192" s="17" t="str">
        <f ca="1">IFERROR(__xludf.DUMMYFUNCTION("""COMPUTED_VALUE"""),"closed")</f>
        <v>closed</v>
      </c>
      <c r="M1192" s="17" t="str">
        <f ca="1">IFERROR(__xludf.DUMMYFUNCTION("""COMPUTED_VALUE"""),"1st U")</f>
        <v>1st U</v>
      </c>
      <c r="N1192" s="15" t="str">
        <f ca="1">IFERROR(__xludf.DUMMYFUNCTION("""COMPUTED_VALUE"""),"accepted")</f>
        <v>accepted</v>
      </c>
      <c r="O1192" s="18" t="str">
        <f ca="1">IFERROR(__xludf.DUMMYFUNCTION("""COMPUTED_VALUE"""),"Submitted as Water pipit")</f>
        <v>Submitted as Water pipit</v>
      </c>
      <c r="P1192" s="15"/>
      <c r="Q1192" s="15"/>
      <c r="R1192" s="15"/>
      <c r="S1192" s="15"/>
      <c r="T1192" s="15"/>
      <c r="U1192" s="15"/>
      <c r="V1192" s="15"/>
      <c r="W1192" s="15"/>
      <c r="X1192" s="15"/>
      <c r="Y1192" s="15"/>
      <c r="Z1192" s="15"/>
      <c r="AA1192" s="15"/>
      <c r="AB1192" s="15"/>
      <c r="AC1192" s="15"/>
      <c r="AD1192" s="15"/>
      <c r="AE1192" s="15"/>
      <c r="AF1192" s="15"/>
      <c r="AG1192" s="15"/>
      <c r="AH1192" s="15"/>
      <c r="AI1192" s="15"/>
      <c r="AJ1192" s="15"/>
      <c r="AK1192" s="15"/>
      <c r="AL1192" s="15"/>
      <c r="AM1192" s="15"/>
      <c r="AN1192" s="15"/>
      <c r="AO1192" s="15"/>
      <c r="AP1192" s="15"/>
      <c r="AQ1192" s="15"/>
      <c r="AR1192" s="15"/>
      <c r="AS1192" s="15"/>
      <c r="AT1192" s="15"/>
      <c r="AU1192" s="15"/>
      <c r="AV1192" s="15"/>
      <c r="AW1192" s="15"/>
      <c r="AX1192" s="15"/>
      <c r="AY1192" s="15"/>
      <c r="AZ1192" s="15"/>
      <c r="BA1192" s="15"/>
      <c r="BB1192" s="15"/>
      <c r="BC1192" s="15"/>
      <c r="BD1192" s="15"/>
      <c r="BE1192" s="15"/>
      <c r="BF1192" s="15"/>
      <c r="BG1192" s="15"/>
      <c r="BH1192" s="15"/>
      <c r="BI1192" s="15"/>
      <c r="BJ1192" s="15"/>
      <c r="BK1192" s="15"/>
      <c r="BL1192" s="15"/>
      <c r="BM1192" s="15"/>
      <c r="BN1192" s="15"/>
      <c r="BO1192" s="15"/>
      <c r="BP1192" s="15"/>
      <c r="BQ1192" s="15"/>
      <c r="BR1192" s="15"/>
      <c r="BS1192" s="15"/>
      <c r="BT1192" s="15"/>
      <c r="BU1192" s="15"/>
      <c r="BV1192" s="15"/>
      <c r="BW1192" s="15"/>
      <c r="BX1192" s="15"/>
      <c r="BY1192" s="15"/>
      <c r="BZ1192" s="15"/>
      <c r="CA1192" s="15"/>
      <c r="CB1192" s="15"/>
    </row>
    <row r="1193" spans="1:80" ht="12.75" hidden="1" customHeight="1">
      <c r="A1193" s="20">
        <f ca="1">IFERROR(__xludf.DUMMYFUNCTION("""COMPUTED_VALUE"""),2016)</f>
        <v>2016</v>
      </c>
      <c r="B1193" s="45">
        <f ca="1">IFERROR(__xludf.DUMMYFUNCTION("""COMPUTED_VALUE"""),43318)</f>
        <v>43318</v>
      </c>
      <c r="C1193" s="46">
        <f ca="1">IFERROR(__xludf.DUMMYFUNCTION("""COMPUTED_VALUE"""),43316)</f>
        <v>43316</v>
      </c>
      <c r="D1193" s="47" t="str">
        <f ca="1">IFERROR(__xludf.DUMMYFUNCTION("""COMPUTED_VALUE"""),"Wood Warbler")</f>
        <v>Wood Warbler</v>
      </c>
      <c r="E1193" s="52">
        <f ca="1">IFERROR(__xludf.DUMMYFUNCTION("""COMPUTED_VALUE"""),1)</f>
        <v>1</v>
      </c>
      <c r="F1193" s="25"/>
      <c r="G1193" s="48" t="str">
        <f ca="1">IFERROR(__xludf.DUMMYFUNCTION("""COMPUTED_VALUE"""),"Leasowe")</f>
        <v>Leasowe</v>
      </c>
      <c r="H1193" s="22">
        <f ca="1">IFERROR(__xludf.DUMMYFUNCTION("""COMPUTED_VALUE"""),42654)</f>
        <v>42654</v>
      </c>
      <c r="I1193" s="22">
        <f ca="1">IFERROR(__xludf.DUMMYFUNCTION("""COMPUTED_VALUE"""),42654)</f>
        <v>42654</v>
      </c>
      <c r="J1193" s="24" t="str">
        <f ca="1">IFERROR(__xludf.DUMMYFUNCTION("""COMPUTED_VALUE"""),"Turner, MG    ")</f>
        <v xml:space="preserve">Turner, MG    </v>
      </c>
      <c r="K1193" s="25" t="str">
        <f ca="1">IFERROR(__xludf.DUMMYFUNCTION("""COMPUTED_VALUE"""),"Same and Williams E")</f>
        <v>Same and Williams E</v>
      </c>
      <c r="L1193" s="27" t="str">
        <f ca="1">IFERROR(__xludf.DUMMYFUNCTION("""COMPUTED_VALUE"""),"closed")</f>
        <v>closed</v>
      </c>
      <c r="M1193" s="27" t="str">
        <f ca="1">IFERROR(__xludf.DUMMYFUNCTION("""COMPUTED_VALUE"""),"1st U")</f>
        <v>1st U</v>
      </c>
      <c r="N1193" s="25" t="str">
        <f ca="1">IFERROR(__xludf.DUMMYFUNCTION("""COMPUTED_VALUE"""),"accepted")</f>
        <v>accepted</v>
      </c>
      <c r="O1193" s="28"/>
      <c r="P1193" s="25"/>
      <c r="Q1193" s="25"/>
      <c r="R1193" s="25"/>
      <c r="S1193" s="25"/>
      <c r="T1193" s="25"/>
      <c r="U1193" s="25"/>
      <c r="V1193" s="25"/>
      <c r="W1193" s="25"/>
      <c r="X1193" s="25"/>
      <c r="Y1193" s="25"/>
      <c r="Z1193" s="25"/>
      <c r="AA1193" s="25"/>
      <c r="AB1193" s="25"/>
      <c r="AC1193" s="25"/>
      <c r="AD1193" s="25"/>
      <c r="AE1193" s="25"/>
      <c r="AF1193" s="25"/>
      <c r="AG1193" s="25"/>
      <c r="AH1193" s="25"/>
      <c r="AI1193" s="25"/>
      <c r="AJ1193" s="25"/>
      <c r="AK1193" s="25"/>
      <c r="AL1193" s="25"/>
      <c r="AM1193" s="25"/>
      <c r="AN1193" s="25"/>
      <c r="AO1193" s="25"/>
      <c r="AP1193" s="25"/>
      <c r="AQ1193" s="25"/>
      <c r="AR1193" s="25"/>
      <c r="AS1193" s="25"/>
      <c r="AT1193" s="25"/>
      <c r="AU1193" s="25"/>
      <c r="AV1193" s="25"/>
      <c r="AW1193" s="25"/>
      <c r="AX1193" s="25"/>
      <c r="AY1193" s="25"/>
      <c r="AZ1193" s="25"/>
      <c r="BA1193" s="25"/>
      <c r="BB1193" s="25"/>
      <c r="BC1193" s="25"/>
      <c r="BD1193" s="25"/>
      <c r="BE1193" s="25"/>
      <c r="BF1193" s="25"/>
      <c r="BG1193" s="25"/>
      <c r="BH1193" s="25"/>
      <c r="BI1193" s="25"/>
      <c r="BJ1193" s="25"/>
      <c r="BK1193" s="25"/>
      <c r="BL1193" s="25"/>
      <c r="BM1193" s="25"/>
      <c r="BN1193" s="25"/>
      <c r="BO1193" s="25"/>
      <c r="BP1193" s="25"/>
      <c r="BQ1193" s="25"/>
      <c r="BR1193" s="25"/>
      <c r="BS1193" s="25"/>
      <c r="BT1193" s="25"/>
      <c r="BU1193" s="25"/>
      <c r="BV1193" s="25"/>
      <c r="BW1193" s="25"/>
      <c r="BX1193" s="25"/>
      <c r="BY1193" s="25"/>
      <c r="BZ1193" s="25"/>
      <c r="CA1193" s="25"/>
      <c r="CB1193" s="25"/>
    </row>
    <row r="1194" spans="1:80" ht="12.75" hidden="1" customHeight="1">
      <c r="A1194" s="10">
        <f ca="1">IFERROR(__xludf.DUMMYFUNCTION("""COMPUTED_VALUE"""),2016)</f>
        <v>2016</v>
      </c>
      <c r="B1194" s="50">
        <f ca="1">IFERROR(__xludf.DUMMYFUNCTION("""COMPUTED_VALUE"""),43313)</f>
        <v>43313</v>
      </c>
      <c r="C1194" s="41">
        <f ca="1">IFERROR(__xludf.DUMMYFUNCTION("""COMPUTED_VALUE"""),42986)</f>
        <v>42986</v>
      </c>
      <c r="D1194" s="42" t="str">
        <f ca="1">IFERROR(__xludf.DUMMYFUNCTION("""COMPUTED_VALUE"""),"Crane")</f>
        <v>Crane</v>
      </c>
      <c r="E1194" s="53">
        <f ca="1">IFERROR(__xludf.DUMMYFUNCTION("""COMPUTED_VALUE"""),2)</f>
        <v>2</v>
      </c>
      <c r="F1194" s="15" t="str">
        <f ca="1">IFERROR(__xludf.DUMMYFUNCTION("""COMPUTED_VALUE"""),"ad")</f>
        <v>ad</v>
      </c>
      <c r="G1194" s="44" t="str">
        <f ca="1">IFERROR(__xludf.DUMMYFUNCTION("""COMPUTED_VALUE"""),"Inner Marsh Farm RSPB")</f>
        <v>Inner Marsh Farm RSPB</v>
      </c>
      <c r="H1194" s="12">
        <f ca="1">IFERROR(__xludf.DUMMYFUNCTION("""COMPUTED_VALUE"""),42471)</f>
        <v>42471</v>
      </c>
      <c r="I1194" s="13"/>
      <c r="J1194" s="14" t="str">
        <f ca="1">IFERROR(__xludf.DUMMYFUNCTION("""COMPUTED_VALUE"""),"Davies, S")</f>
        <v>Davies, S</v>
      </c>
      <c r="K1194" s="15" t="str">
        <f ca="1">IFERROR(__xludf.DUMMYFUNCTION("""COMPUTED_VALUE"""),"Davies, S")</f>
        <v>Davies, S</v>
      </c>
      <c r="L1194" s="17" t="str">
        <f ca="1">IFERROR(__xludf.DUMMYFUNCTION("""COMPUTED_VALUE"""),"closed")</f>
        <v>closed</v>
      </c>
      <c r="M1194" s="17" t="str">
        <f ca="1">IFERROR(__xludf.DUMMYFUNCTION("""COMPUTED_VALUE"""),"1st U")</f>
        <v>1st U</v>
      </c>
      <c r="N1194" s="15" t="str">
        <f ca="1">IFERROR(__xludf.DUMMYFUNCTION("""COMPUTED_VALUE"""),"accepted")</f>
        <v>accepted</v>
      </c>
      <c r="O1194" s="18"/>
      <c r="P1194" s="15"/>
      <c r="Q1194" s="15"/>
      <c r="R1194" s="15"/>
      <c r="S1194" s="15"/>
      <c r="T1194" s="15"/>
      <c r="U1194" s="15"/>
      <c r="V1194" s="15"/>
      <c r="W1194" s="15"/>
      <c r="X1194" s="15"/>
      <c r="Y1194" s="15"/>
      <c r="Z1194" s="15"/>
      <c r="AA1194" s="15"/>
      <c r="AB1194" s="15"/>
      <c r="AC1194" s="15"/>
      <c r="AD1194" s="15"/>
      <c r="AE1194" s="15"/>
      <c r="AF1194" s="15"/>
      <c r="AG1194" s="15"/>
      <c r="AH1194" s="15"/>
      <c r="AI1194" s="15"/>
      <c r="AJ1194" s="15"/>
      <c r="AK1194" s="15"/>
      <c r="AL1194" s="15"/>
      <c r="AM1194" s="15"/>
      <c r="AN1194" s="15"/>
      <c r="AO1194" s="15"/>
      <c r="AP1194" s="15"/>
      <c r="AQ1194" s="15"/>
      <c r="AR1194" s="15"/>
      <c r="AS1194" s="15"/>
      <c r="AT1194" s="15"/>
      <c r="AU1194" s="15"/>
      <c r="AV1194" s="15"/>
      <c r="AW1194" s="15"/>
      <c r="AX1194" s="15"/>
      <c r="AY1194" s="15"/>
      <c r="AZ1194" s="15"/>
      <c r="BA1194" s="15"/>
      <c r="BB1194" s="15"/>
      <c r="BC1194" s="15"/>
      <c r="BD1194" s="15"/>
      <c r="BE1194" s="15"/>
      <c r="BF1194" s="15"/>
      <c r="BG1194" s="15"/>
      <c r="BH1194" s="15"/>
      <c r="BI1194" s="15"/>
      <c r="BJ1194" s="15"/>
      <c r="BK1194" s="15"/>
      <c r="BL1194" s="15"/>
      <c r="BM1194" s="15"/>
      <c r="BN1194" s="15"/>
      <c r="BO1194" s="15"/>
      <c r="BP1194" s="15"/>
      <c r="BQ1194" s="15"/>
      <c r="BR1194" s="15"/>
      <c r="BS1194" s="15"/>
      <c r="BT1194" s="15"/>
      <c r="BU1194" s="15"/>
      <c r="BV1194" s="15"/>
      <c r="BW1194" s="15"/>
      <c r="BX1194" s="15"/>
      <c r="BY1194" s="15"/>
      <c r="BZ1194" s="15"/>
      <c r="CA1194" s="15"/>
      <c r="CB1194" s="15"/>
    </row>
    <row r="1195" spans="1:80" ht="12.75" hidden="1" customHeight="1">
      <c r="A1195" s="20">
        <f ca="1">IFERROR(__xludf.DUMMYFUNCTION("""COMPUTED_VALUE"""),2016)</f>
        <v>2016</v>
      </c>
      <c r="B1195" s="45">
        <f ca="1">IFERROR(__xludf.DUMMYFUNCTION("""COMPUTED_VALUE"""),42986)</f>
        <v>42986</v>
      </c>
      <c r="C1195" s="46">
        <f ca="1">IFERROR(__xludf.DUMMYFUNCTION("""COMPUTED_VALUE"""),43011)</f>
        <v>43011</v>
      </c>
      <c r="D1195" s="47" t="str">
        <f ca="1">IFERROR(__xludf.DUMMYFUNCTION("""COMPUTED_VALUE"""),"Crane")</f>
        <v>Crane</v>
      </c>
      <c r="E1195" s="52">
        <f ca="1">IFERROR(__xludf.DUMMYFUNCTION("""COMPUTED_VALUE"""),2)</f>
        <v>2</v>
      </c>
      <c r="F1195" s="25"/>
      <c r="G1195" s="48" t="str">
        <f ca="1">IFERROR(__xludf.DUMMYFUNCTION("""COMPUTED_VALUE"""),"Red Rocks, Hoylake")</f>
        <v>Red Rocks, Hoylake</v>
      </c>
      <c r="H1195" s="22">
        <f ca="1">IFERROR(__xludf.DUMMYFUNCTION("""COMPUTED_VALUE"""),42473)</f>
        <v>42473</v>
      </c>
      <c r="I1195" s="23"/>
      <c r="J1195" s="24" t="str">
        <f ca="1">IFERROR(__xludf.DUMMYFUNCTION("""COMPUTED_VALUE"""),"Turner, JE")</f>
        <v>Turner, JE</v>
      </c>
      <c r="K1195" s="25" t="str">
        <f ca="1">IFERROR(__xludf.DUMMYFUNCTION("""COMPUTED_VALUE"""),"Turner, JE")</f>
        <v>Turner, JE</v>
      </c>
      <c r="L1195" s="27" t="str">
        <f ca="1">IFERROR(__xludf.DUMMYFUNCTION("""COMPUTED_VALUE"""),"closed")</f>
        <v>closed</v>
      </c>
      <c r="M1195" s="27" t="str">
        <f ca="1">IFERROR(__xludf.DUMMYFUNCTION("""COMPUTED_VALUE"""),"1st U")</f>
        <v>1st U</v>
      </c>
      <c r="N1195" s="25" t="str">
        <f ca="1">IFERROR(__xludf.DUMMYFUNCTION("""COMPUTED_VALUE"""),"Accepted")</f>
        <v>Accepted</v>
      </c>
      <c r="O1195" s="28"/>
      <c r="P1195" s="25"/>
      <c r="Q1195" s="25"/>
      <c r="R1195" s="25"/>
      <c r="S1195" s="25"/>
      <c r="T1195" s="25"/>
      <c r="U1195" s="25"/>
      <c r="V1195" s="25"/>
      <c r="W1195" s="25"/>
      <c r="X1195" s="25"/>
      <c r="Y1195" s="25"/>
      <c r="Z1195" s="25"/>
      <c r="AA1195" s="25"/>
      <c r="AB1195" s="25"/>
      <c r="AC1195" s="25"/>
      <c r="AD1195" s="25"/>
      <c r="AE1195" s="25"/>
      <c r="AF1195" s="25"/>
      <c r="AG1195" s="25"/>
      <c r="AH1195" s="25"/>
      <c r="AI1195" s="25"/>
      <c r="AJ1195" s="25"/>
      <c r="AK1195" s="25"/>
      <c r="AL1195" s="25"/>
      <c r="AM1195" s="25"/>
      <c r="AN1195" s="25"/>
      <c r="AO1195" s="25"/>
      <c r="AP1195" s="25"/>
      <c r="AQ1195" s="25"/>
      <c r="AR1195" s="25"/>
      <c r="AS1195" s="25"/>
      <c r="AT1195" s="25"/>
      <c r="AU1195" s="25"/>
      <c r="AV1195" s="25"/>
      <c r="AW1195" s="25"/>
      <c r="AX1195" s="25"/>
      <c r="AY1195" s="25"/>
      <c r="AZ1195" s="25"/>
      <c r="BA1195" s="25"/>
      <c r="BB1195" s="25"/>
      <c r="BC1195" s="25"/>
      <c r="BD1195" s="25"/>
      <c r="BE1195" s="25"/>
      <c r="BF1195" s="25"/>
      <c r="BG1195" s="25"/>
      <c r="BH1195" s="25"/>
      <c r="BI1195" s="25"/>
      <c r="BJ1195" s="25"/>
      <c r="BK1195" s="25"/>
      <c r="BL1195" s="25"/>
      <c r="BM1195" s="25"/>
      <c r="BN1195" s="25"/>
      <c r="BO1195" s="25"/>
      <c r="BP1195" s="25"/>
      <c r="BQ1195" s="25"/>
      <c r="BR1195" s="25"/>
      <c r="BS1195" s="25"/>
      <c r="BT1195" s="25"/>
      <c r="BU1195" s="25"/>
      <c r="BV1195" s="25"/>
      <c r="BW1195" s="25"/>
      <c r="BX1195" s="25"/>
      <c r="BY1195" s="25"/>
      <c r="BZ1195" s="25"/>
      <c r="CA1195" s="25"/>
      <c r="CB1195" s="25"/>
    </row>
    <row r="1196" spans="1:80" ht="12.75" hidden="1" customHeight="1">
      <c r="A1196" s="10">
        <f ca="1">IFERROR(__xludf.DUMMYFUNCTION("""COMPUTED_VALUE"""),2016)</f>
        <v>2016</v>
      </c>
      <c r="B1196" s="50">
        <f ca="1">IFERROR(__xludf.DUMMYFUNCTION("""COMPUTED_VALUE"""),42986)</f>
        <v>42986</v>
      </c>
      <c r="C1196" s="41">
        <f ca="1">IFERROR(__xludf.DUMMYFUNCTION("""COMPUTED_VALUE"""),43011)</f>
        <v>43011</v>
      </c>
      <c r="D1196" s="42" t="str">
        <f ca="1">IFERROR(__xludf.DUMMYFUNCTION("""COMPUTED_VALUE"""),"Crane")</f>
        <v>Crane</v>
      </c>
      <c r="E1196" s="53">
        <f ca="1">IFERROR(__xludf.DUMMYFUNCTION("""COMPUTED_VALUE"""),3)</f>
        <v>3</v>
      </c>
      <c r="F1196" s="15"/>
      <c r="G1196" s="44" t="str">
        <f ca="1">IFERROR(__xludf.DUMMYFUNCTION("""COMPUTED_VALUE"""),"Poulton")</f>
        <v>Poulton</v>
      </c>
      <c r="H1196" s="12">
        <f ca="1">IFERROR(__xludf.DUMMYFUNCTION("""COMPUTED_VALUE"""),42477)</f>
        <v>42477</v>
      </c>
      <c r="I1196" s="13"/>
      <c r="J1196" s="14" t="str">
        <f ca="1">IFERROR(__xludf.DUMMYFUNCTION("""COMPUTED_VALUE"""),"Linn, H")</f>
        <v>Linn, H</v>
      </c>
      <c r="K1196" s="15" t="str">
        <f ca="1">IFERROR(__xludf.DUMMYFUNCTION("""COMPUTED_VALUE"""),"Linn, H")</f>
        <v>Linn, H</v>
      </c>
      <c r="L1196" s="17" t="str">
        <f ca="1">IFERROR(__xludf.DUMMYFUNCTION("""COMPUTED_VALUE"""),"closed")</f>
        <v>closed</v>
      </c>
      <c r="M1196" s="17" t="str">
        <f ca="1">IFERROR(__xludf.DUMMYFUNCTION("""COMPUTED_VALUE"""),"1st U")</f>
        <v>1st U</v>
      </c>
      <c r="N1196" s="15" t="str">
        <f ca="1">IFERROR(__xludf.DUMMYFUNCTION("""COMPUTED_VALUE"""),"Accepted")</f>
        <v>Accepted</v>
      </c>
      <c r="O1196" s="18"/>
      <c r="P1196" s="15"/>
      <c r="Q1196" s="15"/>
      <c r="R1196" s="15"/>
      <c r="S1196" s="15"/>
      <c r="T1196" s="15"/>
      <c r="U1196" s="15"/>
      <c r="V1196" s="15"/>
      <c r="W1196" s="15"/>
      <c r="X1196" s="15"/>
      <c r="Y1196" s="15"/>
      <c r="Z1196" s="15"/>
      <c r="AA1196" s="15"/>
      <c r="AB1196" s="15"/>
      <c r="AC1196" s="15"/>
      <c r="AD1196" s="15"/>
      <c r="AE1196" s="15"/>
      <c r="AF1196" s="15"/>
      <c r="AG1196" s="15"/>
      <c r="AH1196" s="15"/>
      <c r="AI1196" s="15"/>
      <c r="AJ1196" s="15"/>
      <c r="AK1196" s="15"/>
      <c r="AL1196" s="15"/>
      <c r="AM1196" s="15"/>
      <c r="AN1196" s="15"/>
      <c r="AO1196" s="15"/>
      <c r="AP1196" s="15"/>
      <c r="AQ1196" s="15"/>
      <c r="AR1196" s="15"/>
      <c r="AS1196" s="15"/>
      <c r="AT1196" s="15"/>
      <c r="AU1196" s="15"/>
      <c r="AV1196" s="15"/>
      <c r="AW1196" s="15"/>
      <c r="AX1196" s="15"/>
      <c r="AY1196" s="15"/>
      <c r="AZ1196" s="15"/>
      <c r="BA1196" s="15"/>
      <c r="BB1196" s="15"/>
      <c r="BC1196" s="15"/>
      <c r="BD1196" s="15"/>
      <c r="BE1196" s="15"/>
      <c r="BF1196" s="15"/>
      <c r="BG1196" s="15"/>
      <c r="BH1196" s="15"/>
      <c r="BI1196" s="15"/>
      <c r="BJ1196" s="15"/>
      <c r="BK1196" s="15"/>
      <c r="BL1196" s="15"/>
      <c r="BM1196" s="15"/>
      <c r="BN1196" s="15"/>
      <c r="BO1196" s="15"/>
      <c r="BP1196" s="15"/>
      <c r="BQ1196" s="15"/>
      <c r="BR1196" s="15"/>
      <c r="BS1196" s="15"/>
      <c r="BT1196" s="15"/>
      <c r="BU1196" s="15"/>
      <c r="BV1196" s="15"/>
      <c r="BW1196" s="15"/>
      <c r="BX1196" s="15"/>
      <c r="BY1196" s="15"/>
      <c r="BZ1196" s="15"/>
      <c r="CA1196" s="15"/>
      <c r="CB1196" s="15"/>
    </row>
    <row r="1197" spans="1:80" ht="12.75" hidden="1" customHeight="1">
      <c r="A1197" s="20">
        <f ca="1">IFERROR(__xludf.DUMMYFUNCTION("""COMPUTED_VALUE"""),2016)</f>
        <v>2016</v>
      </c>
      <c r="B1197" s="45">
        <f ca="1">IFERROR(__xludf.DUMMYFUNCTION("""COMPUTED_VALUE"""),43188)</f>
        <v>43188</v>
      </c>
      <c r="C1197" s="46">
        <f ca="1">IFERROR(__xludf.DUMMYFUNCTION("""COMPUTED_VALUE"""),43182)</f>
        <v>43182</v>
      </c>
      <c r="D1197" s="47" t="str">
        <f ca="1">IFERROR(__xludf.DUMMYFUNCTION("""COMPUTED_VALUE"""),"Slavonian Grebe")</f>
        <v>Slavonian Grebe</v>
      </c>
      <c r="E1197" s="52">
        <f ca="1">IFERROR(__xludf.DUMMYFUNCTION("""COMPUTED_VALUE"""),1)</f>
        <v>1</v>
      </c>
      <c r="F1197" s="25"/>
      <c r="G1197" s="48" t="str">
        <f ca="1">IFERROR(__xludf.DUMMYFUNCTION("""COMPUTED_VALUE"""),"Hoylake")</f>
        <v>Hoylake</v>
      </c>
      <c r="H1197" s="57">
        <f ca="1">IFERROR(__xludf.DUMMYFUNCTION("""COMPUTED_VALUE"""),42453)</f>
        <v>42453</v>
      </c>
      <c r="I1197" s="22">
        <f ca="1">IFERROR(__xludf.DUMMYFUNCTION("""COMPUTED_VALUE"""),42453)</f>
        <v>42453</v>
      </c>
      <c r="J1197" s="24" t="str">
        <f ca="1">IFERROR(__xludf.DUMMYFUNCTION("""COMPUTED_VALUE"""),"Turner, JE")</f>
        <v>Turner, JE</v>
      </c>
      <c r="K1197" s="25" t="str">
        <f ca="1">IFERROR(__xludf.DUMMYFUNCTION("""COMPUTED_VALUE"""),"Turner, JE")</f>
        <v>Turner, JE</v>
      </c>
      <c r="L1197" s="27" t="str">
        <f ca="1">IFERROR(__xludf.DUMMYFUNCTION("""COMPUTED_VALUE"""),"closed")</f>
        <v>closed</v>
      </c>
      <c r="M1197" s="27" t="str">
        <f ca="1">IFERROR(__xludf.DUMMYFUNCTION("""COMPUTED_VALUE"""),"1st U")</f>
        <v>1st U</v>
      </c>
      <c r="N1197" s="25" t="str">
        <f ca="1">IFERROR(__xludf.DUMMYFUNCTION("""COMPUTED_VALUE"""),"accepted")</f>
        <v>accepted</v>
      </c>
      <c r="O1197" s="28"/>
      <c r="P1197" s="25"/>
      <c r="Q1197" s="25"/>
      <c r="R1197" s="25"/>
      <c r="S1197" s="25"/>
      <c r="T1197" s="25"/>
      <c r="U1197" s="25"/>
      <c r="V1197" s="25"/>
      <c r="W1197" s="25"/>
      <c r="X1197" s="25"/>
      <c r="Y1197" s="25"/>
      <c r="Z1197" s="25"/>
      <c r="AA1197" s="25"/>
      <c r="AB1197" s="25"/>
      <c r="AC1197" s="25"/>
      <c r="AD1197" s="25"/>
      <c r="AE1197" s="25"/>
      <c r="AF1197" s="25"/>
      <c r="AG1197" s="25"/>
      <c r="AH1197" s="25"/>
      <c r="AI1197" s="25"/>
      <c r="AJ1197" s="25"/>
      <c r="AK1197" s="25"/>
      <c r="AL1197" s="25"/>
      <c r="AM1197" s="25"/>
      <c r="AN1197" s="25"/>
      <c r="AO1197" s="25"/>
      <c r="AP1197" s="25"/>
      <c r="AQ1197" s="25"/>
      <c r="AR1197" s="25"/>
      <c r="AS1197" s="25"/>
      <c r="AT1197" s="25"/>
      <c r="AU1197" s="25"/>
      <c r="AV1197" s="25"/>
      <c r="AW1197" s="25"/>
      <c r="AX1197" s="25"/>
      <c r="AY1197" s="25"/>
      <c r="AZ1197" s="25"/>
      <c r="BA1197" s="25"/>
      <c r="BB1197" s="25"/>
      <c r="BC1197" s="25"/>
      <c r="BD1197" s="25"/>
      <c r="BE1197" s="25"/>
      <c r="BF1197" s="25"/>
      <c r="BG1197" s="25"/>
      <c r="BH1197" s="25"/>
      <c r="BI1197" s="25"/>
      <c r="BJ1197" s="25"/>
      <c r="BK1197" s="25"/>
      <c r="BL1197" s="25"/>
      <c r="BM1197" s="25"/>
      <c r="BN1197" s="25"/>
      <c r="BO1197" s="25"/>
      <c r="BP1197" s="25"/>
      <c r="BQ1197" s="25"/>
      <c r="BR1197" s="25"/>
      <c r="BS1197" s="25"/>
      <c r="BT1197" s="25"/>
      <c r="BU1197" s="25"/>
      <c r="BV1197" s="25"/>
      <c r="BW1197" s="25"/>
      <c r="BX1197" s="25"/>
      <c r="BY1197" s="25"/>
      <c r="BZ1197" s="25"/>
      <c r="CA1197" s="25"/>
      <c r="CB1197" s="25"/>
    </row>
    <row r="1198" spans="1:80" ht="12.75" hidden="1" customHeight="1">
      <c r="A1198" s="10">
        <f ca="1">IFERROR(__xludf.DUMMYFUNCTION("""COMPUTED_VALUE"""),2016)</f>
        <v>2016</v>
      </c>
      <c r="B1198" s="50">
        <f ca="1">IFERROR(__xludf.DUMMYFUNCTION("""COMPUTED_VALUE"""),43160)</f>
        <v>43160</v>
      </c>
      <c r="C1198" s="41"/>
      <c r="D1198" s="42" t="str">
        <f ca="1">IFERROR(__xludf.DUMMYFUNCTION("""COMPUTED_VALUE"""),"Black-necked Grebe")</f>
        <v>Black-necked Grebe</v>
      </c>
      <c r="E1198" s="53">
        <f ca="1">IFERROR(__xludf.DUMMYFUNCTION("""COMPUTED_VALUE"""),43132)</f>
        <v>43132</v>
      </c>
      <c r="F1198" s="15"/>
      <c r="G1198" s="44" t="str">
        <f ca="1">IFERROR(__xludf.DUMMYFUNCTION("""COMPUTED_VALUE"""),"Lapwing lane Quarries Moore")</f>
        <v>Lapwing lane Quarries Moore</v>
      </c>
      <c r="H1198" s="60">
        <f ca="1">IFERROR(__xludf.DUMMYFUNCTION("""COMPUTED_VALUE"""),42370)</f>
        <v>42370</v>
      </c>
      <c r="I1198" s="12">
        <f ca="1">IFERROR(__xludf.DUMMYFUNCTION("""COMPUTED_VALUE"""),42467)</f>
        <v>42467</v>
      </c>
      <c r="J1198" s="75" t="str">
        <f ca="1">IFERROR(__xludf.DUMMYFUNCTION("""COMPUTED_VALUE"""),"Barber, S&amp;G")</f>
        <v>Barber, S&amp;G</v>
      </c>
      <c r="K1198" s="15"/>
      <c r="L1198" s="17" t="str">
        <f ca="1">IFERROR(__xludf.DUMMYFUNCTION("""COMPUTED_VALUE"""),"closed")</f>
        <v>closed</v>
      </c>
      <c r="M1198" s="17" t="str">
        <f ca="1">IFERROR(__xludf.DUMMYFUNCTION("""COMPUTED_VALUE"""),"proxy")</f>
        <v>proxy</v>
      </c>
      <c r="N1198" s="15" t="str">
        <f ca="1">IFERROR(__xludf.DUMMYFUNCTION("""COMPUTED_VALUE"""),"accepted")</f>
        <v>accepted</v>
      </c>
      <c r="O1198" s="76" t="str">
        <f ca="1">IFERROR(__xludf.DUMMYFUNCTION("""COMPUTED_VALUE"""),"in summer plumage in APril - again from Jul to year end")</f>
        <v>in summer plumage in APril - again from Jul to year end</v>
      </c>
      <c r="P1198" s="58"/>
      <c r="Q1198" s="15"/>
      <c r="R1198" s="58"/>
      <c r="S1198" s="15"/>
      <c r="T1198" s="15"/>
      <c r="U1198" s="15"/>
      <c r="V1198" s="15"/>
      <c r="W1198" s="15"/>
      <c r="X1198" s="15"/>
      <c r="Y1198" s="15"/>
      <c r="Z1198" s="15"/>
      <c r="AA1198" s="15"/>
      <c r="AB1198" s="15"/>
      <c r="AC1198" s="15"/>
      <c r="AD1198" s="15"/>
      <c r="AE1198" s="15"/>
      <c r="AF1198" s="15"/>
      <c r="AG1198" s="15"/>
      <c r="AH1198" s="15"/>
      <c r="AI1198" s="15"/>
      <c r="AJ1198" s="15"/>
      <c r="AK1198" s="15"/>
      <c r="AL1198" s="15"/>
      <c r="AM1198" s="15"/>
      <c r="AN1198" s="15"/>
      <c r="AO1198" s="15"/>
      <c r="AP1198" s="15"/>
      <c r="AQ1198" s="15"/>
      <c r="AR1198" s="15"/>
      <c r="AS1198" s="15"/>
      <c r="AT1198" s="15"/>
      <c r="AU1198" s="15"/>
      <c r="AV1198" s="15"/>
      <c r="AW1198" s="15"/>
      <c r="AX1198" s="15"/>
      <c r="AY1198" s="15"/>
      <c r="AZ1198" s="15"/>
      <c r="BA1198" s="15"/>
      <c r="BB1198" s="15"/>
      <c r="BC1198" s="15"/>
      <c r="BD1198" s="15"/>
      <c r="BE1198" s="15"/>
      <c r="BF1198" s="15"/>
      <c r="BG1198" s="15"/>
      <c r="BH1198" s="15"/>
      <c r="BI1198" s="15"/>
      <c r="BJ1198" s="15"/>
      <c r="BK1198" s="15"/>
      <c r="BL1198" s="15"/>
      <c r="BM1198" s="15"/>
      <c r="BN1198" s="15"/>
      <c r="BO1198" s="15"/>
      <c r="BP1198" s="15"/>
      <c r="BQ1198" s="15"/>
      <c r="BR1198" s="15"/>
      <c r="BS1198" s="15"/>
      <c r="BT1198" s="15"/>
      <c r="BU1198" s="15"/>
      <c r="BV1198" s="15"/>
      <c r="BW1198" s="15"/>
      <c r="BX1198" s="15"/>
      <c r="BY1198" s="15"/>
      <c r="BZ1198" s="15"/>
      <c r="CA1198" s="15"/>
      <c r="CB1198" s="15"/>
    </row>
    <row r="1199" spans="1:80" ht="12.75" hidden="1" customHeight="1">
      <c r="A1199" s="20">
        <f ca="1">IFERROR(__xludf.DUMMYFUNCTION("""COMPUTED_VALUE"""),2016)</f>
        <v>2016</v>
      </c>
      <c r="B1199" s="45">
        <f ca="1">IFERROR(__xludf.DUMMYFUNCTION("""COMPUTED_VALUE"""),42985)</f>
        <v>42985</v>
      </c>
      <c r="C1199" s="46">
        <f ca="1">IFERROR(__xludf.DUMMYFUNCTION("""COMPUTED_VALUE"""),42985)</f>
        <v>42985</v>
      </c>
      <c r="D1199" s="47" t="str">
        <f ca="1">IFERROR(__xludf.DUMMYFUNCTION("""COMPUTED_VALUE"""),"Black-necked Grebe")</f>
        <v>Black-necked Grebe</v>
      </c>
      <c r="E1199" s="52">
        <f ca="1">IFERROR(__xludf.DUMMYFUNCTION("""COMPUTED_VALUE"""),1)</f>
        <v>1</v>
      </c>
      <c r="F1199" s="25"/>
      <c r="G1199" s="48" t="str">
        <f ca="1">IFERROR(__xludf.DUMMYFUNCTION("""COMPUTED_VALUE"""),"Lapwing lane Quarries Moore")</f>
        <v>Lapwing lane Quarries Moore</v>
      </c>
      <c r="H1199" s="57">
        <f ca="1">IFERROR(__xludf.DUMMYFUNCTION("""COMPUTED_VALUE"""),42399)</f>
        <v>42399</v>
      </c>
      <c r="I1199" s="23"/>
      <c r="J1199" s="24" t="str">
        <f ca="1">IFERROR(__xludf.DUMMYFUNCTION("""COMPUTED_VALUE"""),"Bowyer,T")</f>
        <v>Bowyer,T</v>
      </c>
      <c r="K1199" s="25" t="str">
        <f ca="1">IFERROR(__xludf.DUMMYFUNCTION("""COMPUTED_VALUE"""),"Barber, S&amp;G")</f>
        <v>Barber, S&amp;G</v>
      </c>
      <c r="L1199" s="27" t="str">
        <f ca="1">IFERROR(__xludf.DUMMYFUNCTION("""COMPUTED_VALUE"""),"closed")</f>
        <v>closed</v>
      </c>
      <c r="M1199" s="27" t="str">
        <f ca="1">IFERROR(__xludf.DUMMYFUNCTION("""COMPUTED_VALUE"""),"proxy")</f>
        <v>proxy</v>
      </c>
      <c r="N1199" s="25" t="str">
        <f ca="1">IFERROR(__xludf.DUMMYFUNCTION("""COMPUTED_VALUE"""),"accepted")</f>
        <v>accepted</v>
      </c>
      <c r="O1199" s="28"/>
      <c r="P1199" s="25"/>
      <c r="Q1199" s="25"/>
      <c r="R1199" s="25"/>
      <c r="S1199" s="25"/>
      <c r="T1199" s="25"/>
      <c r="U1199" s="25"/>
      <c r="V1199" s="25"/>
      <c r="W1199" s="25"/>
      <c r="X1199" s="25"/>
      <c r="Y1199" s="25"/>
      <c r="Z1199" s="25"/>
      <c r="AA1199" s="25"/>
      <c r="AB1199" s="25"/>
      <c r="AC1199" s="25"/>
      <c r="AD1199" s="25"/>
      <c r="AE1199" s="25"/>
      <c r="AF1199" s="25"/>
      <c r="AG1199" s="25"/>
      <c r="AH1199" s="25"/>
      <c r="AI1199" s="25"/>
      <c r="AJ1199" s="25"/>
      <c r="AK1199" s="25"/>
      <c r="AL1199" s="25"/>
      <c r="AM1199" s="25"/>
      <c r="AN1199" s="25"/>
      <c r="AO1199" s="25"/>
      <c r="AP1199" s="25"/>
      <c r="AQ1199" s="25"/>
      <c r="AR1199" s="25"/>
      <c r="AS1199" s="25"/>
      <c r="AT1199" s="25"/>
      <c r="AU1199" s="25"/>
      <c r="AV1199" s="25"/>
      <c r="AW1199" s="25"/>
      <c r="AX1199" s="25"/>
      <c r="AY1199" s="25"/>
      <c r="AZ1199" s="25"/>
      <c r="BA1199" s="25"/>
      <c r="BB1199" s="25"/>
      <c r="BC1199" s="25"/>
      <c r="BD1199" s="25"/>
      <c r="BE1199" s="25"/>
      <c r="BF1199" s="25"/>
      <c r="BG1199" s="25"/>
      <c r="BH1199" s="25"/>
      <c r="BI1199" s="25"/>
      <c r="BJ1199" s="25"/>
      <c r="BK1199" s="25"/>
      <c r="BL1199" s="25"/>
      <c r="BM1199" s="25"/>
      <c r="BN1199" s="25"/>
      <c r="BO1199" s="25"/>
      <c r="BP1199" s="25"/>
      <c r="BQ1199" s="25"/>
      <c r="BR1199" s="25"/>
      <c r="BS1199" s="25"/>
      <c r="BT1199" s="25"/>
      <c r="BU1199" s="25"/>
      <c r="BV1199" s="25"/>
      <c r="BW1199" s="25"/>
      <c r="BX1199" s="25"/>
      <c r="BY1199" s="25"/>
      <c r="BZ1199" s="25"/>
      <c r="CA1199" s="25"/>
      <c r="CB1199" s="25"/>
    </row>
    <row r="1200" spans="1:80" ht="12.75" hidden="1" customHeight="1">
      <c r="A1200" s="10">
        <f ca="1">IFERROR(__xludf.DUMMYFUNCTION("""COMPUTED_VALUE"""),2016)</f>
        <v>2016</v>
      </c>
      <c r="B1200" s="50">
        <f ca="1">IFERROR(__xludf.DUMMYFUNCTION("""COMPUTED_VALUE"""),43313)</f>
        <v>43313</v>
      </c>
      <c r="C1200" s="41">
        <f ca="1">IFERROR(__xludf.DUMMYFUNCTION("""COMPUTED_VALUE"""),43207)</f>
        <v>43207</v>
      </c>
      <c r="D1200" s="42" t="str">
        <f ca="1">IFERROR(__xludf.DUMMYFUNCTION("""COMPUTED_VALUE"""),"Temminck's Stint")</f>
        <v>Temminck's Stint</v>
      </c>
      <c r="E1200" s="53">
        <f ca="1">IFERROR(__xludf.DUMMYFUNCTION("""COMPUTED_VALUE"""),1)</f>
        <v>1</v>
      </c>
      <c r="F1200" s="15"/>
      <c r="G1200" s="44" t="str">
        <f ca="1">IFERROR(__xludf.DUMMYFUNCTION("""COMPUTED_VALUE"""),"Carr Lane Pools, Hale")</f>
        <v>Carr Lane Pools, Hale</v>
      </c>
      <c r="H1200" s="12">
        <f ca="1">IFERROR(__xludf.DUMMYFUNCTION("""COMPUTED_VALUE"""),42499)</f>
        <v>42499</v>
      </c>
      <c r="I1200" s="12">
        <f ca="1">IFERROR(__xludf.DUMMYFUNCTION("""COMPUTED_VALUE"""),42502)</f>
        <v>42502</v>
      </c>
      <c r="J1200" s="14" t="str">
        <f ca="1">IFERROR(__xludf.DUMMYFUNCTION("""COMPUTED_VALUE"""),"Craven, D")</f>
        <v>Craven, D</v>
      </c>
      <c r="K1200" s="15" t="str">
        <f ca="1">IFERROR(__xludf.DUMMYFUNCTION("""COMPUTED_VALUE"""),"Craven, D")</f>
        <v>Craven, D</v>
      </c>
      <c r="L1200" s="17" t="str">
        <f ca="1">IFERROR(__xludf.DUMMYFUNCTION("""COMPUTED_VALUE"""),"closed")</f>
        <v>closed</v>
      </c>
      <c r="M1200" s="17" t="str">
        <f ca="1">IFERROR(__xludf.DUMMYFUNCTION("""COMPUTED_VALUE"""),"1st U")</f>
        <v>1st U</v>
      </c>
      <c r="N1200" s="15" t="str">
        <f ca="1">IFERROR(__xludf.DUMMYFUNCTION("""COMPUTED_VALUE"""),"accepted")</f>
        <v>accepted</v>
      </c>
      <c r="O1200" s="18"/>
      <c r="P1200" s="15"/>
      <c r="Q1200" s="15"/>
      <c r="R1200" s="15"/>
      <c r="S1200" s="15"/>
      <c r="T1200" s="15"/>
      <c r="U1200" s="15"/>
      <c r="V1200" s="15"/>
      <c r="W1200" s="15"/>
      <c r="X1200" s="15"/>
      <c r="Y1200" s="15"/>
      <c r="Z1200" s="15"/>
      <c r="AA1200" s="15"/>
      <c r="AB1200" s="15"/>
      <c r="AC1200" s="15"/>
      <c r="AD1200" s="15"/>
      <c r="AE1200" s="15"/>
      <c r="AF1200" s="15"/>
      <c r="AG1200" s="15"/>
      <c r="AH1200" s="15"/>
      <c r="AI1200" s="15"/>
      <c r="AJ1200" s="15"/>
      <c r="AK1200" s="15"/>
      <c r="AL1200" s="15"/>
      <c r="AM1200" s="15"/>
      <c r="AN1200" s="15"/>
      <c r="AO1200" s="15"/>
      <c r="AP1200" s="15"/>
      <c r="AQ1200" s="15"/>
      <c r="AR1200" s="15"/>
      <c r="AS1200" s="15"/>
      <c r="AT1200" s="15"/>
      <c r="AU1200" s="15"/>
      <c r="AV1200" s="15"/>
      <c r="AW1200" s="15"/>
      <c r="AX1200" s="15"/>
      <c r="AY1200" s="15"/>
      <c r="AZ1200" s="15"/>
      <c r="BA1200" s="15"/>
      <c r="BB1200" s="15"/>
      <c r="BC1200" s="15"/>
      <c r="BD1200" s="15"/>
      <c r="BE1200" s="15"/>
      <c r="BF1200" s="15"/>
      <c r="BG1200" s="15"/>
      <c r="BH1200" s="15"/>
      <c r="BI1200" s="15"/>
      <c r="BJ1200" s="15"/>
      <c r="BK1200" s="15"/>
      <c r="BL1200" s="15"/>
      <c r="BM1200" s="15"/>
      <c r="BN1200" s="15"/>
      <c r="BO1200" s="15"/>
      <c r="BP1200" s="15"/>
      <c r="BQ1200" s="15"/>
      <c r="BR1200" s="15"/>
      <c r="BS1200" s="15"/>
      <c r="BT1200" s="15"/>
      <c r="BU1200" s="15"/>
      <c r="BV1200" s="15"/>
      <c r="BW1200" s="15"/>
      <c r="BX1200" s="15"/>
      <c r="BY1200" s="15"/>
      <c r="BZ1200" s="15"/>
      <c r="CA1200" s="15"/>
      <c r="CB1200" s="15"/>
    </row>
    <row r="1201" spans="1:80" ht="12.75" hidden="1" customHeight="1">
      <c r="A1201" s="20">
        <f ca="1">IFERROR(__xludf.DUMMYFUNCTION("""COMPUTED_VALUE"""),2016)</f>
        <v>2016</v>
      </c>
      <c r="B1201" s="45">
        <f ca="1">IFERROR(__xludf.DUMMYFUNCTION("""COMPUTED_VALUE"""),43185)</f>
        <v>43185</v>
      </c>
      <c r="C1201" s="46">
        <f ca="1">IFERROR(__xludf.DUMMYFUNCTION("""COMPUTED_VALUE"""),43185)</f>
        <v>43185</v>
      </c>
      <c r="D1201" s="47" t="str">
        <f ca="1">IFERROR(__xludf.DUMMYFUNCTION("""COMPUTED_VALUE"""),"Pectoral Sandpiper")</f>
        <v>Pectoral Sandpiper</v>
      </c>
      <c r="E1201" s="52">
        <f ca="1">IFERROR(__xludf.DUMMYFUNCTION("""COMPUTED_VALUE"""),1)</f>
        <v>1</v>
      </c>
      <c r="F1201" s="25"/>
      <c r="G1201" s="48" t="str">
        <f ca="1">IFERROR(__xludf.DUMMYFUNCTION("""COMPUTED_VALUE"""),"Carr Lane Pools Hale")</f>
        <v>Carr Lane Pools Hale</v>
      </c>
      <c r="H1201" s="22">
        <f ca="1">IFERROR(__xludf.DUMMYFUNCTION("""COMPUTED_VALUE"""),42644)</f>
        <v>42644</v>
      </c>
      <c r="I1201" s="23"/>
      <c r="J1201" s="24" t="str">
        <f ca="1">IFERROR(__xludf.DUMMYFUNCTION("""COMPUTED_VALUE"""),"Cockbain, R")</f>
        <v>Cockbain, R</v>
      </c>
      <c r="K1201" s="25" t="str">
        <f ca="1">IFERROR(__xludf.DUMMYFUNCTION("""COMPUTED_VALUE"""),"Cockbain, R")</f>
        <v>Cockbain, R</v>
      </c>
      <c r="L1201" s="27" t="str">
        <f ca="1">IFERROR(__xludf.DUMMYFUNCTION("""COMPUTED_VALUE"""),"closed")</f>
        <v>closed</v>
      </c>
      <c r="M1201" s="27" t="str">
        <f ca="1">IFERROR(__xludf.DUMMYFUNCTION("""COMPUTED_VALUE"""),"1st U")</f>
        <v>1st U</v>
      </c>
      <c r="N1201" s="25" t="str">
        <f ca="1">IFERROR(__xludf.DUMMYFUNCTION("""COMPUTED_VALUE"""),"Accepted")</f>
        <v>Accepted</v>
      </c>
      <c r="O1201" s="28"/>
      <c r="P1201" s="40"/>
      <c r="Q1201" s="25"/>
      <c r="R1201" s="25"/>
      <c r="S1201" s="25"/>
      <c r="T1201" s="25"/>
      <c r="U1201" s="25"/>
      <c r="V1201" s="25"/>
      <c r="W1201" s="25"/>
      <c r="X1201" s="25"/>
      <c r="Y1201" s="25"/>
      <c r="Z1201" s="25"/>
      <c r="AA1201" s="25"/>
      <c r="AB1201" s="25"/>
      <c r="AC1201" s="25"/>
      <c r="AD1201" s="25"/>
      <c r="AE1201" s="25"/>
      <c r="AF1201" s="25"/>
      <c r="AG1201" s="25"/>
      <c r="AH1201" s="25"/>
      <c r="AI1201" s="25"/>
      <c r="AJ1201" s="25"/>
      <c r="AK1201" s="25"/>
      <c r="AL1201" s="25"/>
      <c r="AM1201" s="25"/>
      <c r="AN1201" s="25"/>
      <c r="AO1201" s="25"/>
      <c r="AP1201" s="25"/>
      <c r="AQ1201" s="25"/>
      <c r="AR1201" s="25"/>
      <c r="AS1201" s="25"/>
      <c r="AT1201" s="25"/>
      <c r="AU1201" s="25"/>
      <c r="AV1201" s="25"/>
      <c r="AW1201" s="25"/>
      <c r="AX1201" s="25"/>
      <c r="AY1201" s="25"/>
      <c r="AZ1201" s="25"/>
      <c r="BA1201" s="25"/>
      <c r="BB1201" s="25"/>
      <c r="BC1201" s="25"/>
      <c r="BD1201" s="25"/>
      <c r="BE1201" s="25"/>
      <c r="BF1201" s="25"/>
      <c r="BG1201" s="25"/>
      <c r="BH1201" s="25"/>
      <c r="BI1201" s="25"/>
      <c r="BJ1201" s="25"/>
      <c r="BK1201" s="25"/>
      <c r="BL1201" s="25"/>
      <c r="BM1201" s="25"/>
      <c r="BN1201" s="25"/>
      <c r="BO1201" s="25"/>
      <c r="BP1201" s="25"/>
      <c r="BQ1201" s="25"/>
      <c r="BR1201" s="25"/>
      <c r="BS1201" s="25"/>
      <c r="BT1201" s="25"/>
      <c r="BU1201" s="25"/>
      <c r="BV1201" s="25"/>
      <c r="BW1201" s="25"/>
      <c r="BX1201" s="25"/>
      <c r="BY1201" s="25"/>
      <c r="BZ1201" s="25"/>
      <c r="CA1201" s="25"/>
      <c r="CB1201" s="25"/>
    </row>
    <row r="1202" spans="1:80" ht="12.75" hidden="1" customHeight="1">
      <c r="A1202" s="10">
        <f ca="1">IFERROR(__xludf.DUMMYFUNCTION("""COMPUTED_VALUE"""),2016)</f>
        <v>2016</v>
      </c>
      <c r="B1202" s="50">
        <f ca="1">IFERROR(__xludf.DUMMYFUNCTION("""COMPUTED_VALUE"""),43318)</f>
        <v>43318</v>
      </c>
      <c r="C1202" s="41">
        <f ca="1">IFERROR(__xludf.DUMMYFUNCTION("""COMPUTED_VALUE"""),43313)</f>
        <v>43313</v>
      </c>
      <c r="D1202" s="42" t="str">
        <f ca="1">IFERROR(__xludf.DUMMYFUNCTION("""COMPUTED_VALUE"""),"Red-necked Phalarope")</f>
        <v>Red-necked Phalarope</v>
      </c>
      <c r="E1202" s="53">
        <f ca="1">IFERROR(__xludf.DUMMYFUNCTION("""COMPUTED_VALUE"""),2)</f>
        <v>2</v>
      </c>
      <c r="F1202" s="15" t="str">
        <f ca="1">IFERROR(__xludf.DUMMYFUNCTION("""COMPUTED_VALUE"""),"mf")</f>
        <v>mf</v>
      </c>
      <c r="G1202" s="44" t="str">
        <f ca="1">IFERROR(__xludf.DUMMYFUNCTION("""COMPUTED_VALUE"""),"No. 3 Bed, Woolston Eyes")</f>
        <v>No. 3 Bed, Woolston Eyes</v>
      </c>
      <c r="H1202" s="12">
        <f ca="1">IFERROR(__xludf.DUMMYFUNCTION("""COMPUTED_VALUE"""),42531)</f>
        <v>42531</v>
      </c>
      <c r="I1202" s="12">
        <f ca="1">IFERROR(__xludf.DUMMYFUNCTION("""COMPUTED_VALUE"""),42531)</f>
        <v>42531</v>
      </c>
      <c r="J1202" s="14" t="str">
        <f ca="1">IFERROR(__xludf.DUMMYFUNCTION("""COMPUTED_VALUE"""),"Pitts,R")</f>
        <v>Pitts,R</v>
      </c>
      <c r="K1202" s="15" t="str">
        <f ca="1">IFERROR(__xludf.DUMMYFUNCTION("""COMPUTED_VALUE"""),"Kieran? ")</f>
        <v xml:space="preserve">Kieran? </v>
      </c>
      <c r="L1202" s="17" t="str">
        <f ca="1">IFERROR(__xludf.DUMMYFUNCTION("""COMPUTED_VALUE"""),"closed")</f>
        <v>closed</v>
      </c>
      <c r="M1202" s="17" t="str">
        <f ca="1">IFERROR(__xludf.DUMMYFUNCTION("""COMPUTED_VALUE"""),"1st U")</f>
        <v>1st U</v>
      </c>
      <c r="N1202" s="15" t="str">
        <f ca="1">IFERROR(__xludf.DUMMYFUNCTION("""COMPUTED_VALUE"""),"accepted")</f>
        <v>accepted</v>
      </c>
      <c r="O1202" s="18"/>
      <c r="P1202" s="15"/>
      <c r="Q1202" s="15"/>
      <c r="R1202" s="15"/>
      <c r="S1202" s="15"/>
      <c r="T1202" s="15"/>
      <c r="U1202" s="15"/>
      <c r="V1202" s="15"/>
      <c r="W1202" s="15"/>
      <c r="X1202" s="15"/>
      <c r="Y1202" s="15"/>
      <c r="Z1202" s="15"/>
      <c r="AA1202" s="15"/>
      <c r="AB1202" s="15"/>
      <c r="AC1202" s="15"/>
      <c r="AD1202" s="15"/>
      <c r="AE1202" s="15"/>
      <c r="AF1202" s="15"/>
      <c r="AG1202" s="15"/>
      <c r="AH1202" s="15"/>
      <c r="AI1202" s="15"/>
      <c r="AJ1202" s="15"/>
      <c r="AK1202" s="15"/>
      <c r="AL1202" s="15"/>
      <c r="AM1202" s="15"/>
      <c r="AN1202" s="15"/>
      <c r="AO1202" s="15"/>
      <c r="AP1202" s="15"/>
      <c r="AQ1202" s="15"/>
      <c r="AR1202" s="15"/>
      <c r="AS1202" s="15"/>
      <c r="AT1202" s="15"/>
      <c r="AU1202" s="15"/>
      <c r="AV1202" s="15"/>
      <c r="AW1202" s="15"/>
      <c r="AX1202" s="15"/>
      <c r="AY1202" s="15"/>
      <c r="AZ1202" s="15"/>
      <c r="BA1202" s="15"/>
      <c r="BB1202" s="15"/>
      <c r="BC1202" s="15"/>
      <c r="BD1202" s="15"/>
      <c r="BE1202" s="15"/>
      <c r="BF1202" s="15"/>
      <c r="BG1202" s="15"/>
      <c r="BH1202" s="15"/>
      <c r="BI1202" s="15"/>
      <c r="BJ1202" s="15"/>
      <c r="BK1202" s="15"/>
      <c r="BL1202" s="15"/>
      <c r="BM1202" s="15"/>
      <c r="BN1202" s="15"/>
      <c r="BO1202" s="15"/>
      <c r="BP1202" s="15"/>
      <c r="BQ1202" s="15"/>
      <c r="BR1202" s="15"/>
      <c r="BS1202" s="15"/>
      <c r="BT1202" s="15"/>
      <c r="BU1202" s="15"/>
      <c r="BV1202" s="15"/>
      <c r="BW1202" s="15"/>
      <c r="BX1202" s="15"/>
      <c r="BY1202" s="15"/>
      <c r="BZ1202" s="15"/>
      <c r="CA1202" s="15"/>
      <c r="CB1202" s="15"/>
    </row>
    <row r="1203" spans="1:80" ht="12.75" hidden="1" customHeight="1">
      <c r="A1203" s="20">
        <f ca="1">IFERROR(__xludf.DUMMYFUNCTION("""COMPUTED_VALUE"""),2016)</f>
        <v>2016</v>
      </c>
      <c r="B1203" s="45">
        <f ca="1">IFERROR(__xludf.DUMMYFUNCTION("""COMPUTED_VALUE"""),43207)</f>
        <v>43207</v>
      </c>
      <c r="C1203" s="46">
        <f ca="1">IFERROR(__xludf.DUMMYFUNCTION("""COMPUTED_VALUE"""),43185)</f>
        <v>43185</v>
      </c>
      <c r="D1203" s="47" t="str">
        <f ca="1">IFERROR(__xludf.DUMMYFUNCTION("""COMPUTED_VALUE"""),"Sabine's Gull")</f>
        <v>Sabine's Gull</v>
      </c>
      <c r="E1203" s="52">
        <f ca="1">IFERROR(__xludf.DUMMYFUNCTION("""COMPUTED_VALUE"""),1)</f>
        <v>1</v>
      </c>
      <c r="F1203" s="25" t="str">
        <f ca="1">IFERROR(__xludf.DUMMYFUNCTION("""COMPUTED_VALUE"""),"2nd cal?")</f>
        <v>2nd cal?</v>
      </c>
      <c r="G1203" s="48" t="str">
        <f ca="1">IFERROR(__xludf.DUMMYFUNCTION("""COMPUTED_VALUE"""),"Elton Hall Flash, Sandbach")</f>
        <v>Elton Hall Flash, Sandbach</v>
      </c>
      <c r="H1203" s="22">
        <f ca="1">IFERROR(__xludf.DUMMYFUNCTION("""COMPUTED_VALUE"""),42563)</f>
        <v>42563</v>
      </c>
      <c r="I1203" s="23"/>
      <c r="J1203" s="24" t="str">
        <f ca="1">IFERROR(__xludf.DUMMYFUNCTION("""COMPUTED_VALUE"""),"Goodwin, A")</f>
        <v>Goodwin, A</v>
      </c>
      <c r="K1203" s="25" t="str">
        <f ca="1">IFERROR(__xludf.DUMMYFUNCTION("""COMPUTED_VALUE"""),"Goodwin, A")</f>
        <v>Goodwin, A</v>
      </c>
      <c r="L1203" s="27" t="str">
        <f ca="1">IFERROR(__xludf.DUMMYFUNCTION("""COMPUTED_VALUE"""),"closed")</f>
        <v>closed</v>
      </c>
      <c r="M1203" s="27" t="str">
        <f ca="1">IFERROR(__xludf.DUMMYFUNCTION("""COMPUTED_VALUE"""),"1st U")</f>
        <v>1st U</v>
      </c>
      <c r="N1203" s="25" t="str">
        <f ca="1">IFERROR(__xludf.DUMMYFUNCTION("""COMPUTED_VALUE"""),"accepted")</f>
        <v>accepted</v>
      </c>
      <c r="O1203" s="28" t="str">
        <f ca="1">IFERROR(__xludf.DUMMYFUNCTION("""COMPUTED_VALUE""")," ")</f>
        <v xml:space="preserve"> </v>
      </c>
      <c r="P1203" s="25"/>
      <c r="Q1203" s="25"/>
      <c r="R1203" s="25"/>
      <c r="S1203" s="25"/>
      <c r="T1203" s="25"/>
      <c r="U1203" s="25"/>
      <c r="V1203" s="25"/>
      <c r="W1203" s="25"/>
      <c r="X1203" s="25"/>
      <c r="Y1203" s="25"/>
      <c r="Z1203" s="25"/>
      <c r="AA1203" s="25"/>
      <c r="AB1203" s="25"/>
      <c r="AC1203" s="25"/>
      <c r="AD1203" s="25"/>
      <c r="AE1203" s="25"/>
      <c r="AF1203" s="25"/>
      <c r="AG1203" s="25"/>
      <c r="AH1203" s="25"/>
      <c r="AI1203" s="25"/>
      <c r="AJ1203" s="25"/>
      <c r="AK1203" s="25"/>
      <c r="AL1203" s="25"/>
      <c r="AM1203" s="25"/>
      <c r="AN1203" s="25"/>
      <c r="AO1203" s="25"/>
      <c r="AP1203" s="25"/>
      <c r="AQ1203" s="25"/>
      <c r="AR1203" s="25"/>
      <c r="AS1203" s="25"/>
      <c r="AT1203" s="25"/>
      <c r="AU1203" s="25"/>
      <c r="AV1203" s="25"/>
      <c r="AW1203" s="25"/>
      <c r="AX1203" s="25"/>
      <c r="AY1203" s="25"/>
      <c r="AZ1203" s="25"/>
      <c r="BA1203" s="25"/>
      <c r="BB1203" s="25"/>
      <c r="BC1203" s="25"/>
      <c r="BD1203" s="25"/>
      <c r="BE1203" s="25"/>
      <c r="BF1203" s="25"/>
      <c r="BG1203" s="25"/>
      <c r="BH1203" s="25"/>
      <c r="BI1203" s="25"/>
      <c r="BJ1203" s="25"/>
      <c r="BK1203" s="25"/>
      <c r="BL1203" s="25"/>
      <c r="BM1203" s="25"/>
      <c r="BN1203" s="25"/>
      <c r="BO1203" s="25"/>
      <c r="BP1203" s="25"/>
      <c r="BQ1203" s="25"/>
      <c r="BR1203" s="25"/>
      <c r="BS1203" s="25"/>
      <c r="BT1203" s="25"/>
      <c r="BU1203" s="25"/>
      <c r="BV1203" s="25"/>
      <c r="BW1203" s="25"/>
      <c r="BX1203" s="25"/>
      <c r="BY1203" s="25"/>
      <c r="BZ1203" s="25"/>
      <c r="CA1203" s="25"/>
      <c r="CB1203" s="25"/>
    </row>
    <row r="1204" spans="1:80" ht="12.75" hidden="1" customHeight="1">
      <c r="A1204" s="10">
        <f ca="1">IFERROR(__xludf.DUMMYFUNCTION("""COMPUTED_VALUE"""),2016)</f>
        <v>2016</v>
      </c>
      <c r="B1204" s="50">
        <f ca="1">IFERROR(__xludf.DUMMYFUNCTION("""COMPUTED_VALUE"""),43207)</f>
        <v>43207</v>
      </c>
      <c r="C1204" s="41">
        <f ca="1">IFERROR(__xludf.DUMMYFUNCTION("""COMPUTED_VALUE"""),43186)</f>
        <v>43186</v>
      </c>
      <c r="D1204" s="42" t="str">
        <f ca="1">IFERROR(__xludf.DUMMYFUNCTION("""COMPUTED_VALUE"""),"Caspian Gull")</f>
        <v>Caspian Gull</v>
      </c>
      <c r="E1204" s="53">
        <f ca="1">IFERROR(__xludf.DUMMYFUNCTION("""COMPUTED_VALUE"""),1)</f>
        <v>1</v>
      </c>
      <c r="F1204" s="15" t="str">
        <f ca="1">IFERROR(__xludf.DUMMYFUNCTION("""COMPUTED_VALUE"""),"2ndW")</f>
        <v>2ndW</v>
      </c>
      <c r="G1204" s="44" t="str">
        <f ca="1">IFERROR(__xludf.DUMMYFUNCTION("""COMPUTED_VALUE"""),"Moore Nature Reserve")</f>
        <v>Moore Nature Reserve</v>
      </c>
      <c r="H1204" s="12">
        <f ca="1">IFERROR(__xludf.DUMMYFUNCTION("""COMPUTED_VALUE"""),42378)</f>
        <v>42378</v>
      </c>
      <c r="I1204" s="12">
        <f ca="1">IFERROR(__xludf.DUMMYFUNCTION("""COMPUTED_VALUE"""),42380)</f>
        <v>42380</v>
      </c>
      <c r="J1204" s="14" t="str">
        <f ca="1">IFERROR(__xludf.DUMMYFUNCTION("""COMPUTED_VALUE"""),"Baker, G")</f>
        <v>Baker, G</v>
      </c>
      <c r="K1204" s="15" t="str">
        <f ca="1">IFERROR(__xludf.DUMMYFUNCTION("""COMPUTED_VALUE"""),"Nightingale, M")</f>
        <v>Nightingale, M</v>
      </c>
      <c r="L1204" s="17" t="str">
        <f ca="1">IFERROR(__xludf.DUMMYFUNCTION("""COMPUTED_VALUE"""),"closed")</f>
        <v>closed</v>
      </c>
      <c r="M1204" s="17" t="str">
        <f ca="1">IFERROR(__xludf.DUMMYFUNCTION("""COMPUTED_VALUE"""),"1st U")</f>
        <v>1st U</v>
      </c>
      <c r="N1204" s="15" t="str">
        <f ca="1">IFERROR(__xludf.DUMMYFUNCTION("""COMPUTED_VALUE"""),"accepted")</f>
        <v>accepted</v>
      </c>
      <c r="O1204" s="18" t="str">
        <f ca="1">IFERROR(__xludf.DUMMYFUNCTION("""COMPUTED_VALUE"""),"submitted on behalf of finders")</f>
        <v>submitted on behalf of finders</v>
      </c>
      <c r="P1204" s="15"/>
      <c r="Q1204" s="15"/>
      <c r="R1204" s="15"/>
      <c r="S1204" s="15"/>
      <c r="T1204" s="15"/>
      <c r="U1204" s="15"/>
      <c r="V1204" s="15"/>
      <c r="W1204" s="15"/>
      <c r="X1204" s="15"/>
      <c r="Y1204" s="15"/>
      <c r="Z1204" s="15"/>
      <c r="AA1204" s="15"/>
      <c r="AB1204" s="15"/>
      <c r="AC1204" s="15"/>
      <c r="AD1204" s="15"/>
      <c r="AE1204" s="15"/>
      <c r="AF1204" s="15"/>
      <c r="AG1204" s="15"/>
      <c r="AH1204" s="15"/>
      <c r="AI1204" s="15"/>
      <c r="AJ1204" s="15"/>
      <c r="AK1204" s="15"/>
      <c r="AL1204" s="15"/>
      <c r="AM1204" s="15"/>
      <c r="AN1204" s="15"/>
      <c r="AO1204" s="15"/>
      <c r="AP1204" s="15"/>
      <c r="AQ1204" s="15"/>
      <c r="AR1204" s="15"/>
      <c r="AS1204" s="15"/>
      <c r="AT1204" s="15"/>
      <c r="AU1204" s="15"/>
      <c r="AV1204" s="15"/>
      <c r="AW1204" s="15"/>
      <c r="AX1204" s="15"/>
      <c r="AY1204" s="15"/>
      <c r="AZ1204" s="15"/>
      <c r="BA1204" s="15"/>
      <c r="BB1204" s="15"/>
      <c r="BC1204" s="15"/>
      <c r="BD1204" s="15"/>
      <c r="BE1204" s="15"/>
      <c r="BF1204" s="15"/>
      <c r="BG1204" s="15"/>
      <c r="BH1204" s="15"/>
      <c r="BI1204" s="15"/>
      <c r="BJ1204" s="15"/>
      <c r="BK1204" s="15"/>
      <c r="BL1204" s="15"/>
      <c r="BM1204" s="15"/>
      <c r="BN1204" s="15"/>
      <c r="BO1204" s="15"/>
      <c r="BP1204" s="15"/>
      <c r="BQ1204" s="15"/>
      <c r="BR1204" s="15"/>
      <c r="BS1204" s="15"/>
      <c r="BT1204" s="15"/>
      <c r="BU1204" s="15"/>
      <c r="BV1204" s="15"/>
      <c r="BW1204" s="15"/>
      <c r="BX1204" s="15"/>
      <c r="BY1204" s="15"/>
      <c r="BZ1204" s="15"/>
      <c r="CA1204" s="15"/>
      <c r="CB1204" s="15"/>
    </row>
    <row r="1205" spans="1:80" ht="12.75" hidden="1" customHeight="1">
      <c r="A1205" s="20">
        <f ca="1">IFERROR(__xludf.DUMMYFUNCTION("""COMPUTED_VALUE"""),2016)</f>
        <v>2016</v>
      </c>
      <c r="B1205" s="45">
        <f ca="1">IFERROR(__xludf.DUMMYFUNCTION("""COMPUTED_VALUE"""),43207)</f>
        <v>43207</v>
      </c>
      <c r="C1205" s="46">
        <f ca="1">IFERROR(__xludf.DUMMYFUNCTION("""COMPUTED_VALUE"""),43186)</f>
        <v>43186</v>
      </c>
      <c r="D1205" s="47" t="str">
        <f ca="1">IFERROR(__xludf.DUMMYFUNCTION("""COMPUTED_VALUE"""),"Caspian Gull")</f>
        <v>Caspian Gull</v>
      </c>
      <c r="E1205" s="52">
        <f ca="1">IFERROR(__xludf.DUMMYFUNCTION("""COMPUTED_VALUE"""),1)</f>
        <v>1</v>
      </c>
      <c r="F1205" s="25" t="str">
        <f ca="1">IFERROR(__xludf.DUMMYFUNCTION("""COMPUTED_VALUE"""),"1st W")</f>
        <v>1st W</v>
      </c>
      <c r="G1205" s="48" t="str">
        <f ca="1">IFERROR(__xludf.DUMMYFUNCTION("""COMPUTED_VALUE"""),"Richmond Bank")</f>
        <v>Richmond Bank</v>
      </c>
      <c r="H1205" s="22">
        <f ca="1">IFERROR(__xludf.DUMMYFUNCTION("""COMPUTED_VALUE"""),42419)</f>
        <v>42419</v>
      </c>
      <c r="I1205" s="22">
        <f ca="1">IFERROR(__xludf.DUMMYFUNCTION("""COMPUTED_VALUE"""),42419)</f>
        <v>42419</v>
      </c>
      <c r="J1205" s="24" t="str">
        <f ca="1">IFERROR(__xludf.DUMMYFUNCTION("""COMPUTED_VALUE"""),"Baker, G")</f>
        <v>Baker, G</v>
      </c>
      <c r="K1205" s="25" t="str">
        <f ca="1">IFERROR(__xludf.DUMMYFUNCTION("""COMPUTED_VALUE"""),"McKerchar,I Berry,P")</f>
        <v>McKerchar,I Berry,P</v>
      </c>
      <c r="L1205" s="27" t="str">
        <f ca="1">IFERROR(__xludf.DUMMYFUNCTION("""COMPUTED_VALUE"""),"closed")</f>
        <v>closed</v>
      </c>
      <c r="M1205" s="27" t="str">
        <f ca="1">IFERROR(__xludf.DUMMYFUNCTION("""COMPUTED_VALUE"""),"1st M")</f>
        <v>1st M</v>
      </c>
      <c r="N1205" s="25" t="str">
        <f ca="1">IFERROR(__xludf.DUMMYFUNCTION("""COMPUTED_VALUE"""),"accepted")</f>
        <v>accepted</v>
      </c>
      <c r="O1205" s="28" t="str">
        <f ca="1">IFERROR(__xludf.DUMMYFUNCTION("""COMPUTED_VALUE"""),"submitted on behalf of finders")</f>
        <v>submitted on behalf of finders</v>
      </c>
      <c r="P1205" s="25"/>
      <c r="Q1205" s="25"/>
      <c r="R1205" s="25"/>
      <c r="S1205" s="25"/>
      <c r="T1205" s="25"/>
      <c r="U1205" s="25"/>
      <c r="V1205" s="25"/>
      <c r="W1205" s="25"/>
      <c r="X1205" s="25"/>
      <c r="Y1205" s="25"/>
      <c r="Z1205" s="25"/>
      <c r="AA1205" s="25"/>
      <c r="AB1205" s="25"/>
      <c r="AC1205" s="25"/>
      <c r="AD1205" s="25"/>
      <c r="AE1205" s="25"/>
      <c r="AF1205" s="25"/>
      <c r="AG1205" s="25"/>
      <c r="AH1205" s="25"/>
      <c r="AI1205" s="25"/>
      <c r="AJ1205" s="25"/>
      <c r="AK1205" s="25"/>
      <c r="AL1205" s="25"/>
      <c r="AM1205" s="25"/>
      <c r="AN1205" s="25"/>
      <c r="AO1205" s="25"/>
      <c r="AP1205" s="25"/>
      <c r="AQ1205" s="25"/>
      <c r="AR1205" s="25"/>
      <c r="AS1205" s="25"/>
      <c r="AT1205" s="25"/>
      <c r="AU1205" s="25"/>
      <c r="AV1205" s="25"/>
      <c r="AW1205" s="25"/>
      <c r="AX1205" s="25"/>
      <c r="AY1205" s="25"/>
      <c r="AZ1205" s="25"/>
      <c r="BA1205" s="25"/>
      <c r="BB1205" s="25"/>
      <c r="BC1205" s="25"/>
      <c r="BD1205" s="25"/>
      <c r="BE1205" s="25"/>
      <c r="BF1205" s="25"/>
      <c r="BG1205" s="25"/>
      <c r="BH1205" s="25"/>
      <c r="BI1205" s="25"/>
      <c r="BJ1205" s="25"/>
      <c r="BK1205" s="25"/>
      <c r="BL1205" s="25"/>
      <c r="BM1205" s="25"/>
      <c r="BN1205" s="25"/>
      <c r="BO1205" s="25"/>
      <c r="BP1205" s="25"/>
      <c r="BQ1205" s="25"/>
      <c r="BR1205" s="25"/>
      <c r="BS1205" s="25"/>
      <c r="BT1205" s="25"/>
      <c r="BU1205" s="25"/>
      <c r="BV1205" s="25"/>
      <c r="BW1205" s="25"/>
      <c r="BX1205" s="25"/>
      <c r="BY1205" s="25"/>
      <c r="BZ1205" s="25"/>
      <c r="CA1205" s="25"/>
      <c r="CB1205" s="25"/>
    </row>
    <row r="1206" spans="1:80" ht="12.75" hidden="1" customHeight="1">
      <c r="A1206" s="10">
        <f ca="1">IFERROR(__xludf.DUMMYFUNCTION("""COMPUTED_VALUE"""),2016)</f>
        <v>2016</v>
      </c>
      <c r="B1206" s="50">
        <f ca="1">IFERROR(__xludf.DUMMYFUNCTION("""COMPUTED_VALUE"""),43207)</f>
        <v>43207</v>
      </c>
      <c r="C1206" s="41">
        <f ca="1">IFERROR(__xludf.DUMMYFUNCTION("""COMPUTED_VALUE"""),43186)</f>
        <v>43186</v>
      </c>
      <c r="D1206" s="42" t="str">
        <f ca="1">IFERROR(__xludf.DUMMYFUNCTION("""COMPUTED_VALUE"""),"Caspian Gull")</f>
        <v>Caspian Gull</v>
      </c>
      <c r="E1206" s="53">
        <f ca="1">IFERROR(__xludf.DUMMYFUNCTION("""COMPUTED_VALUE"""),1)</f>
        <v>1</v>
      </c>
      <c r="F1206" s="15"/>
      <c r="G1206" s="44" t="str">
        <f ca="1">IFERROR(__xludf.DUMMYFUNCTION("""COMPUTED_VALUE"""),"Richmond Bank")</f>
        <v>Richmond Bank</v>
      </c>
      <c r="H1206" s="12">
        <f ca="1">IFERROR(__xludf.DUMMYFUNCTION("""COMPUTED_VALUE"""),42468)</f>
        <v>42468</v>
      </c>
      <c r="I1206" s="12">
        <f ca="1">IFERROR(__xludf.DUMMYFUNCTION("""COMPUTED_VALUE"""),42468)</f>
        <v>42468</v>
      </c>
      <c r="J1206" s="14" t="str">
        <f ca="1">IFERROR(__xludf.DUMMYFUNCTION("""COMPUTED_VALUE"""),"Baker, G")</f>
        <v>Baker, G</v>
      </c>
      <c r="K1206" s="15" t="str">
        <f ca="1">IFERROR(__xludf.DUMMYFUNCTION("""COMPUTED_VALUE"""),"McKerchar,I Berry,P")</f>
        <v>McKerchar,I Berry,P</v>
      </c>
      <c r="L1206" s="17" t="str">
        <f ca="1">IFERROR(__xludf.DUMMYFUNCTION("""COMPUTED_VALUE"""),"closed")</f>
        <v>closed</v>
      </c>
      <c r="M1206" s="17" t="str">
        <f ca="1">IFERROR(__xludf.DUMMYFUNCTION("""COMPUTED_VALUE"""),"1st U")</f>
        <v>1st U</v>
      </c>
      <c r="N1206" s="15" t="str">
        <f ca="1">IFERROR(__xludf.DUMMYFUNCTION("""COMPUTED_VALUE"""),"accepted")</f>
        <v>accepted</v>
      </c>
      <c r="O1206" s="18" t="str">
        <f ca="1">IFERROR(__xludf.DUMMYFUNCTION("""COMPUTED_VALUE"""),"submitted on behalf of finders")</f>
        <v>submitted on behalf of finders</v>
      </c>
      <c r="P1206" s="58"/>
      <c r="Q1206" s="15"/>
      <c r="R1206" s="15"/>
      <c r="S1206" s="15"/>
      <c r="T1206" s="15"/>
      <c r="U1206" s="15"/>
      <c r="V1206" s="15"/>
      <c r="W1206" s="15"/>
      <c r="X1206" s="15"/>
      <c r="Y1206" s="15"/>
      <c r="Z1206" s="15"/>
      <c r="AA1206" s="15"/>
      <c r="AB1206" s="15"/>
      <c r="AC1206" s="15"/>
      <c r="AD1206" s="15"/>
      <c r="AE1206" s="15"/>
      <c r="AF1206" s="15"/>
      <c r="AG1206" s="15"/>
      <c r="AH1206" s="15"/>
      <c r="AI1206" s="15"/>
      <c r="AJ1206" s="15"/>
      <c r="AK1206" s="15"/>
      <c r="AL1206" s="15"/>
      <c r="AM1206" s="15"/>
      <c r="AN1206" s="15"/>
      <c r="AO1206" s="15"/>
      <c r="AP1206" s="15"/>
      <c r="AQ1206" s="15"/>
      <c r="AR1206" s="15"/>
      <c r="AS1206" s="15"/>
      <c r="AT1206" s="15"/>
      <c r="AU1206" s="15"/>
      <c r="AV1206" s="15"/>
      <c r="AW1206" s="15"/>
      <c r="AX1206" s="15"/>
      <c r="AY1206" s="15"/>
      <c r="AZ1206" s="15"/>
      <c r="BA1206" s="15"/>
      <c r="BB1206" s="15"/>
      <c r="BC1206" s="15"/>
      <c r="BD1206" s="15"/>
      <c r="BE1206" s="15"/>
      <c r="BF1206" s="15"/>
      <c r="BG1206" s="15"/>
      <c r="BH1206" s="15"/>
      <c r="BI1206" s="15"/>
      <c r="BJ1206" s="15"/>
      <c r="BK1206" s="15"/>
      <c r="BL1206" s="15"/>
      <c r="BM1206" s="15"/>
      <c r="BN1206" s="15"/>
      <c r="BO1206" s="15"/>
      <c r="BP1206" s="15"/>
      <c r="BQ1206" s="15"/>
      <c r="BR1206" s="15"/>
      <c r="BS1206" s="15"/>
      <c r="BT1206" s="15"/>
      <c r="BU1206" s="15"/>
      <c r="BV1206" s="15"/>
      <c r="BW1206" s="15"/>
      <c r="BX1206" s="15"/>
      <c r="BY1206" s="15"/>
      <c r="BZ1206" s="15"/>
      <c r="CA1206" s="15"/>
      <c r="CB1206" s="15"/>
    </row>
    <row r="1207" spans="1:80" ht="12.75" hidden="1" customHeight="1">
      <c r="A1207" s="20">
        <f ca="1">IFERROR(__xludf.DUMMYFUNCTION("""COMPUTED_VALUE"""),2016)</f>
        <v>2016</v>
      </c>
      <c r="B1207" s="45">
        <f ca="1">IFERROR(__xludf.DUMMYFUNCTION("""COMPUTED_VALUE"""),43207)</f>
        <v>43207</v>
      </c>
      <c r="C1207" s="46">
        <f ca="1">IFERROR(__xludf.DUMMYFUNCTION("""COMPUTED_VALUE"""),43186)</f>
        <v>43186</v>
      </c>
      <c r="D1207" s="47" t="str">
        <f ca="1">IFERROR(__xludf.DUMMYFUNCTION("""COMPUTED_VALUE"""),"Caspian Gull")</f>
        <v>Caspian Gull</v>
      </c>
      <c r="E1207" s="52">
        <f ca="1">IFERROR(__xludf.DUMMYFUNCTION("""COMPUTED_VALUE"""),1)</f>
        <v>1</v>
      </c>
      <c r="F1207" s="25" t="str">
        <f ca="1">IFERROR(__xludf.DUMMYFUNCTION("""COMPUTED_VALUE"""),"4th W")</f>
        <v>4th W</v>
      </c>
      <c r="G1207" s="48" t="str">
        <f ca="1">IFERROR(__xludf.DUMMYFUNCTION("""COMPUTED_VALUE"""),"Richmond Bank")</f>
        <v>Richmond Bank</v>
      </c>
      <c r="H1207" s="22">
        <f ca="1">IFERROR(__xludf.DUMMYFUNCTION("""COMPUTED_VALUE"""),42696)</f>
        <v>42696</v>
      </c>
      <c r="I1207" s="22">
        <f ca="1">IFERROR(__xludf.DUMMYFUNCTION("""COMPUTED_VALUE"""),42696)</f>
        <v>42696</v>
      </c>
      <c r="J1207" s="24" t="str">
        <f ca="1">IFERROR(__xludf.DUMMYFUNCTION("""COMPUTED_VALUE"""),"Baker, G")</f>
        <v>Baker, G</v>
      </c>
      <c r="K1207" s="25" t="str">
        <f ca="1">IFERROR(__xludf.DUMMYFUNCTION("""COMPUTED_VALUE"""),"McKerchar,I Berry,P")</f>
        <v>McKerchar,I Berry,P</v>
      </c>
      <c r="L1207" s="27" t="str">
        <f ca="1">IFERROR(__xludf.DUMMYFUNCTION("""COMPUTED_VALUE"""),"closed")</f>
        <v>closed</v>
      </c>
      <c r="M1207" s="27" t="str">
        <f ca="1">IFERROR(__xludf.DUMMYFUNCTION("""COMPUTED_VALUE"""),"1st U")</f>
        <v>1st U</v>
      </c>
      <c r="N1207" s="25" t="str">
        <f ca="1">IFERROR(__xludf.DUMMYFUNCTION("""COMPUTED_VALUE"""),"accepted")</f>
        <v>accepted</v>
      </c>
      <c r="O1207" s="28" t="str">
        <f ca="1">IFERROR(__xludf.DUMMYFUNCTION("""COMPUTED_VALUE"""),"submitted on behalf of finders")</f>
        <v>submitted on behalf of finders</v>
      </c>
      <c r="P1207" s="25"/>
      <c r="Q1207" s="25"/>
      <c r="R1207" s="25"/>
      <c r="S1207" s="25"/>
      <c r="T1207" s="25"/>
      <c r="U1207" s="25"/>
      <c r="V1207" s="25"/>
      <c r="W1207" s="25"/>
      <c r="X1207" s="25"/>
      <c r="Y1207" s="25"/>
      <c r="Z1207" s="25"/>
      <c r="AA1207" s="25"/>
      <c r="AB1207" s="25"/>
      <c r="AC1207" s="25"/>
      <c r="AD1207" s="25"/>
      <c r="AE1207" s="25"/>
      <c r="AF1207" s="25"/>
      <c r="AG1207" s="25"/>
      <c r="AH1207" s="25"/>
      <c r="AI1207" s="25"/>
      <c r="AJ1207" s="25"/>
      <c r="AK1207" s="25"/>
      <c r="AL1207" s="25"/>
      <c r="AM1207" s="25"/>
      <c r="AN1207" s="25"/>
      <c r="AO1207" s="25"/>
      <c r="AP1207" s="25"/>
      <c r="AQ1207" s="25"/>
      <c r="AR1207" s="25"/>
      <c r="AS1207" s="25"/>
      <c r="AT1207" s="25"/>
      <c r="AU1207" s="25"/>
      <c r="AV1207" s="25"/>
      <c r="AW1207" s="25"/>
      <c r="AX1207" s="25"/>
      <c r="AY1207" s="25"/>
      <c r="AZ1207" s="25"/>
      <c r="BA1207" s="25"/>
      <c r="BB1207" s="25"/>
      <c r="BC1207" s="25"/>
      <c r="BD1207" s="25"/>
      <c r="BE1207" s="25"/>
      <c r="BF1207" s="25"/>
      <c r="BG1207" s="25"/>
      <c r="BH1207" s="25"/>
      <c r="BI1207" s="25"/>
      <c r="BJ1207" s="25"/>
      <c r="BK1207" s="25"/>
      <c r="BL1207" s="25"/>
      <c r="BM1207" s="25"/>
      <c r="BN1207" s="25"/>
      <c r="BO1207" s="25"/>
      <c r="BP1207" s="25"/>
      <c r="BQ1207" s="25"/>
      <c r="BR1207" s="25"/>
      <c r="BS1207" s="25"/>
      <c r="BT1207" s="25"/>
      <c r="BU1207" s="25"/>
      <c r="BV1207" s="25"/>
      <c r="BW1207" s="25"/>
      <c r="BX1207" s="25"/>
      <c r="BY1207" s="25"/>
      <c r="BZ1207" s="25"/>
      <c r="CA1207" s="25"/>
      <c r="CB1207" s="25"/>
    </row>
    <row r="1208" spans="1:80" ht="12.75" hidden="1" customHeight="1">
      <c r="A1208" s="10">
        <f ca="1">IFERROR(__xludf.DUMMYFUNCTION("""COMPUTED_VALUE"""),2016)</f>
        <v>2016</v>
      </c>
      <c r="B1208" s="50">
        <f ca="1">IFERROR(__xludf.DUMMYFUNCTION("""COMPUTED_VALUE"""),43207)</f>
        <v>43207</v>
      </c>
      <c r="C1208" s="41">
        <f ca="1">IFERROR(__xludf.DUMMYFUNCTION("""COMPUTED_VALUE"""),43186)</f>
        <v>43186</v>
      </c>
      <c r="D1208" s="42" t="str">
        <f ca="1">IFERROR(__xludf.DUMMYFUNCTION("""COMPUTED_VALUE"""),"Caspian Gull")</f>
        <v>Caspian Gull</v>
      </c>
      <c r="E1208" s="53">
        <f ca="1">IFERROR(__xludf.DUMMYFUNCTION("""COMPUTED_VALUE"""),1)</f>
        <v>1</v>
      </c>
      <c r="F1208" s="15" t="str">
        <f ca="1">IFERROR(__xludf.DUMMYFUNCTION("""COMPUTED_VALUE"""),"1st w")</f>
        <v>1st w</v>
      </c>
      <c r="G1208" s="44" t="str">
        <f ca="1">IFERROR(__xludf.DUMMYFUNCTION("""COMPUTED_VALUE"""),"Richmond Bank")</f>
        <v>Richmond Bank</v>
      </c>
      <c r="H1208" s="12">
        <f ca="1">IFERROR(__xludf.DUMMYFUNCTION("""COMPUTED_VALUE"""),42704)</f>
        <v>42704</v>
      </c>
      <c r="I1208" s="12">
        <f ca="1">IFERROR(__xludf.DUMMYFUNCTION("""COMPUTED_VALUE"""),42723)</f>
        <v>42723</v>
      </c>
      <c r="J1208" s="14" t="str">
        <f ca="1">IFERROR(__xludf.DUMMYFUNCTION("""COMPUTED_VALUE"""),"Baker, G")</f>
        <v>Baker, G</v>
      </c>
      <c r="K1208" s="15" t="str">
        <f ca="1">IFERROR(__xludf.DUMMYFUNCTION("""COMPUTED_VALUE"""),"McKerchar,I Berry,P")</f>
        <v>McKerchar,I Berry,P</v>
      </c>
      <c r="L1208" s="17" t="str">
        <f ca="1">IFERROR(__xludf.DUMMYFUNCTION("""COMPUTED_VALUE"""),"closed")</f>
        <v>closed</v>
      </c>
      <c r="M1208" s="17" t="str">
        <f ca="1">IFERROR(__xludf.DUMMYFUNCTION("""COMPUTED_VALUE"""),"1st U")</f>
        <v>1st U</v>
      </c>
      <c r="N1208" s="15" t="str">
        <f ca="1">IFERROR(__xludf.DUMMYFUNCTION("""COMPUTED_VALUE"""),"accepted")</f>
        <v>accepted</v>
      </c>
      <c r="O1208" s="18" t="str">
        <f ca="1">IFERROR(__xludf.DUMMYFUNCTION("""COMPUTED_VALUE"""),"submitted on behalf of finders")</f>
        <v>submitted on behalf of finders</v>
      </c>
      <c r="P1208" s="15"/>
      <c r="Q1208" s="15"/>
      <c r="R1208" s="15"/>
      <c r="S1208" s="15"/>
      <c r="T1208" s="15"/>
      <c r="U1208" s="15"/>
      <c r="V1208" s="15"/>
      <c r="W1208" s="15"/>
      <c r="X1208" s="15"/>
      <c r="Y1208" s="15"/>
      <c r="Z1208" s="15"/>
      <c r="AA1208" s="15"/>
      <c r="AB1208" s="15"/>
      <c r="AC1208" s="15"/>
      <c r="AD1208" s="15"/>
      <c r="AE1208" s="15"/>
      <c r="AF1208" s="15"/>
      <c r="AG1208" s="15"/>
      <c r="AH1208" s="15"/>
      <c r="AI1208" s="15"/>
      <c r="AJ1208" s="15"/>
      <c r="AK1208" s="15"/>
      <c r="AL1208" s="15"/>
      <c r="AM1208" s="15"/>
      <c r="AN1208" s="15"/>
      <c r="AO1208" s="15"/>
      <c r="AP1208" s="15"/>
      <c r="AQ1208" s="15"/>
      <c r="AR1208" s="15"/>
      <c r="AS1208" s="15"/>
      <c r="AT1208" s="15"/>
      <c r="AU1208" s="15"/>
      <c r="AV1208" s="15"/>
      <c r="AW1208" s="15"/>
      <c r="AX1208" s="15"/>
      <c r="AY1208" s="15"/>
      <c r="AZ1208" s="15"/>
      <c r="BA1208" s="15"/>
      <c r="BB1208" s="15"/>
      <c r="BC1208" s="15"/>
      <c r="BD1208" s="15"/>
      <c r="BE1208" s="15"/>
      <c r="BF1208" s="15"/>
      <c r="BG1208" s="15"/>
      <c r="BH1208" s="15"/>
      <c r="BI1208" s="15"/>
      <c r="BJ1208" s="15"/>
      <c r="BK1208" s="15"/>
      <c r="BL1208" s="15"/>
      <c r="BM1208" s="15"/>
      <c r="BN1208" s="15"/>
      <c r="BO1208" s="15"/>
      <c r="BP1208" s="15"/>
      <c r="BQ1208" s="15"/>
      <c r="BR1208" s="15"/>
      <c r="BS1208" s="15"/>
      <c r="BT1208" s="15"/>
      <c r="BU1208" s="15"/>
      <c r="BV1208" s="15"/>
      <c r="BW1208" s="15"/>
      <c r="BX1208" s="15"/>
      <c r="BY1208" s="15"/>
      <c r="BZ1208" s="15"/>
      <c r="CA1208" s="15"/>
      <c r="CB1208" s="15"/>
    </row>
    <row r="1209" spans="1:80" ht="12.75" hidden="1" customHeight="1">
      <c r="A1209" s="20">
        <f ca="1">IFERROR(__xludf.DUMMYFUNCTION("""COMPUTED_VALUE"""),2016)</f>
        <v>2016</v>
      </c>
      <c r="B1209" s="45">
        <f ca="1">IFERROR(__xludf.DUMMYFUNCTION("""COMPUTED_VALUE"""),43322)</f>
        <v>43322</v>
      </c>
      <c r="C1209" s="46">
        <f ca="1">IFERROR(__xludf.DUMMYFUNCTION("""COMPUTED_VALUE"""),43185)</f>
        <v>43185</v>
      </c>
      <c r="D1209" s="47" t="str">
        <f ca="1">IFERROR(__xludf.DUMMYFUNCTION("""COMPUTED_VALUE"""),"Pomarine Skua")</f>
        <v>Pomarine Skua</v>
      </c>
      <c r="E1209" s="52">
        <f ca="1">IFERROR(__xludf.DUMMYFUNCTION("""COMPUTED_VALUE"""),3)</f>
        <v>3</v>
      </c>
      <c r="F1209" s="25" t="str">
        <f ca="1">IFERROR(__xludf.DUMMYFUNCTION("""COMPUTED_VALUE"""),"Ad, 2Juv")</f>
        <v>Ad, 2Juv</v>
      </c>
      <c r="G1209" s="48" t="str">
        <f ca="1">IFERROR(__xludf.DUMMYFUNCTION("""COMPUTED_VALUE"""),"Hoylake")</f>
        <v>Hoylake</v>
      </c>
      <c r="H1209" s="22">
        <f ca="1">IFERROR(__xludf.DUMMYFUNCTION("""COMPUTED_VALUE"""),42680)</f>
        <v>42680</v>
      </c>
      <c r="I1209" s="22">
        <f ca="1">IFERROR(__xludf.DUMMYFUNCTION("""COMPUTED_VALUE"""),42680)</f>
        <v>42680</v>
      </c>
      <c r="J1209" s="24" t="str">
        <f ca="1">IFERROR(__xludf.DUMMYFUNCTION("""COMPUTED_VALUE"""),"Turner, J")</f>
        <v>Turner, J</v>
      </c>
      <c r="K1209" s="25"/>
      <c r="L1209" s="27" t="str">
        <f ca="1">IFERROR(__xludf.DUMMYFUNCTION("""COMPUTED_VALUE"""),"closed")</f>
        <v>closed</v>
      </c>
      <c r="M1209" s="27" t="str">
        <f ca="1">IFERROR(__xludf.DUMMYFUNCTION("""COMPUTED_VALUE"""),"1st M")</f>
        <v>1st M</v>
      </c>
      <c r="N1209" s="25" t="str">
        <f ca="1">IFERROR(__xludf.DUMMYFUNCTION("""COMPUTED_VALUE"""),"accepted")</f>
        <v>accepted</v>
      </c>
      <c r="O1209" s="28" t="str">
        <f ca="1">IFERROR(__xludf.DUMMYFUNCTION("""COMPUTED_VALUE"""),"2 juvs and an adult pale phase west.  ")</f>
        <v xml:space="preserve">2 juvs and an adult pale phase west.  </v>
      </c>
      <c r="P1209" s="25"/>
      <c r="Q1209" s="25"/>
      <c r="R1209" s="25"/>
      <c r="S1209" s="25"/>
      <c r="T1209" s="25"/>
      <c r="U1209" s="25"/>
      <c r="V1209" s="25"/>
      <c r="W1209" s="25"/>
      <c r="X1209" s="25"/>
      <c r="Y1209" s="25"/>
      <c r="Z1209" s="25"/>
      <c r="AA1209" s="25"/>
      <c r="AB1209" s="25"/>
      <c r="AC1209" s="25"/>
      <c r="AD1209" s="25"/>
      <c r="AE1209" s="25"/>
      <c r="AF1209" s="25"/>
      <c r="AG1209" s="25"/>
      <c r="AH1209" s="25"/>
      <c r="AI1209" s="25"/>
      <c r="AJ1209" s="25"/>
      <c r="AK1209" s="25"/>
      <c r="AL1209" s="25"/>
      <c r="AM1209" s="25"/>
      <c r="AN1209" s="25"/>
      <c r="AO1209" s="25"/>
      <c r="AP1209" s="25"/>
      <c r="AQ1209" s="25"/>
      <c r="AR1209" s="25"/>
      <c r="AS1209" s="25"/>
      <c r="AT1209" s="25"/>
      <c r="AU1209" s="25"/>
      <c r="AV1209" s="25"/>
      <c r="AW1209" s="25"/>
      <c r="AX1209" s="25"/>
      <c r="AY1209" s="25"/>
      <c r="AZ1209" s="25"/>
      <c r="BA1209" s="25"/>
      <c r="BB1209" s="25"/>
      <c r="BC1209" s="25"/>
      <c r="BD1209" s="25"/>
      <c r="BE1209" s="25"/>
      <c r="BF1209" s="25"/>
      <c r="BG1209" s="25"/>
      <c r="BH1209" s="25"/>
      <c r="BI1209" s="25"/>
      <c r="BJ1209" s="25"/>
      <c r="BK1209" s="25"/>
      <c r="BL1209" s="25"/>
      <c r="BM1209" s="25"/>
      <c r="BN1209" s="25"/>
      <c r="BO1209" s="25"/>
      <c r="BP1209" s="25"/>
      <c r="BQ1209" s="25"/>
      <c r="BR1209" s="25"/>
      <c r="BS1209" s="25"/>
      <c r="BT1209" s="25"/>
      <c r="BU1209" s="25"/>
      <c r="BV1209" s="25"/>
      <c r="BW1209" s="25"/>
      <c r="BX1209" s="25"/>
      <c r="BY1209" s="25"/>
      <c r="BZ1209" s="25"/>
      <c r="CA1209" s="25"/>
      <c r="CB1209" s="25"/>
    </row>
    <row r="1210" spans="1:80" ht="12.75" hidden="1" customHeight="1">
      <c r="A1210" s="10">
        <f ca="1">IFERROR(__xludf.DUMMYFUNCTION("""COMPUTED_VALUE"""),2016)</f>
        <v>2016</v>
      </c>
      <c r="B1210" s="50">
        <f ca="1">IFERROR(__xludf.DUMMYFUNCTION("""COMPUTED_VALUE"""),43422)</f>
        <v>43422</v>
      </c>
      <c r="C1210" s="41">
        <f ca="1">IFERROR(__xludf.DUMMYFUNCTION("""COMPUTED_VALUE"""),43180)</f>
        <v>43180</v>
      </c>
      <c r="D1210" s="42" t="str">
        <f ca="1">IFERROR(__xludf.DUMMYFUNCTION("""COMPUTED_VALUE"""),"Great Northern Diver")</f>
        <v>Great Northern Diver</v>
      </c>
      <c r="E1210" s="53">
        <f ca="1">IFERROR(__xludf.DUMMYFUNCTION("""COMPUTED_VALUE"""),1)</f>
        <v>1</v>
      </c>
      <c r="F1210" s="15"/>
      <c r="G1210" s="44" t="str">
        <f ca="1">IFERROR(__xludf.DUMMYFUNCTION("""COMPUTED_VALUE"""),"Hoylake")</f>
        <v>Hoylake</v>
      </c>
      <c r="H1210" s="12">
        <f ca="1">IFERROR(__xludf.DUMMYFUNCTION("""COMPUTED_VALUE"""),42404)</f>
        <v>42404</v>
      </c>
      <c r="I1210" s="12">
        <f ca="1">IFERROR(__xludf.DUMMYFUNCTION("""COMPUTED_VALUE"""),42404)</f>
        <v>42404</v>
      </c>
      <c r="J1210" s="14" t="str">
        <f ca="1">IFERROR(__xludf.DUMMYFUNCTION("""COMPUTED_VALUE"""),"Turner, JE")</f>
        <v>Turner, JE</v>
      </c>
      <c r="K1210" s="15"/>
      <c r="L1210" s="17" t="str">
        <f ca="1">IFERROR(__xludf.DUMMYFUNCTION("""COMPUTED_VALUE"""),"closed")</f>
        <v>closed</v>
      </c>
      <c r="M1210" s="17" t="str">
        <f ca="1">IFERROR(__xludf.DUMMYFUNCTION("""COMPUTED_VALUE"""),"1st U")</f>
        <v>1st U</v>
      </c>
      <c r="N1210" s="15" t="str">
        <f ca="1">IFERROR(__xludf.DUMMYFUNCTION("""COMPUTED_VALUE"""),"accepted")</f>
        <v>accepted</v>
      </c>
      <c r="O1210" s="18" t="str">
        <f ca="1">IFERROR(__xludf.DUMMYFUNCTION("""COMPUTED_VALUE"""),"juv flying west close.  Large size (goose-like) heavy bill, immense feet rather brown uppers white unders. thumb marks on neck visible")</f>
        <v>juv flying west close.  Large size (goose-like) heavy bill, immense feet rather brown uppers white unders. thumb marks on neck visible</v>
      </c>
      <c r="P1210" s="15"/>
      <c r="Q1210" s="15"/>
      <c r="R1210" s="15"/>
      <c r="S1210" s="15"/>
      <c r="T1210" s="15"/>
      <c r="U1210" s="15"/>
      <c r="V1210" s="15"/>
      <c r="W1210" s="15"/>
      <c r="X1210" s="15"/>
      <c r="Y1210" s="15"/>
      <c r="Z1210" s="15"/>
      <c r="AA1210" s="15"/>
      <c r="AB1210" s="15"/>
      <c r="AC1210" s="15"/>
      <c r="AD1210" s="15"/>
      <c r="AE1210" s="15"/>
      <c r="AF1210" s="15"/>
      <c r="AG1210" s="15"/>
      <c r="AH1210" s="15"/>
      <c r="AI1210" s="15"/>
      <c r="AJ1210" s="15"/>
      <c r="AK1210" s="15"/>
      <c r="AL1210" s="15"/>
      <c r="AM1210" s="15"/>
      <c r="AN1210" s="15"/>
      <c r="AO1210" s="15"/>
      <c r="AP1210" s="15"/>
      <c r="AQ1210" s="15"/>
      <c r="AR1210" s="15"/>
      <c r="AS1210" s="15"/>
      <c r="AT1210" s="15"/>
      <c r="AU1210" s="15"/>
      <c r="AV1210" s="15"/>
      <c r="AW1210" s="15"/>
      <c r="AX1210" s="15"/>
      <c r="AY1210" s="15"/>
      <c r="AZ1210" s="15"/>
      <c r="BA1210" s="15"/>
      <c r="BB1210" s="15"/>
      <c r="BC1210" s="15"/>
      <c r="BD1210" s="15"/>
      <c r="BE1210" s="15"/>
      <c r="BF1210" s="15"/>
      <c r="BG1210" s="15"/>
      <c r="BH1210" s="15"/>
      <c r="BI1210" s="15"/>
      <c r="BJ1210" s="15"/>
      <c r="BK1210" s="15"/>
      <c r="BL1210" s="15"/>
      <c r="BM1210" s="15"/>
      <c r="BN1210" s="15"/>
      <c r="BO1210" s="15"/>
      <c r="BP1210" s="15"/>
      <c r="BQ1210" s="15"/>
      <c r="BR1210" s="15"/>
      <c r="BS1210" s="15"/>
      <c r="BT1210" s="15"/>
      <c r="BU1210" s="15"/>
      <c r="BV1210" s="15"/>
      <c r="BW1210" s="15"/>
      <c r="BX1210" s="15"/>
      <c r="BY1210" s="15"/>
      <c r="BZ1210" s="15"/>
      <c r="CA1210" s="15"/>
      <c r="CB1210" s="15"/>
    </row>
    <row r="1211" spans="1:80" ht="12.75" hidden="1" customHeight="1">
      <c r="A1211" s="20">
        <f ca="1">IFERROR(__xludf.DUMMYFUNCTION("""COMPUTED_VALUE"""),2016)</f>
        <v>2016</v>
      </c>
      <c r="B1211" s="45">
        <f ca="1">IFERROR(__xludf.DUMMYFUNCTION("""COMPUTED_VALUE"""),43163)</f>
        <v>43163</v>
      </c>
      <c r="C1211" s="46">
        <f ca="1">IFERROR(__xludf.DUMMYFUNCTION("""COMPUTED_VALUE"""),43208)</f>
        <v>43208</v>
      </c>
      <c r="D1211" s="47" t="str">
        <f ca="1">IFERROR(__xludf.DUMMYFUNCTION("""COMPUTED_VALUE"""),"Glossy Ibis")</f>
        <v>Glossy Ibis</v>
      </c>
      <c r="E1211" s="52">
        <f ca="1">IFERROR(__xludf.DUMMYFUNCTION("""COMPUTED_VALUE"""),1)</f>
        <v>1</v>
      </c>
      <c r="F1211" s="25" t="str">
        <f ca="1">IFERROR(__xludf.DUMMYFUNCTION("""COMPUTED_VALUE"""),"imm")</f>
        <v>imm</v>
      </c>
      <c r="G1211" s="48" t="str">
        <f ca="1">IFERROR(__xludf.DUMMYFUNCTION("""COMPUTED_VALUE"""),"Carr Lan Pools Hale")</f>
        <v>Carr Lan Pools Hale</v>
      </c>
      <c r="H1211" s="22">
        <f ca="1">IFERROR(__xludf.DUMMYFUNCTION("""COMPUTED_VALUE"""),42483)</f>
        <v>42483</v>
      </c>
      <c r="I1211" s="23"/>
      <c r="J1211" s="24" t="str">
        <f ca="1">IFERROR(__xludf.DUMMYFUNCTION("""COMPUTED_VALUE"""),"Elcock, J")</f>
        <v>Elcock, J</v>
      </c>
      <c r="K1211" s="25" t="str">
        <f ca="1">IFERROR(__xludf.DUMMYFUNCTION("""COMPUTED_VALUE"""),"Elcock, J")</f>
        <v>Elcock, J</v>
      </c>
      <c r="L1211" s="27" t="str">
        <f ca="1">IFERROR(__xludf.DUMMYFUNCTION("""COMPUTED_VALUE"""),"closed")</f>
        <v>closed</v>
      </c>
      <c r="M1211" s="27" t="str">
        <f ca="1">IFERROR(__xludf.DUMMYFUNCTION("""COMPUTED_VALUE"""),"1st U")</f>
        <v>1st U</v>
      </c>
      <c r="N1211" s="25" t="str">
        <f ca="1">IFERROR(__xludf.DUMMYFUNCTION("""COMPUTED_VALUE"""),"accepted")</f>
        <v>accepted</v>
      </c>
      <c r="O1211" s="28"/>
      <c r="P1211" s="25"/>
      <c r="Q1211" s="25"/>
      <c r="R1211" s="25"/>
      <c r="S1211" s="25"/>
      <c r="T1211" s="25"/>
      <c r="U1211" s="25"/>
      <c r="V1211" s="25"/>
      <c r="W1211" s="25"/>
      <c r="X1211" s="25"/>
      <c r="Y1211" s="25"/>
      <c r="Z1211" s="25"/>
      <c r="AA1211" s="25"/>
      <c r="AB1211" s="25"/>
      <c r="AC1211" s="25"/>
      <c r="AD1211" s="25"/>
      <c r="AE1211" s="25"/>
      <c r="AF1211" s="25"/>
      <c r="AG1211" s="25"/>
      <c r="AH1211" s="25"/>
      <c r="AI1211" s="25"/>
      <c r="AJ1211" s="25"/>
      <c r="AK1211" s="25"/>
      <c r="AL1211" s="25"/>
      <c r="AM1211" s="25"/>
      <c r="AN1211" s="25"/>
      <c r="AO1211" s="25"/>
      <c r="AP1211" s="25"/>
      <c r="AQ1211" s="25"/>
      <c r="AR1211" s="25"/>
      <c r="AS1211" s="25"/>
      <c r="AT1211" s="25"/>
      <c r="AU1211" s="25"/>
      <c r="AV1211" s="25"/>
      <c r="AW1211" s="25"/>
      <c r="AX1211" s="25"/>
      <c r="AY1211" s="25"/>
      <c r="AZ1211" s="25"/>
      <c r="BA1211" s="25"/>
      <c r="BB1211" s="25"/>
      <c r="BC1211" s="25"/>
      <c r="BD1211" s="25"/>
      <c r="BE1211" s="25"/>
      <c r="BF1211" s="25"/>
      <c r="BG1211" s="25"/>
      <c r="BH1211" s="25"/>
      <c r="BI1211" s="25"/>
      <c r="BJ1211" s="25"/>
      <c r="BK1211" s="25"/>
      <c r="BL1211" s="25"/>
      <c r="BM1211" s="25"/>
      <c r="BN1211" s="25"/>
      <c r="BO1211" s="25"/>
      <c r="BP1211" s="25"/>
      <c r="BQ1211" s="25"/>
      <c r="BR1211" s="25"/>
      <c r="BS1211" s="25"/>
      <c r="BT1211" s="25"/>
      <c r="BU1211" s="25"/>
      <c r="BV1211" s="25"/>
      <c r="BW1211" s="25"/>
      <c r="BX1211" s="25"/>
      <c r="BY1211" s="25"/>
      <c r="BZ1211" s="25"/>
      <c r="CA1211" s="25"/>
      <c r="CB1211" s="25"/>
    </row>
    <row r="1212" spans="1:80" ht="12.75" hidden="1" customHeight="1">
      <c r="A1212" s="10">
        <f ca="1">IFERROR(__xludf.DUMMYFUNCTION("""COMPUTED_VALUE"""),2016)</f>
        <v>2016</v>
      </c>
      <c r="B1212" s="50">
        <f ca="1">IFERROR(__xludf.DUMMYFUNCTION("""COMPUTED_VALUE"""),43163)</f>
        <v>43163</v>
      </c>
      <c r="C1212" s="41">
        <f ca="1">IFERROR(__xludf.DUMMYFUNCTION("""COMPUTED_VALUE"""),43208)</f>
        <v>43208</v>
      </c>
      <c r="D1212" s="42" t="str">
        <f ca="1">IFERROR(__xludf.DUMMYFUNCTION("""COMPUTED_VALUE"""),"Glossy Ibis")</f>
        <v>Glossy Ibis</v>
      </c>
      <c r="E1212" s="53">
        <f ca="1">IFERROR(__xludf.DUMMYFUNCTION("""COMPUTED_VALUE"""),1)</f>
        <v>1</v>
      </c>
      <c r="F1212" s="15" t="str">
        <f ca="1">IFERROR(__xludf.DUMMYFUNCTION("""COMPUTED_VALUE"""),"imm")</f>
        <v>imm</v>
      </c>
      <c r="G1212" s="44" t="str">
        <f ca="1">IFERROR(__xludf.DUMMYFUNCTION("""COMPUTED_VALUE"""),"Carr Lan Pools Hale")</f>
        <v>Carr Lan Pools Hale</v>
      </c>
      <c r="H1212" s="12">
        <f ca="1">IFERROR(__xludf.DUMMYFUNCTION("""COMPUTED_VALUE"""),42483)</f>
        <v>42483</v>
      </c>
      <c r="I1212" s="12">
        <f ca="1">IFERROR(__xludf.DUMMYFUNCTION("""COMPUTED_VALUE"""),42485)</f>
        <v>42485</v>
      </c>
      <c r="J1212" s="14" t="str">
        <f ca="1">IFERROR(__xludf.DUMMYFUNCTION("""COMPUTED_VALUE"""),"Cockbain, R")</f>
        <v>Cockbain, R</v>
      </c>
      <c r="K1212" s="15" t="str">
        <f ca="1">IFERROR(__xludf.DUMMYFUNCTION("""COMPUTED_VALUE"""),"Cockbain, R et al")</f>
        <v>Cockbain, R et al</v>
      </c>
      <c r="L1212" s="17" t="str">
        <f ca="1">IFERROR(__xludf.DUMMYFUNCTION("""COMPUTED_VALUE"""),"closed")</f>
        <v>closed</v>
      </c>
      <c r="M1212" s="17" t="str">
        <f ca="1">IFERROR(__xludf.DUMMYFUNCTION("""COMPUTED_VALUE"""),"1st U")</f>
        <v>1st U</v>
      </c>
      <c r="N1212" s="15" t="str">
        <f ca="1">IFERROR(__xludf.DUMMYFUNCTION("""COMPUTED_VALUE"""),"accepted")</f>
        <v>accepted</v>
      </c>
      <c r="O1212" s="18"/>
      <c r="P1212" s="15"/>
      <c r="Q1212" s="15"/>
      <c r="R1212" s="15"/>
      <c r="S1212" s="15"/>
      <c r="T1212" s="15"/>
      <c r="U1212" s="15"/>
      <c r="V1212" s="15"/>
      <c r="W1212" s="15"/>
      <c r="X1212" s="15"/>
      <c r="Y1212" s="15"/>
      <c r="Z1212" s="15"/>
      <c r="AA1212" s="15"/>
      <c r="AB1212" s="15"/>
      <c r="AC1212" s="15"/>
      <c r="AD1212" s="15"/>
      <c r="AE1212" s="15"/>
      <c r="AF1212" s="15"/>
      <c r="AG1212" s="15"/>
      <c r="AH1212" s="15"/>
      <c r="AI1212" s="15"/>
      <c r="AJ1212" s="15"/>
      <c r="AK1212" s="15"/>
      <c r="AL1212" s="15"/>
      <c r="AM1212" s="15"/>
      <c r="AN1212" s="15"/>
      <c r="AO1212" s="15"/>
      <c r="AP1212" s="15"/>
      <c r="AQ1212" s="15"/>
      <c r="AR1212" s="15"/>
      <c r="AS1212" s="15"/>
      <c r="AT1212" s="15"/>
      <c r="AU1212" s="15"/>
      <c r="AV1212" s="15"/>
      <c r="AW1212" s="15"/>
      <c r="AX1212" s="15"/>
      <c r="AY1212" s="15"/>
      <c r="AZ1212" s="15"/>
      <c r="BA1212" s="15"/>
      <c r="BB1212" s="15"/>
      <c r="BC1212" s="15"/>
      <c r="BD1212" s="15"/>
      <c r="BE1212" s="15"/>
      <c r="BF1212" s="15"/>
      <c r="BG1212" s="15"/>
      <c r="BH1212" s="15"/>
      <c r="BI1212" s="15"/>
      <c r="BJ1212" s="15"/>
      <c r="BK1212" s="15"/>
      <c r="BL1212" s="15"/>
      <c r="BM1212" s="15"/>
      <c r="BN1212" s="15"/>
      <c r="BO1212" s="15"/>
      <c r="BP1212" s="15"/>
      <c r="BQ1212" s="15"/>
      <c r="BR1212" s="15"/>
      <c r="BS1212" s="15"/>
      <c r="BT1212" s="15"/>
      <c r="BU1212" s="15"/>
      <c r="BV1212" s="15"/>
      <c r="BW1212" s="15"/>
      <c r="BX1212" s="15"/>
      <c r="BY1212" s="15"/>
      <c r="BZ1212" s="15"/>
      <c r="CA1212" s="15"/>
      <c r="CB1212" s="15"/>
    </row>
    <row r="1213" spans="1:80" ht="12.75" hidden="1" customHeight="1">
      <c r="A1213" s="20">
        <f ca="1">IFERROR(__xludf.DUMMYFUNCTION("""COMPUTED_VALUE"""),2016)</f>
        <v>2016</v>
      </c>
      <c r="B1213" s="45">
        <f ca="1">IFERROR(__xludf.DUMMYFUNCTION("""COMPUTED_VALUE"""),43163)</f>
        <v>43163</v>
      </c>
      <c r="C1213" s="46">
        <f ca="1">IFERROR(__xludf.DUMMYFUNCTION("""COMPUTED_VALUE"""),43208)</f>
        <v>43208</v>
      </c>
      <c r="D1213" s="47" t="str">
        <f ca="1">IFERROR(__xludf.DUMMYFUNCTION("""COMPUTED_VALUE"""),"Glossy Ibis")</f>
        <v>Glossy Ibis</v>
      </c>
      <c r="E1213" s="52">
        <f ca="1">IFERROR(__xludf.DUMMYFUNCTION("""COMPUTED_VALUE"""),1)</f>
        <v>1</v>
      </c>
      <c r="F1213" s="25" t="str">
        <f ca="1">IFERROR(__xludf.DUMMYFUNCTION("""COMPUTED_VALUE"""),"imm")</f>
        <v>imm</v>
      </c>
      <c r="G1213" s="48" t="str">
        <f ca="1">IFERROR(__xludf.DUMMYFUNCTION("""COMPUTED_VALUE"""),"Carr Lan Pools Hale")</f>
        <v>Carr Lan Pools Hale</v>
      </c>
      <c r="H1213" s="22">
        <f ca="1">IFERROR(__xludf.DUMMYFUNCTION("""COMPUTED_VALUE"""),42483)</f>
        <v>42483</v>
      </c>
      <c r="I1213" s="22">
        <f ca="1">IFERROR(__xludf.DUMMYFUNCTION("""COMPUTED_VALUE"""),42485)</f>
        <v>42485</v>
      </c>
      <c r="J1213" s="24" t="str">
        <f ca="1">IFERROR(__xludf.DUMMYFUNCTION("""COMPUTED_VALUE"""),"Craven, D")</f>
        <v>Craven, D</v>
      </c>
      <c r="K1213" s="25" t="str">
        <f ca="1">IFERROR(__xludf.DUMMYFUNCTION("""COMPUTED_VALUE"""),"Cockbain")</f>
        <v>Cockbain</v>
      </c>
      <c r="L1213" s="27" t="str">
        <f ca="1">IFERROR(__xludf.DUMMYFUNCTION("""COMPUTED_VALUE"""),"closed")</f>
        <v>closed</v>
      </c>
      <c r="M1213" s="27" t="str">
        <f ca="1">IFERROR(__xludf.DUMMYFUNCTION("""COMPUTED_VALUE"""),"1st U")</f>
        <v>1st U</v>
      </c>
      <c r="N1213" s="25" t="str">
        <f ca="1">IFERROR(__xludf.DUMMYFUNCTION("""COMPUTED_VALUE"""),"accepted")</f>
        <v>accepted</v>
      </c>
      <c r="O1213" s="28"/>
      <c r="P1213" s="25"/>
      <c r="Q1213" s="25"/>
      <c r="R1213" s="25"/>
      <c r="S1213" s="25"/>
      <c r="T1213" s="25"/>
      <c r="U1213" s="25"/>
      <c r="V1213" s="25"/>
      <c r="W1213" s="25"/>
      <c r="X1213" s="25"/>
      <c r="Y1213" s="25"/>
      <c r="Z1213" s="25"/>
      <c r="AA1213" s="25"/>
      <c r="AB1213" s="25"/>
      <c r="AC1213" s="25"/>
      <c r="AD1213" s="25"/>
      <c r="AE1213" s="25"/>
      <c r="AF1213" s="25"/>
      <c r="AG1213" s="25"/>
      <c r="AH1213" s="25"/>
      <c r="AI1213" s="25"/>
      <c r="AJ1213" s="25"/>
      <c r="AK1213" s="25"/>
      <c r="AL1213" s="25"/>
      <c r="AM1213" s="25"/>
      <c r="AN1213" s="25"/>
      <c r="AO1213" s="25"/>
      <c r="AP1213" s="25"/>
      <c r="AQ1213" s="25"/>
      <c r="AR1213" s="25"/>
      <c r="AS1213" s="25"/>
      <c r="AT1213" s="25"/>
      <c r="AU1213" s="25"/>
      <c r="AV1213" s="25"/>
      <c r="AW1213" s="25"/>
      <c r="AX1213" s="25"/>
      <c r="AY1213" s="25"/>
      <c r="AZ1213" s="25"/>
      <c r="BA1213" s="25"/>
      <c r="BB1213" s="25"/>
      <c r="BC1213" s="25"/>
      <c r="BD1213" s="25"/>
      <c r="BE1213" s="25"/>
      <c r="BF1213" s="25"/>
      <c r="BG1213" s="25"/>
      <c r="BH1213" s="25"/>
      <c r="BI1213" s="25"/>
      <c r="BJ1213" s="25"/>
      <c r="BK1213" s="25"/>
      <c r="BL1213" s="25"/>
      <c r="BM1213" s="25"/>
      <c r="BN1213" s="25"/>
      <c r="BO1213" s="25"/>
      <c r="BP1213" s="25"/>
      <c r="BQ1213" s="25"/>
      <c r="BR1213" s="25"/>
      <c r="BS1213" s="25"/>
      <c r="BT1213" s="25"/>
      <c r="BU1213" s="25"/>
      <c r="BV1213" s="25"/>
      <c r="BW1213" s="25"/>
      <c r="BX1213" s="25"/>
      <c r="BY1213" s="25"/>
      <c r="BZ1213" s="25"/>
      <c r="CA1213" s="25"/>
      <c r="CB1213" s="25"/>
    </row>
    <row r="1214" spans="1:80" ht="12.75" hidden="1" customHeight="1">
      <c r="A1214" s="10">
        <f ca="1">IFERROR(__xludf.DUMMYFUNCTION("""COMPUTED_VALUE"""),2016)</f>
        <v>2016</v>
      </c>
      <c r="B1214" s="50">
        <f ca="1">IFERROR(__xludf.DUMMYFUNCTION("""COMPUTED_VALUE"""),43322)</f>
        <v>43322</v>
      </c>
      <c r="C1214" s="41">
        <f ca="1">IFERROR(__xludf.DUMMYFUNCTION("""COMPUTED_VALUE"""),43181)</f>
        <v>43181</v>
      </c>
      <c r="D1214" s="42" t="str">
        <f ca="1">IFERROR(__xludf.DUMMYFUNCTION("""COMPUTED_VALUE"""),"Glossy Ibis")</f>
        <v>Glossy Ibis</v>
      </c>
      <c r="E1214" s="53">
        <f ca="1">IFERROR(__xludf.DUMMYFUNCTION("""COMPUTED_VALUE"""),1)</f>
        <v>1</v>
      </c>
      <c r="F1214" s="15"/>
      <c r="G1214" s="44" t="str">
        <f ca="1">IFERROR(__xludf.DUMMYFUNCTION("""COMPUTED_VALUE"""),"Gowy Meadow")</f>
        <v>Gowy Meadow</v>
      </c>
      <c r="H1214" s="12">
        <f ca="1">IFERROR(__xludf.DUMMYFUNCTION("""COMPUTED_VALUE"""),42492)</f>
        <v>42492</v>
      </c>
      <c r="I1214" s="13"/>
      <c r="J1214" s="14" t="str">
        <f ca="1">IFERROR(__xludf.DUMMYFUNCTION("""COMPUTED_VALUE"""),"O'Hanlon J")</f>
        <v>O'Hanlon J</v>
      </c>
      <c r="K1214" s="15" t="str">
        <f ca="1">IFERROR(__xludf.DUMMYFUNCTION("""COMPUTED_VALUE"""),"O'Hanlon J")</f>
        <v>O'Hanlon J</v>
      </c>
      <c r="L1214" s="17" t="str">
        <f ca="1">IFERROR(__xludf.DUMMYFUNCTION("""COMPUTED_VALUE"""),"closed")</f>
        <v>closed</v>
      </c>
      <c r="M1214" s="17" t="str">
        <f ca="1">IFERROR(__xludf.DUMMYFUNCTION("""COMPUTED_VALUE"""),"1st M")</f>
        <v>1st M</v>
      </c>
      <c r="N1214" s="15" t="str">
        <f ca="1">IFERROR(__xludf.DUMMYFUNCTION("""COMPUTED_VALUE"""),"accepted")</f>
        <v>accepted</v>
      </c>
      <c r="O1214" s="18"/>
      <c r="P1214" s="15"/>
      <c r="Q1214" s="15"/>
      <c r="R1214" s="15"/>
      <c r="S1214" s="15"/>
      <c r="T1214" s="15"/>
      <c r="U1214" s="15"/>
      <c r="V1214" s="15"/>
      <c r="W1214" s="15"/>
      <c r="X1214" s="15"/>
      <c r="Y1214" s="15"/>
      <c r="Z1214" s="15"/>
      <c r="AA1214" s="15"/>
      <c r="AB1214" s="15"/>
      <c r="AC1214" s="15"/>
      <c r="AD1214" s="15"/>
      <c r="AE1214" s="15"/>
      <c r="AF1214" s="15"/>
      <c r="AG1214" s="15"/>
      <c r="AH1214" s="15"/>
      <c r="AI1214" s="15"/>
      <c r="AJ1214" s="15"/>
      <c r="AK1214" s="15"/>
      <c r="AL1214" s="15"/>
      <c r="AM1214" s="15"/>
      <c r="AN1214" s="15"/>
      <c r="AO1214" s="15"/>
      <c r="AP1214" s="15"/>
      <c r="AQ1214" s="15"/>
      <c r="AR1214" s="15"/>
      <c r="AS1214" s="15"/>
      <c r="AT1214" s="15"/>
      <c r="AU1214" s="15"/>
      <c r="AV1214" s="15"/>
      <c r="AW1214" s="15"/>
      <c r="AX1214" s="15"/>
      <c r="AY1214" s="15"/>
      <c r="AZ1214" s="15"/>
      <c r="BA1214" s="15"/>
      <c r="BB1214" s="15"/>
      <c r="BC1214" s="15"/>
      <c r="BD1214" s="15"/>
      <c r="BE1214" s="15"/>
      <c r="BF1214" s="15"/>
      <c r="BG1214" s="15"/>
      <c r="BH1214" s="15"/>
      <c r="BI1214" s="15"/>
      <c r="BJ1214" s="15"/>
      <c r="BK1214" s="15"/>
      <c r="BL1214" s="15"/>
      <c r="BM1214" s="15"/>
      <c r="BN1214" s="15"/>
      <c r="BO1214" s="15"/>
      <c r="BP1214" s="15"/>
      <c r="BQ1214" s="15"/>
      <c r="BR1214" s="15"/>
      <c r="BS1214" s="15"/>
      <c r="BT1214" s="15"/>
      <c r="BU1214" s="15"/>
      <c r="BV1214" s="15"/>
      <c r="BW1214" s="15"/>
      <c r="BX1214" s="15"/>
      <c r="BY1214" s="15"/>
      <c r="BZ1214" s="15"/>
      <c r="CA1214" s="15"/>
      <c r="CB1214" s="15"/>
    </row>
    <row r="1215" spans="1:80" ht="12.75" hidden="1" customHeight="1">
      <c r="A1215" s="20">
        <f ca="1">IFERROR(__xludf.DUMMYFUNCTION("""COMPUTED_VALUE"""),2016)</f>
        <v>2016</v>
      </c>
      <c r="B1215" s="45">
        <f ca="1">IFERROR(__xludf.DUMMYFUNCTION("""COMPUTED_VALUE"""),43207)</f>
        <v>43207</v>
      </c>
      <c r="C1215" s="46">
        <f ca="1">IFERROR(__xludf.DUMMYFUNCTION("""COMPUTED_VALUE"""),43181)</f>
        <v>43181</v>
      </c>
      <c r="D1215" s="47" t="str">
        <f ca="1">IFERROR(__xludf.DUMMYFUNCTION("""COMPUTED_VALUE"""),"Glossy Ibis")</f>
        <v>Glossy Ibis</v>
      </c>
      <c r="E1215" s="52">
        <f ca="1">IFERROR(__xludf.DUMMYFUNCTION("""COMPUTED_VALUE"""),1)</f>
        <v>1</v>
      </c>
      <c r="F1215" s="25"/>
      <c r="G1215" s="48" t="str">
        <f ca="1">IFERROR(__xludf.DUMMYFUNCTION("""COMPUTED_VALUE"""),"Burton Mere Wetlands RSPB")</f>
        <v>Burton Mere Wetlands RSPB</v>
      </c>
      <c r="H1215" s="22">
        <f ca="1">IFERROR(__xludf.DUMMYFUNCTION("""COMPUTED_VALUE"""),42546)</f>
        <v>42546</v>
      </c>
      <c r="I1215" s="23"/>
      <c r="J1215" s="24" t="str">
        <f ca="1">IFERROR(__xludf.DUMMYFUNCTION("""COMPUTED_VALUE"""),"Wende, S")</f>
        <v>Wende, S</v>
      </c>
      <c r="K1215" s="25" t="str">
        <f ca="1">IFERROR(__xludf.DUMMYFUNCTION("""COMPUTED_VALUE"""),"?")</f>
        <v>?</v>
      </c>
      <c r="L1215" s="27" t="str">
        <f ca="1">IFERROR(__xludf.DUMMYFUNCTION("""COMPUTED_VALUE"""),"closed")</f>
        <v>closed</v>
      </c>
      <c r="M1215" s="27" t="str">
        <f ca="1">IFERROR(__xludf.DUMMYFUNCTION("""COMPUTED_VALUE"""),"1st U")</f>
        <v>1st U</v>
      </c>
      <c r="N1215" s="25" t="str">
        <f ca="1">IFERROR(__xludf.DUMMYFUNCTION("""COMPUTED_VALUE"""),"accepted")</f>
        <v>accepted</v>
      </c>
      <c r="O1215" s="28"/>
      <c r="P1215" s="25"/>
      <c r="Q1215" s="25"/>
      <c r="R1215" s="25"/>
      <c r="S1215" s="25"/>
      <c r="T1215" s="25"/>
      <c r="U1215" s="25"/>
      <c r="V1215" s="25"/>
      <c r="W1215" s="25"/>
      <c r="X1215" s="25"/>
      <c r="Y1215" s="25"/>
      <c r="Z1215" s="25"/>
      <c r="AA1215" s="25"/>
      <c r="AB1215" s="25"/>
      <c r="AC1215" s="25"/>
      <c r="AD1215" s="25"/>
      <c r="AE1215" s="25"/>
      <c r="AF1215" s="25"/>
      <c r="AG1215" s="25"/>
      <c r="AH1215" s="25"/>
      <c r="AI1215" s="25"/>
      <c r="AJ1215" s="25"/>
      <c r="AK1215" s="25"/>
      <c r="AL1215" s="25"/>
      <c r="AM1215" s="25"/>
      <c r="AN1215" s="25"/>
      <c r="AO1215" s="25"/>
      <c r="AP1215" s="25"/>
      <c r="AQ1215" s="25"/>
      <c r="AR1215" s="25"/>
      <c r="AS1215" s="25"/>
      <c r="AT1215" s="25"/>
      <c r="AU1215" s="25"/>
      <c r="AV1215" s="25"/>
      <c r="AW1215" s="25"/>
      <c r="AX1215" s="25"/>
      <c r="AY1215" s="25"/>
      <c r="AZ1215" s="25"/>
      <c r="BA1215" s="25"/>
      <c r="BB1215" s="25"/>
      <c r="BC1215" s="25"/>
      <c r="BD1215" s="25"/>
      <c r="BE1215" s="25"/>
      <c r="BF1215" s="25"/>
      <c r="BG1215" s="25"/>
      <c r="BH1215" s="25"/>
      <c r="BI1215" s="25"/>
      <c r="BJ1215" s="25"/>
      <c r="BK1215" s="25"/>
      <c r="BL1215" s="25"/>
      <c r="BM1215" s="25"/>
      <c r="BN1215" s="25"/>
      <c r="BO1215" s="25"/>
      <c r="BP1215" s="25"/>
      <c r="BQ1215" s="25"/>
      <c r="BR1215" s="25"/>
      <c r="BS1215" s="25"/>
      <c r="BT1215" s="25"/>
      <c r="BU1215" s="25"/>
      <c r="BV1215" s="25"/>
      <c r="BW1215" s="25"/>
      <c r="BX1215" s="25"/>
      <c r="BY1215" s="25"/>
      <c r="BZ1215" s="25"/>
      <c r="CA1215" s="25"/>
      <c r="CB1215" s="25"/>
    </row>
    <row r="1216" spans="1:80" ht="12.75" hidden="1" customHeight="1">
      <c r="A1216" s="10">
        <f ca="1">IFERROR(__xludf.DUMMYFUNCTION("""COMPUTED_VALUE"""),2016)</f>
        <v>2016</v>
      </c>
      <c r="B1216" s="50">
        <f ca="1">IFERROR(__xludf.DUMMYFUNCTION("""COMPUTED_VALUE"""),43313)</f>
        <v>43313</v>
      </c>
      <c r="C1216" s="41">
        <f ca="1">IFERROR(__xludf.DUMMYFUNCTION("""COMPUTED_VALUE"""),43181)</f>
        <v>43181</v>
      </c>
      <c r="D1216" s="42" t="str">
        <f ca="1">IFERROR(__xludf.DUMMYFUNCTION("""COMPUTED_VALUE"""),"Glossy Ibis")</f>
        <v>Glossy Ibis</v>
      </c>
      <c r="E1216" s="53">
        <f ca="1">IFERROR(__xludf.DUMMYFUNCTION("""COMPUTED_VALUE"""),1)</f>
        <v>1</v>
      </c>
      <c r="F1216" s="15" t="str">
        <f ca="1">IFERROR(__xludf.DUMMYFUNCTION("""COMPUTED_VALUE"""),"imm")</f>
        <v>imm</v>
      </c>
      <c r="G1216" s="44" t="str">
        <f ca="1">IFERROR(__xludf.DUMMYFUNCTION("""COMPUTED_VALUE"""),"Neumann's and Ashton Flashes")</f>
        <v>Neumann's and Ashton Flashes</v>
      </c>
      <c r="H1216" s="12">
        <f ca="1">IFERROR(__xludf.DUMMYFUNCTION("""COMPUTED_VALUE"""),42577)</f>
        <v>42577</v>
      </c>
      <c r="I1216" s="13"/>
      <c r="J1216" s="14" t="str">
        <f ca="1">IFERROR(__xludf.DUMMYFUNCTION("""COMPUTED_VALUE"""),"Baker, G")</f>
        <v>Baker, G</v>
      </c>
      <c r="K1216" s="15" t="str">
        <f ca="1">IFERROR(__xludf.DUMMYFUNCTION("""COMPUTED_VALUE"""),"Baker, G")</f>
        <v>Baker, G</v>
      </c>
      <c r="L1216" s="17" t="str">
        <f ca="1">IFERROR(__xludf.DUMMYFUNCTION("""COMPUTED_VALUE"""),"closed")</f>
        <v>closed</v>
      </c>
      <c r="M1216" s="17" t="str">
        <f ca="1">IFERROR(__xludf.DUMMYFUNCTION("""COMPUTED_VALUE"""),"1st U")</f>
        <v>1st U</v>
      </c>
      <c r="N1216" s="15" t="str">
        <f ca="1">IFERROR(__xludf.DUMMYFUNCTION("""COMPUTED_VALUE"""),"accepted")</f>
        <v>accepted</v>
      </c>
      <c r="O1216" s="18"/>
      <c r="P1216" s="15"/>
      <c r="Q1216" s="15"/>
      <c r="R1216" s="15"/>
      <c r="S1216" s="15"/>
      <c r="T1216" s="15"/>
      <c r="U1216" s="15"/>
      <c r="V1216" s="15"/>
      <c r="W1216" s="15"/>
      <c r="X1216" s="15"/>
      <c r="Y1216" s="15"/>
      <c r="Z1216" s="15"/>
      <c r="AA1216" s="15"/>
      <c r="AB1216" s="15"/>
      <c r="AC1216" s="15"/>
      <c r="AD1216" s="15"/>
      <c r="AE1216" s="15"/>
      <c r="AF1216" s="15"/>
      <c r="AG1216" s="15"/>
      <c r="AH1216" s="15"/>
      <c r="AI1216" s="15"/>
      <c r="AJ1216" s="15"/>
      <c r="AK1216" s="15"/>
      <c r="AL1216" s="15"/>
      <c r="AM1216" s="15"/>
      <c r="AN1216" s="15"/>
      <c r="AO1216" s="15"/>
      <c r="AP1216" s="15"/>
      <c r="AQ1216" s="15"/>
      <c r="AR1216" s="15"/>
      <c r="AS1216" s="15"/>
      <c r="AT1216" s="15"/>
      <c r="AU1216" s="15"/>
      <c r="AV1216" s="15"/>
      <c r="AW1216" s="15"/>
      <c r="AX1216" s="15"/>
      <c r="AY1216" s="15"/>
      <c r="AZ1216" s="15"/>
      <c r="BA1216" s="15"/>
      <c r="BB1216" s="15"/>
      <c r="BC1216" s="15"/>
      <c r="BD1216" s="15"/>
      <c r="BE1216" s="15"/>
      <c r="BF1216" s="15"/>
      <c r="BG1216" s="15"/>
      <c r="BH1216" s="15"/>
      <c r="BI1216" s="15"/>
      <c r="BJ1216" s="15"/>
      <c r="BK1216" s="15"/>
      <c r="BL1216" s="15"/>
      <c r="BM1216" s="15"/>
      <c r="BN1216" s="15"/>
      <c r="BO1216" s="15"/>
      <c r="BP1216" s="15"/>
      <c r="BQ1216" s="15"/>
      <c r="BR1216" s="15"/>
      <c r="BS1216" s="15"/>
      <c r="BT1216" s="15"/>
      <c r="BU1216" s="15"/>
      <c r="BV1216" s="15"/>
      <c r="BW1216" s="15"/>
      <c r="BX1216" s="15"/>
      <c r="BY1216" s="15"/>
      <c r="BZ1216" s="15"/>
      <c r="CA1216" s="15"/>
      <c r="CB1216" s="15"/>
    </row>
    <row r="1217" spans="1:80" ht="12.75" hidden="1" customHeight="1">
      <c r="A1217" s="20">
        <f ca="1">IFERROR(__xludf.DUMMYFUNCTION("""COMPUTED_VALUE"""),2016)</f>
        <v>2016</v>
      </c>
      <c r="B1217" s="45" t="str">
        <f ca="1">IFERROR(__xludf.DUMMYFUNCTION("""COMPUTED_VALUE"""),"29//3/18")</f>
        <v>29//3/18</v>
      </c>
      <c r="C1217" s="46">
        <f ca="1">IFERROR(__xludf.DUMMYFUNCTION("""COMPUTED_VALUE"""),43181)</f>
        <v>43181</v>
      </c>
      <c r="D1217" s="47" t="str">
        <f ca="1">IFERROR(__xludf.DUMMYFUNCTION("""COMPUTED_VALUE"""),"Cattle Egret")</f>
        <v>Cattle Egret</v>
      </c>
      <c r="E1217" s="52">
        <f ca="1">IFERROR(__xludf.DUMMYFUNCTION("""COMPUTED_VALUE"""),1)</f>
        <v>1</v>
      </c>
      <c r="F1217" s="80">
        <f ca="1">IFERROR(__xludf.DUMMYFUNCTION("""COMPUTED_VALUE"""),43221)</f>
        <v>43221</v>
      </c>
      <c r="G1217" s="48" t="str">
        <f ca="1">IFERROR(__xludf.DUMMYFUNCTION("""COMPUTED_VALUE"""),"Burton Mere Wetlands RSPB")</f>
        <v>Burton Mere Wetlands RSPB</v>
      </c>
      <c r="H1217" s="22">
        <f ca="1">IFERROR(__xludf.DUMMYFUNCTION("""COMPUTED_VALUE"""),42626)</f>
        <v>42626</v>
      </c>
      <c r="I1217" s="22">
        <f ca="1">IFERROR(__xludf.DUMMYFUNCTION("""COMPUTED_VALUE"""),42723)</f>
        <v>42723</v>
      </c>
      <c r="J1217" s="24" t="str">
        <f ca="1">IFERROR(__xludf.DUMMYFUNCTION("""COMPUTED_VALUE"""),"Various birdtrack comments")</f>
        <v>Various birdtrack comments</v>
      </c>
      <c r="K1217" s="25" t="str">
        <f ca="1">IFERROR(__xludf.DUMMYFUNCTION("""COMPUTED_VALUE"""),"?")</f>
        <v>?</v>
      </c>
      <c r="L1217" s="27" t="str">
        <f ca="1">IFERROR(__xludf.DUMMYFUNCTION("""COMPUTED_VALUE"""),"closed")</f>
        <v>closed</v>
      </c>
      <c r="M1217" s="27" t="str">
        <f ca="1">IFERROR(__xludf.DUMMYFUNCTION("""COMPUTED_VALUE"""),"1st U")</f>
        <v>1st U</v>
      </c>
      <c r="N1217" s="25" t="str">
        <f ca="1">IFERROR(__xludf.DUMMYFUNCTION("""COMPUTED_VALUE"""),"accepted")</f>
        <v>accepted</v>
      </c>
      <c r="O1217" s="28" t="str">
        <f ca="1">IFERROR(__xludf.DUMMYFUNCTION("""COMPUTED_VALUE"""),"2nd bird from 15th Oct, 5 from 18th Oct 6 from Nov 11th")</f>
        <v>2nd bird from 15th Oct, 5 from 18th Oct 6 from Nov 11th</v>
      </c>
      <c r="P1217" s="25"/>
      <c r="Q1217" s="25"/>
      <c r="R1217" s="25"/>
      <c r="S1217" s="25"/>
      <c r="T1217" s="25"/>
      <c r="U1217" s="25"/>
      <c r="V1217" s="25"/>
      <c r="W1217" s="25"/>
      <c r="X1217" s="25"/>
      <c r="Y1217" s="25"/>
      <c r="Z1217" s="25"/>
      <c r="AA1217" s="25"/>
      <c r="AB1217" s="25"/>
      <c r="AC1217" s="25"/>
      <c r="AD1217" s="25"/>
      <c r="AE1217" s="25"/>
      <c r="AF1217" s="25"/>
      <c r="AG1217" s="25"/>
      <c r="AH1217" s="25"/>
      <c r="AI1217" s="25"/>
      <c r="AJ1217" s="25"/>
      <c r="AK1217" s="25"/>
      <c r="AL1217" s="25"/>
      <c r="AM1217" s="25"/>
      <c r="AN1217" s="25"/>
      <c r="AO1217" s="25"/>
      <c r="AP1217" s="25"/>
      <c r="AQ1217" s="25"/>
      <c r="AR1217" s="25"/>
      <c r="AS1217" s="25"/>
      <c r="AT1217" s="25"/>
      <c r="AU1217" s="25"/>
      <c r="AV1217" s="25"/>
      <c r="AW1217" s="25"/>
      <c r="AX1217" s="25"/>
      <c r="AY1217" s="25"/>
      <c r="AZ1217" s="25"/>
      <c r="BA1217" s="25"/>
      <c r="BB1217" s="25"/>
      <c r="BC1217" s="25"/>
      <c r="BD1217" s="25"/>
      <c r="BE1217" s="25"/>
      <c r="BF1217" s="25"/>
      <c r="BG1217" s="25"/>
      <c r="BH1217" s="25"/>
      <c r="BI1217" s="25"/>
      <c r="BJ1217" s="25"/>
      <c r="BK1217" s="25"/>
      <c r="BL1217" s="25"/>
      <c r="BM1217" s="25"/>
      <c r="BN1217" s="25"/>
      <c r="BO1217" s="25"/>
      <c r="BP1217" s="25"/>
      <c r="BQ1217" s="25"/>
      <c r="BR1217" s="25"/>
      <c r="BS1217" s="25"/>
      <c r="BT1217" s="25"/>
      <c r="BU1217" s="25"/>
      <c r="BV1217" s="25"/>
      <c r="BW1217" s="25"/>
      <c r="BX1217" s="25"/>
      <c r="BY1217" s="25"/>
      <c r="BZ1217" s="25"/>
      <c r="CA1217" s="25"/>
      <c r="CB1217" s="25"/>
    </row>
    <row r="1218" spans="1:80" ht="12.75" hidden="1" customHeight="1">
      <c r="A1218" s="10">
        <f ca="1">IFERROR(__xludf.DUMMYFUNCTION("""COMPUTED_VALUE"""),2016)</f>
        <v>2016</v>
      </c>
      <c r="B1218" s="50">
        <f ca="1">IFERROR(__xludf.DUMMYFUNCTION("""COMPUTED_VALUE"""),43188)</f>
        <v>43188</v>
      </c>
      <c r="C1218" s="41">
        <f ca="1">IFERROR(__xludf.DUMMYFUNCTION("""COMPUTED_VALUE"""),43181)</f>
        <v>43181</v>
      </c>
      <c r="D1218" s="42" t="str">
        <f ca="1">IFERROR(__xludf.DUMMYFUNCTION("""COMPUTED_VALUE"""),"Great White Egret")</f>
        <v>Great White Egret</v>
      </c>
      <c r="E1218" s="53">
        <f ca="1">IFERROR(__xludf.DUMMYFUNCTION("""COMPUTED_VALUE"""),1)</f>
        <v>1</v>
      </c>
      <c r="F1218" s="15"/>
      <c r="G1218" s="44" t="str">
        <f ca="1">IFERROR(__xludf.DUMMYFUNCTION("""COMPUTED_VALUE"""),"Neumann's Flash Northwich")</f>
        <v>Neumann's Flash Northwich</v>
      </c>
      <c r="H1218" s="12">
        <f ca="1">IFERROR(__xludf.DUMMYFUNCTION("""COMPUTED_VALUE"""),42641)</f>
        <v>42641</v>
      </c>
      <c r="I1218" s="13"/>
      <c r="J1218" s="14" t="str">
        <f ca="1">IFERROR(__xludf.DUMMYFUNCTION("""COMPUTED_VALUE"""),"Baker, G")</f>
        <v>Baker, G</v>
      </c>
      <c r="K1218" s="15" t="str">
        <f ca="1">IFERROR(__xludf.DUMMYFUNCTION("""COMPUTED_VALUE"""),"Baker, G")</f>
        <v>Baker, G</v>
      </c>
      <c r="L1218" s="17" t="str">
        <f ca="1">IFERROR(__xludf.DUMMYFUNCTION("""COMPUTED_VALUE"""),"closed")</f>
        <v>closed</v>
      </c>
      <c r="M1218" s="17" t="str">
        <f ca="1">IFERROR(__xludf.DUMMYFUNCTION("""COMPUTED_VALUE"""),"1st U")</f>
        <v>1st U</v>
      </c>
      <c r="N1218" s="15" t="str">
        <f ca="1">IFERROR(__xludf.DUMMYFUNCTION("""COMPUTED_VALUE"""),"accepted")</f>
        <v>accepted</v>
      </c>
      <c r="O1218" s="18"/>
      <c r="P1218" s="15"/>
      <c r="Q1218" s="15"/>
      <c r="R1218" s="15"/>
      <c r="S1218" s="15"/>
      <c r="T1218" s="15"/>
      <c r="U1218" s="15"/>
      <c r="V1218" s="15"/>
      <c r="W1218" s="15"/>
      <c r="X1218" s="15"/>
      <c r="Y1218" s="15"/>
      <c r="Z1218" s="15"/>
      <c r="AA1218" s="15"/>
      <c r="AB1218" s="15"/>
      <c r="AC1218" s="15"/>
      <c r="AD1218" s="15"/>
      <c r="AE1218" s="15"/>
      <c r="AF1218" s="15"/>
      <c r="AG1218" s="15"/>
      <c r="AH1218" s="15"/>
      <c r="AI1218" s="15"/>
      <c r="AJ1218" s="15"/>
      <c r="AK1218" s="15"/>
      <c r="AL1218" s="15"/>
      <c r="AM1218" s="15"/>
      <c r="AN1218" s="15"/>
      <c r="AO1218" s="15"/>
      <c r="AP1218" s="15"/>
      <c r="AQ1218" s="15"/>
      <c r="AR1218" s="15"/>
      <c r="AS1218" s="15"/>
      <c r="AT1218" s="15"/>
      <c r="AU1218" s="15"/>
      <c r="AV1218" s="15"/>
      <c r="AW1218" s="15"/>
      <c r="AX1218" s="15"/>
      <c r="AY1218" s="15"/>
      <c r="AZ1218" s="15"/>
      <c r="BA1218" s="15"/>
      <c r="BB1218" s="15"/>
      <c r="BC1218" s="15"/>
      <c r="BD1218" s="15"/>
      <c r="BE1218" s="15"/>
      <c r="BF1218" s="15"/>
      <c r="BG1218" s="15"/>
      <c r="BH1218" s="15"/>
      <c r="BI1218" s="15"/>
      <c r="BJ1218" s="15"/>
      <c r="BK1218" s="15"/>
      <c r="BL1218" s="15"/>
      <c r="BM1218" s="15"/>
      <c r="BN1218" s="15"/>
      <c r="BO1218" s="15"/>
      <c r="BP1218" s="15"/>
      <c r="BQ1218" s="15"/>
      <c r="BR1218" s="15"/>
      <c r="BS1218" s="15"/>
      <c r="BT1218" s="15"/>
      <c r="BU1218" s="15"/>
      <c r="BV1218" s="15"/>
      <c r="BW1218" s="15"/>
      <c r="BX1218" s="15"/>
      <c r="BY1218" s="15"/>
      <c r="BZ1218" s="15"/>
      <c r="CA1218" s="15"/>
      <c r="CB1218" s="15"/>
    </row>
    <row r="1219" spans="1:80" ht="12.75" hidden="1" customHeight="1">
      <c r="A1219" s="20">
        <f ca="1">IFERROR(__xludf.DUMMYFUNCTION("""COMPUTED_VALUE"""),2016)</f>
        <v>2016</v>
      </c>
      <c r="B1219" s="45">
        <f ca="1">IFERROR(__xludf.DUMMYFUNCTION("""COMPUTED_VALUE"""),43181)</f>
        <v>43181</v>
      </c>
      <c r="C1219" s="46">
        <f ca="1">IFERROR(__xludf.DUMMYFUNCTION("""COMPUTED_VALUE"""),43181)</f>
        <v>43181</v>
      </c>
      <c r="D1219" s="47" t="str">
        <f ca="1">IFERROR(__xludf.DUMMYFUNCTION("""COMPUTED_VALUE"""),"Great White Egret")</f>
        <v>Great White Egret</v>
      </c>
      <c r="E1219" s="52">
        <f ca="1">IFERROR(__xludf.DUMMYFUNCTION("""COMPUTED_VALUE"""),1)</f>
        <v>1</v>
      </c>
      <c r="F1219" s="25"/>
      <c r="G1219" s="48" t="str">
        <f ca="1">IFERROR(__xludf.DUMMYFUNCTION("""COMPUTED_VALUE"""),"Hoylake Shore")</f>
        <v>Hoylake Shore</v>
      </c>
      <c r="H1219" s="22">
        <f ca="1">IFERROR(__xludf.DUMMYFUNCTION("""COMPUTED_VALUE"""),42650)</f>
        <v>42650</v>
      </c>
      <c r="I1219" s="22">
        <f ca="1">IFERROR(__xludf.DUMMYFUNCTION("""COMPUTED_VALUE"""),42650)</f>
        <v>42650</v>
      </c>
      <c r="J1219" s="24" t="str">
        <f ca="1">IFERROR(__xludf.DUMMYFUNCTION("""COMPUTED_VALUE"""),"Turner, JE")</f>
        <v>Turner, JE</v>
      </c>
      <c r="K1219" s="25" t="str">
        <f ca="1">IFERROR(__xludf.DUMMYFUNCTION("""COMPUTED_VALUE"""),"Turner, JE")</f>
        <v>Turner, JE</v>
      </c>
      <c r="L1219" s="27" t="str">
        <f ca="1">IFERROR(__xludf.DUMMYFUNCTION("""COMPUTED_VALUE"""),"closed")</f>
        <v>closed</v>
      </c>
      <c r="M1219" s="27" t="str">
        <f ca="1">IFERROR(__xludf.DUMMYFUNCTION("""COMPUTED_VALUE"""),"1st U")</f>
        <v>1st U</v>
      </c>
      <c r="N1219" s="25" t="str">
        <f ca="1">IFERROR(__xludf.DUMMYFUNCTION("""COMPUTED_VALUE"""),"accepted")</f>
        <v>accepted</v>
      </c>
      <c r="O1219" s="28" t="str">
        <f ca="1">IFERROR(__xludf.DUMMYFUNCTION("""COMPUTED_VALUE"""),"flew inland")</f>
        <v>flew inland</v>
      </c>
      <c r="P1219" s="25"/>
      <c r="Q1219" s="25"/>
      <c r="R1219" s="25"/>
      <c r="S1219" s="25"/>
      <c r="T1219" s="25"/>
      <c r="U1219" s="25"/>
      <c r="V1219" s="25"/>
      <c r="W1219" s="25"/>
      <c r="X1219" s="25"/>
      <c r="Y1219" s="25"/>
      <c r="Z1219" s="25"/>
      <c r="AA1219" s="25"/>
      <c r="AB1219" s="25"/>
      <c r="AC1219" s="25"/>
      <c r="AD1219" s="25"/>
      <c r="AE1219" s="25"/>
      <c r="AF1219" s="25"/>
      <c r="AG1219" s="25"/>
      <c r="AH1219" s="25"/>
      <c r="AI1219" s="25"/>
      <c r="AJ1219" s="25"/>
      <c r="AK1219" s="25"/>
      <c r="AL1219" s="25"/>
      <c r="AM1219" s="25"/>
      <c r="AN1219" s="25"/>
      <c r="AO1219" s="25"/>
      <c r="AP1219" s="25"/>
      <c r="AQ1219" s="25"/>
      <c r="AR1219" s="25"/>
      <c r="AS1219" s="25"/>
      <c r="AT1219" s="25"/>
      <c r="AU1219" s="25"/>
      <c r="AV1219" s="25"/>
      <c r="AW1219" s="25"/>
      <c r="AX1219" s="25"/>
      <c r="AY1219" s="25"/>
      <c r="AZ1219" s="25"/>
      <c r="BA1219" s="25"/>
      <c r="BB1219" s="25"/>
      <c r="BC1219" s="25"/>
      <c r="BD1219" s="25"/>
      <c r="BE1219" s="25"/>
      <c r="BF1219" s="25"/>
      <c r="BG1219" s="25"/>
      <c r="BH1219" s="25"/>
      <c r="BI1219" s="25"/>
      <c r="BJ1219" s="25"/>
      <c r="BK1219" s="25"/>
      <c r="BL1219" s="25"/>
      <c r="BM1219" s="25"/>
      <c r="BN1219" s="25"/>
      <c r="BO1219" s="25"/>
      <c r="BP1219" s="25"/>
      <c r="BQ1219" s="25"/>
      <c r="BR1219" s="25"/>
      <c r="BS1219" s="25"/>
      <c r="BT1219" s="25"/>
      <c r="BU1219" s="25"/>
      <c r="BV1219" s="25"/>
      <c r="BW1219" s="25"/>
      <c r="BX1219" s="25"/>
      <c r="BY1219" s="25"/>
      <c r="BZ1219" s="25"/>
      <c r="CA1219" s="25"/>
      <c r="CB1219" s="25"/>
    </row>
    <row r="1220" spans="1:80" ht="12.75" hidden="1" customHeight="1">
      <c r="A1220" s="10">
        <f ca="1">IFERROR(__xludf.DUMMYFUNCTION("""COMPUTED_VALUE"""),2016)</f>
        <v>2016</v>
      </c>
      <c r="B1220" s="50">
        <f ca="1">IFERROR(__xludf.DUMMYFUNCTION("""COMPUTED_VALUE"""),43949)</f>
        <v>43949</v>
      </c>
      <c r="C1220" s="41">
        <f ca="1">IFERROR(__xludf.DUMMYFUNCTION("""COMPUTED_VALUE"""),43874)</f>
        <v>43874</v>
      </c>
      <c r="D1220" s="42" t="str">
        <f ca="1">IFERROR(__xludf.DUMMYFUNCTION("""COMPUTED_VALUE"""),"Red-backed Shrike")</f>
        <v>Red-backed Shrike</v>
      </c>
      <c r="E1220" s="53">
        <f ca="1">IFERROR(__xludf.DUMMYFUNCTION("""COMPUTED_VALUE"""),1)</f>
        <v>1</v>
      </c>
      <c r="F1220" s="15" t="str">
        <f ca="1">IFERROR(__xludf.DUMMYFUNCTION("""COMPUTED_VALUE"""),"juv")</f>
        <v>juv</v>
      </c>
      <c r="G1220" s="44" t="str">
        <f ca="1">IFERROR(__xludf.DUMMYFUNCTION("""COMPUTED_VALUE"""),"Silver Lane Ponds, Warrington")</f>
        <v>Silver Lane Ponds, Warrington</v>
      </c>
      <c r="H1220" s="12">
        <f ca="1">IFERROR(__xludf.DUMMYFUNCTION("""COMPUTED_VALUE"""),42630)</f>
        <v>42630</v>
      </c>
      <c r="I1220" s="12">
        <f ca="1">IFERROR(__xludf.DUMMYFUNCTION("""COMPUTED_VALUE"""),42630)</f>
        <v>42630</v>
      </c>
      <c r="J1220" s="14" t="str">
        <f ca="1">IFERROR(__xludf.DUMMYFUNCTION("""COMPUTED_VALUE"""),"Richardson, Paul")</f>
        <v>Richardson, Paul</v>
      </c>
      <c r="K1220" s="15" t="str">
        <f ca="1">IFERROR(__xludf.DUMMYFUNCTION("""COMPUTED_VALUE"""),"Richardson, Paul")</f>
        <v>Richardson, Paul</v>
      </c>
      <c r="L1220" s="17" t="str">
        <f ca="1">IFERROR(__xludf.DUMMYFUNCTION("""COMPUTED_VALUE"""),"closed")</f>
        <v>closed</v>
      </c>
      <c r="M1220" s="17" t="str">
        <f ca="1">IFERROR(__xludf.DUMMYFUNCTION("""COMPUTED_VALUE"""),"1st U")</f>
        <v>1st U</v>
      </c>
      <c r="N1220" s="15" t="str">
        <f ca="1">IFERROR(__xludf.DUMMYFUNCTION("""COMPUTED_VALUE"""),"accepted")</f>
        <v>accepted</v>
      </c>
      <c r="O1220" s="18"/>
      <c r="P1220" s="15"/>
      <c r="Q1220" s="15"/>
      <c r="R1220" s="15"/>
      <c r="S1220" s="15"/>
      <c r="T1220" s="15"/>
      <c r="U1220" s="15"/>
      <c r="V1220" s="15"/>
      <c r="W1220" s="15"/>
      <c r="X1220" s="15"/>
      <c r="Y1220" s="15"/>
      <c r="Z1220" s="15"/>
      <c r="AA1220" s="15"/>
      <c r="AB1220" s="15"/>
      <c r="AC1220" s="15"/>
      <c r="AD1220" s="15"/>
      <c r="AE1220" s="15"/>
      <c r="AF1220" s="15"/>
      <c r="AG1220" s="15"/>
      <c r="AH1220" s="15"/>
      <c r="AI1220" s="15"/>
      <c r="AJ1220" s="15"/>
      <c r="AK1220" s="15"/>
      <c r="AL1220" s="15"/>
      <c r="AM1220" s="15"/>
      <c r="AN1220" s="15"/>
      <c r="AO1220" s="15"/>
      <c r="AP1220" s="15"/>
      <c r="AQ1220" s="15"/>
      <c r="AR1220" s="15"/>
      <c r="AS1220" s="15"/>
      <c r="AT1220" s="15"/>
      <c r="AU1220" s="15"/>
      <c r="AV1220" s="15"/>
      <c r="AW1220" s="15"/>
      <c r="AX1220" s="15"/>
      <c r="AY1220" s="15"/>
      <c r="AZ1220" s="15"/>
      <c r="BA1220" s="15"/>
      <c r="BB1220" s="15"/>
      <c r="BC1220" s="15"/>
      <c r="BD1220" s="15"/>
      <c r="BE1220" s="15"/>
      <c r="BF1220" s="15"/>
      <c r="BG1220" s="15"/>
      <c r="BH1220" s="15"/>
      <c r="BI1220" s="15"/>
      <c r="BJ1220" s="15"/>
      <c r="BK1220" s="15"/>
      <c r="BL1220" s="15"/>
      <c r="BM1220" s="15"/>
      <c r="BN1220" s="15"/>
      <c r="BO1220" s="15"/>
      <c r="BP1220" s="15"/>
      <c r="BQ1220" s="15"/>
      <c r="BR1220" s="15"/>
      <c r="BS1220" s="15"/>
      <c r="BT1220" s="15"/>
      <c r="BU1220" s="15"/>
      <c r="BV1220" s="15"/>
      <c r="BW1220" s="15"/>
      <c r="BX1220" s="15"/>
      <c r="BY1220" s="15"/>
      <c r="BZ1220" s="15"/>
      <c r="CA1220" s="15"/>
      <c r="CB1220" s="15"/>
    </row>
    <row r="1221" spans="1:80" ht="12.75" hidden="1" customHeight="1">
      <c r="A1221" s="20">
        <f ca="1">IFERROR(__xludf.DUMMYFUNCTION("""COMPUTED_VALUE"""),2016)</f>
        <v>2016</v>
      </c>
      <c r="B1221" s="45">
        <f ca="1">IFERROR(__xludf.DUMMYFUNCTION("""COMPUTED_VALUE"""),43178)</f>
        <v>43178</v>
      </c>
      <c r="C1221" s="46">
        <f ca="1">IFERROR(__xludf.DUMMYFUNCTION("""COMPUTED_VALUE"""),43178)</f>
        <v>43178</v>
      </c>
      <c r="D1221" s="47" t="str">
        <f ca="1">IFERROR(__xludf.DUMMYFUNCTION("""COMPUTED_VALUE"""),"Yellow-browed Warbler")</f>
        <v>Yellow-browed Warbler</v>
      </c>
      <c r="E1221" s="52">
        <f ca="1">IFERROR(__xludf.DUMMYFUNCTION("""COMPUTED_VALUE"""),43191)</f>
        <v>43191</v>
      </c>
      <c r="F1221" s="25"/>
      <c r="G1221" s="48" t="str">
        <f ca="1">IFERROR(__xludf.DUMMYFUNCTION("""COMPUTED_VALUE"""),"Red Rocks, Hoylake")</f>
        <v>Red Rocks, Hoylake</v>
      </c>
      <c r="H1221" s="22">
        <f ca="1">IFERROR(__xludf.DUMMYFUNCTION("""COMPUTED_VALUE"""),42645)</f>
        <v>42645</v>
      </c>
      <c r="I1221" s="22">
        <f ca="1">IFERROR(__xludf.DUMMYFUNCTION("""COMPUTED_VALUE"""),42654)</f>
        <v>42654</v>
      </c>
      <c r="J1221" s="24" t="str">
        <f ca="1">IFERROR(__xludf.DUMMYFUNCTION("""COMPUTED_VALUE"""),"Turner, JE")</f>
        <v>Turner, JE</v>
      </c>
      <c r="K1221" s="25" t="str">
        <f ca="1">IFERROR(__xludf.DUMMYFUNCTION("""COMPUTED_VALUE"""),"Turner, JE")</f>
        <v>Turner, JE</v>
      </c>
      <c r="L1221" s="27" t="str">
        <f ca="1">IFERROR(__xludf.DUMMYFUNCTION("""COMPUTED_VALUE"""),"closed")</f>
        <v>closed</v>
      </c>
      <c r="M1221" s="27" t="str">
        <f ca="1">IFERROR(__xludf.DUMMYFUNCTION("""COMPUTED_VALUE"""),"1st U")</f>
        <v>1st U</v>
      </c>
      <c r="N1221" s="25" t="str">
        <f ca="1">IFERROR(__xludf.DUMMYFUNCTION("""COMPUTED_VALUE"""),"accepted")</f>
        <v>accepted</v>
      </c>
      <c r="O1221" s="28"/>
      <c r="P1221" s="25"/>
      <c r="Q1221" s="25"/>
      <c r="R1221" s="25"/>
      <c r="S1221" s="25"/>
      <c r="T1221" s="25"/>
      <c r="U1221" s="25"/>
      <c r="V1221" s="25"/>
      <c r="W1221" s="25"/>
      <c r="X1221" s="25"/>
      <c r="Y1221" s="25"/>
      <c r="Z1221" s="25"/>
      <c r="AA1221" s="25"/>
      <c r="AB1221" s="25"/>
      <c r="AC1221" s="25"/>
      <c r="AD1221" s="25"/>
      <c r="AE1221" s="25"/>
      <c r="AF1221" s="25"/>
      <c r="AG1221" s="25"/>
      <c r="AH1221" s="25"/>
      <c r="AI1221" s="25"/>
      <c r="AJ1221" s="25"/>
      <c r="AK1221" s="25"/>
      <c r="AL1221" s="25"/>
      <c r="AM1221" s="25"/>
      <c r="AN1221" s="25"/>
      <c r="AO1221" s="25"/>
      <c r="AP1221" s="25"/>
      <c r="AQ1221" s="25"/>
      <c r="AR1221" s="25"/>
      <c r="AS1221" s="25"/>
      <c r="AT1221" s="25"/>
      <c r="AU1221" s="25"/>
      <c r="AV1221" s="25"/>
      <c r="AW1221" s="25"/>
      <c r="AX1221" s="25"/>
      <c r="AY1221" s="25"/>
      <c r="AZ1221" s="25"/>
      <c r="BA1221" s="25"/>
      <c r="BB1221" s="25"/>
      <c r="BC1221" s="25"/>
      <c r="BD1221" s="25"/>
      <c r="BE1221" s="25"/>
      <c r="BF1221" s="25"/>
      <c r="BG1221" s="25"/>
      <c r="BH1221" s="25"/>
      <c r="BI1221" s="25"/>
      <c r="BJ1221" s="25"/>
      <c r="BK1221" s="25"/>
      <c r="BL1221" s="25"/>
      <c r="BM1221" s="25"/>
      <c r="BN1221" s="25"/>
      <c r="BO1221" s="25"/>
      <c r="BP1221" s="25"/>
      <c r="BQ1221" s="25"/>
      <c r="BR1221" s="25"/>
      <c r="BS1221" s="25"/>
      <c r="BT1221" s="25"/>
      <c r="BU1221" s="25"/>
      <c r="BV1221" s="25"/>
      <c r="BW1221" s="25"/>
      <c r="BX1221" s="25"/>
      <c r="BY1221" s="25"/>
      <c r="BZ1221" s="25"/>
      <c r="CA1221" s="25"/>
      <c r="CB1221" s="25"/>
    </row>
    <row r="1222" spans="1:80" ht="12.75" hidden="1" customHeight="1">
      <c r="A1222" s="10">
        <f ca="1">IFERROR(__xludf.DUMMYFUNCTION("""COMPUTED_VALUE"""),2016)</f>
        <v>2016</v>
      </c>
      <c r="B1222" s="50">
        <f ca="1">IFERROR(__xludf.DUMMYFUNCTION("""COMPUTED_VALUE"""),43313)</f>
        <v>43313</v>
      </c>
      <c r="C1222" s="41">
        <f ca="1">IFERROR(__xludf.DUMMYFUNCTION("""COMPUTED_VALUE"""),43178)</f>
        <v>43178</v>
      </c>
      <c r="D1222" s="42" t="str">
        <f ca="1">IFERROR(__xludf.DUMMYFUNCTION("""COMPUTED_VALUE"""),"Yellow-browed Warbler")</f>
        <v>Yellow-browed Warbler</v>
      </c>
      <c r="E1222" s="53">
        <f ca="1">IFERROR(__xludf.DUMMYFUNCTION("""COMPUTED_VALUE"""),43132)</f>
        <v>43132</v>
      </c>
      <c r="F1222" s="15"/>
      <c r="G1222" s="44" t="str">
        <f ca="1">IFERROR(__xludf.DUMMYFUNCTION("""COMPUTED_VALUE"""),"Hale/Pickering Pasture")</f>
        <v>Hale/Pickering Pasture</v>
      </c>
      <c r="H1222" s="12">
        <f ca="1">IFERROR(__xludf.DUMMYFUNCTION("""COMPUTED_VALUE"""),42646)</f>
        <v>42646</v>
      </c>
      <c r="I1222" s="12">
        <f ca="1">IFERROR(__xludf.DUMMYFUNCTION("""COMPUTED_VALUE"""),42670)</f>
        <v>42670</v>
      </c>
      <c r="J1222" s="14" t="str">
        <f ca="1">IFERROR(__xludf.DUMMYFUNCTION("""COMPUTED_VALUE"""),"see above")</f>
        <v>see above</v>
      </c>
      <c r="K1222" s="15"/>
      <c r="L1222" s="17" t="str">
        <f ca="1">IFERROR(__xludf.DUMMYFUNCTION("""COMPUTED_VALUE"""),"closed")</f>
        <v>closed</v>
      </c>
      <c r="M1222" s="17" t="str">
        <f ca="1">IFERROR(__xludf.DUMMYFUNCTION("""COMPUTED_VALUE"""),"1st U")</f>
        <v>1st U</v>
      </c>
      <c r="N1222" s="15" t="str">
        <f ca="1">IFERROR(__xludf.DUMMYFUNCTION("""COMPUTED_VALUE"""),"accepted")</f>
        <v>accepted</v>
      </c>
      <c r="O1222" s="18"/>
      <c r="P1222" s="15"/>
      <c r="Q1222" s="15"/>
      <c r="R1222" s="15"/>
      <c r="S1222" s="15"/>
      <c r="T1222" s="15"/>
      <c r="U1222" s="15"/>
      <c r="V1222" s="15"/>
      <c r="W1222" s="15"/>
      <c r="X1222" s="15"/>
      <c r="Y1222" s="15"/>
      <c r="Z1222" s="15"/>
      <c r="AA1222" s="15"/>
      <c r="AB1222" s="15"/>
      <c r="AC1222" s="15"/>
      <c r="AD1222" s="15"/>
      <c r="AE1222" s="15"/>
      <c r="AF1222" s="15"/>
      <c r="AG1222" s="15"/>
      <c r="AH1222" s="15"/>
      <c r="AI1222" s="15"/>
      <c r="AJ1222" s="15"/>
      <c r="AK1222" s="15"/>
      <c r="AL1222" s="15"/>
      <c r="AM1222" s="15"/>
      <c r="AN1222" s="15"/>
      <c r="AO1222" s="15"/>
      <c r="AP1222" s="15"/>
      <c r="AQ1222" s="15"/>
      <c r="AR1222" s="15"/>
      <c r="AS1222" s="15"/>
      <c r="AT1222" s="15"/>
      <c r="AU1222" s="15"/>
      <c r="AV1222" s="15"/>
      <c r="AW1222" s="15"/>
      <c r="AX1222" s="15"/>
      <c r="AY1222" s="15"/>
      <c r="AZ1222" s="15"/>
      <c r="BA1222" s="15"/>
      <c r="BB1222" s="15"/>
      <c r="BC1222" s="15"/>
      <c r="BD1222" s="15"/>
      <c r="BE1222" s="15"/>
      <c r="BF1222" s="15"/>
      <c r="BG1222" s="15"/>
      <c r="BH1222" s="15"/>
      <c r="BI1222" s="15"/>
      <c r="BJ1222" s="15"/>
      <c r="BK1222" s="15"/>
      <c r="BL1222" s="15"/>
      <c r="BM1222" s="15"/>
      <c r="BN1222" s="15"/>
      <c r="BO1222" s="15"/>
      <c r="BP1222" s="15"/>
      <c r="BQ1222" s="15"/>
      <c r="BR1222" s="15"/>
      <c r="BS1222" s="15"/>
      <c r="BT1222" s="15"/>
      <c r="BU1222" s="15"/>
      <c r="BV1222" s="15"/>
      <c r="BW1222" s="15"/>
      <c r="BX1222" s="15"/>
      <c r="BY1222" s="15"/>
      <c r="BZ1222" s="15"/>
      <c r="CA1222" s="15"/>
      <c r="CB1222" s="15"/>
    </row>
    <row r="1223" spans="1:80" ht="12.75" hidden="1" customHeight="1">
      <c r="A1223" s="20">
        <f ca="1">IFERROR(__xludf.DUMMYFUNCTION("""COMPUTED_VALUE"""),2016)</f>
        <v>2016</v>
      </c>
      <c r="B1223" s="45">
        <f ca="1">IFERROR(__xludf.DUMMYFUNCTION("""COMPUTED_VALUE"""),43313)</f>
        <v>43313</v>
      </c>
      <c r="C1223" s="46">
        <f ca="1">IFERROR(__xludf.DUMMYFUNCTION("""COMPUTED_VALUE"""),43178)</f>
        <v>43178</v>
      </c>
      <c r="D1223" s="47" t="str">
        <f ca="1">IFERROR(__xludf.DUMMYFUNCTION("""COMPUTED_VALUE"""),"Yellow-browed Warbler")</f>
        <v>Yellow-browed Warbler</v>
      </c>
      <c r="E1223" s="52">
        <f ca="1">IFERROR(__xludf.DUMMYFUNCTION("""COMPUTED_VALUE"""),43160)</f>
        <v>43160</v>
      </c>
      <c r="F1223" s="25" t="str">
        <f ca="1">IFERROR(__xludf.DUMMYFUNCTION("""COMPUTED_VALUE"""),"1stw")</f>
        <v>1stw</v>
      </c>
      <c r="G1223" s="48" t="str">
        <f ca="1">IFERROR(__xludf.DUMMYFUNCTION("""COMPUTED_VALUE"""),"Leasowe")</f>
        <v>Leasowe</v>
      </c>
      <c r="H1223" s="22">
        <f ca="1">IFERROR(__xludf.DUMMYFUNCTION("""COMPUTED_VALUE"""),42646)</f>
        <v>42646</v>
      </c>
      <c r="I1223" s="22">
        <f ca="1">IFERROR(__xludf.DUMMYFUNCTION("""COMPUTED_VALUE"""),42650)</f>
        <v>42650</v>
      </c>
      <c r="J1223" s="24" t="str">
        <f ca="1">IFERROR(__xludf.DUMMYFUNCTION("""COMPUTED_VALUE"""),"Williams, E")</f>
        <v>Williams, E</v>
      </c>
      <c r="K1223" s="25" t="str">
        <f ca="1">IFERROR(__xludf.DUMMYFUNCTION("""COMPUTED_VALUE"""),"Haigh, D")</f>
        <v>Haigh, D</v>
      </c>
      <c r="L1223" s="27" t="str">
        <f ca="1">IFERROR(__xludf.DUMMYFUNCTION("""COMPUTED_VALUE"""),"closed")</f>
        <v>closed</v>
      </c>
      <c r="M1223" s="27" t="str">
        <f ca="1">IFERROR(__xludf.DUMMYFUNCTION("""COMPUTED_VALUE"""),"1st U")</f>
        <v>1st U</v>
      </c>
      <c r="N1223" s="25" t="str">
        <f ca="1">IFERROR(__xludf.DUMMYFUNCTION("""COMPUTED_VALUE"""),"accepted")</f>
        <v>accepted</v>
      </c>
      <c r="O1223" s="28"/>
      <c r="P1223" s="25"/>
      <c r="Q1223" s="25"/>
      <c r="R1223" s="25"/>
      <c r="S1223" s="25"/>
      <c r="T1223" s="25"/>
      <c r="U1223" s="25"/>
      <c r="V1223" s="25"/>
      <c r="W1223" s="25"/>
      <c r="X1223" s="25"/>
      <c r="Y1223" s="25"/>
      <c r="Z1223" s="25"/>
      <c r="AA1223" s="25"/>
      <c r="AB1223" s="25"/>
      <c r="AC1223" s="25"/>
      <c r="AD1223" s="25"/>
      <c r="AE1223" s="25"/>
      <c r="AF1223" s="25"/>
      <c r="AG1223" s="25"/>
      <c r="AH1223" s="25"/>
      <c r="AI1223" s="25"/>
      <c r="AJ1223" s="25"/>
      <c r="AK1223" s="25"/>
      <c r="AL1223" s="25"/>
      <c r="AM1223" s="25"/>
      <c r="AN1223" s="25"/>
      <c r="AO1223" s="25"/>
      <c r="AP1223" s="25"/>
      <c r="AQ1223" s="25"/>
      <c r="AR1223" s="25"/>
      <c r="AS1223" s="25"/>
      <c r="AT1223" s="25"/>
      <c r="AU1223" s="25"/>
      <c r="AV1223" s="25"/>
      <c r="AW1223" s="25"/>
      <c r="AX1223" s="25"/>
      <c r="AY1223" s="25"/>
      <c r="AZ1223" s="25"/>
      <c r="BA1223" s="25"/>
      <c r="BB1223" s="25"/>
      <c r="BC1223" s="25"/>
      <c r="BD1223" s="25"/>
      <c r="BE1223" s="25"/>
      <c r="BF1223" s="25"/>
      <c r="BG1223" s="25"/>
      <c r="BH1223" s="25"/>
      <c r="BI1223" s="25"/>
      <c r="BJ1223" s="25"/>
      <c r="BK1223" s="25"/>
      <c r="BL1223" s="25"/>
      <c r="BM1223" s="25"/>
      <c r="BN1223" s="25"/>
      <c r="BO1223" s="25"/>
      <c r="BP1223" s="25"/>
      <c r="BQ1223" s="25"/>
      <c r="BR1223" s="25"/>
      <c r="BS1223" s="25"/>
      <c r="BT1223" s="25"/>
      <c r="BU1223" s="25"/>
      <c r="BV1223" s="25"/>
      <c r="BW1223" s="25"/>
      <c r="BX1223" s="25"/>
      <c r="BY1223" s="25"/>
      <c r="BZ1223" s="25"/>
      <c r="CA1223" s="25"/>
      <c r="CB1223" s="25"/>
    </row>
    <row r="1224" spans="1:80" ht="12.75" hidden="1" customHeight="1">
      <c r="A1224" s="10">
        <f ca="1">IFERROR(__xludf.DUMMYFUNCTION("""COMPUTED_VALUE"""),2016)</f>
        <v>2016</v>
      </c>
      <c r="B1224" s="50">
        <f ca="1">IFERROR(__xludf.DUMMYFUNCTION("""COMPUTED_VALUE"""),43178)</f>
        <v>43178</v>
      </c>
      <c r="C1224" s="41">
        <f ca="1">IFERROR(__xludf.DUMMYFUNCTION("""COMPUTED_VALUE"""),43178)</f>
        <v>43178</v>
      </c>
      <c r="D1224" s="42" t="str">
        <f ca="1">IFERROR(__xludf.DUMMYFUNCTION("""COMPUTED_VALUE"""),"Yellow-browed Warbler")</f>
        <v>Yellow-browed Warbler</v>
      </c>
      <c r="E1224" s="53">
        <f ca="1">IFERROR(__xludf.DUMMYFUNCTION("""COMPUTED_VALUE"""),2)</f>
        <v>2</v>
      </c>
      <c r="F1224" s="15"/>
      <c r="G1224" s="44" t="str">
        <f ca="1">IFERROR(__xludf.DUMMYFUNCTION("""COMPUTED_VALUE"""),"Pickering's Pasture LNR, Widnes")</f>
        <v>Pickering's Pasture LNR, Widnes</v>
      </c>
      <c r="H1224" s="12">
        <f ca="1">IFERROR(__xludf.DUMMYFUNCTION("""COMPUTED_VALUE"""),42646)</f>
        <v>42646</v>
      </c>
      <c r="I1224" s="13"/>
      <c r="J1224" s="14" t="str">
        <f ca="1">IFERROR(__xludf.DUMMYFUNCTION("""COMPUTED_VALUE"""),"Cockbain, R")</f>
        <v>Cockbain, R</v>
      </c>
      <c r="K1224" s="15" t="str">
        <f ca="1">IFERROR(__xludf.DUMMYFUNCTION("""COMPUTED_VALUE"""),"Cockbain, R")</f>
        <v>Cockbain, R</v>
      </c>
      <c r="L1224" s="17" t="str">
        <f ca="1">IFERROR(__xludf.DUMMYFUNCTION("""COMPUTED_VALUE"""),"closed")</f>
        <v>closed</v>
      </c>
      <c r="M1224" s="17" t="str">
        <f ca="1">IFERROR(__xludf.DUMMYFUNCTION("""COMPUTED_VALUE"""),"1st U")</f>
        <v>1st U</v>
      </c>
      <c r="N1224" s="15" t="str">
        <f ca="1">IFERROR(__xludf.DUMMYFUNCTION("""COMPUTED_VALUE"""),"accepted")</f>
        <v>accepted</v>
      </c>
      <c r="O1224" s="18"/>
      <c r="P1224" s="15"/>
      <c r="Q1224" s="15"/>
      <c r="R1224" s="15"/>
      <c r="S1224" s="15"/>
      <c r="T1224" s="15"/>
      <c r="U1224" s="15"/>
      <c r="V1224" s="15"/>
      <c r="W1224" s="15"/>
      <c r="X1224" s="15"/>
      <c r="Y1224" s="15"/>
      <c r="Z1224" s="15"/>
      <c r="AA1224" s="15"/>
      <c r="AB1224" s="15"/>
      <c r="AC1224" s="15"/>
      <c r="AD1224" s="15"/>
      <c r="AE1224" s="15"/>
      <c r="AF1224" s="15"/>
      <c r="AG1224" s="15"/>
      <c r="AH1224" s="15"/>
      <c r="AI1224" s="15"/>
      <c r="AJ1224" s="15"/>
      <c r="AK1224" s="15"/>
      <c r="AL1224" s="15"/>
      <c r="AM1224" s="15"/>
      <c r="AN1224" s="15"/>
      <c r="AO1224" s="15"/>
      <c r="AP1224" s="15"/>
      <c r="AQ1224" s="15"/>
      <c r="AR1224" s="15"/>
      <c r="AS1224" s="15"/>
      <c r="AT1224" s="15"/>
      <c r="AU1224" s="15"/>
      <c r="AV1224" s="15"/>
      <c r="AW1224" s="15"/>
      <c r="AX1224" s="15"/>
      <c r="AY1224" s="15"/>
      <c r="AZ1224" s="15"/>
      <c r="BA1224" s="15"/>
      <c r="BB1224" s="15"/>
      <c r="BC1224" s="15"/>
      <c r="BD1224" s="15"/>
      <c r="BE1224" s="15"/>
      <c r="BF1224" s="15"/>
      <c r="BG1224" s="15"/>
      <c r="BH1224" s="15"/>
      <c r="BI1224" s="15"/>
      <c r="BJ1224" s="15"/>
      <c r="BK1224" s="15"/>
      <c r="BL1224" s="15"/>
      <c r="BM1224" s="15"/>
      <c r="BN1224" s="15"/>
      <c r="BO1224" s="15"/>
      <c r="BP1224" s="15"/>
      <c r="BQ1224" s="15"/>
      <c r="BR1224" s="15"/>
      <c r="BS1224" s="15"/>
      <c r="BT1224" s="15"/>
      <c r="BU1224" s="15"/>
      <c r="BV1224" s="15"/>
      <c r="BW1224" s="15"/>
      <c r="BX1224" s="15"/>
      <c r="BY1224" s="15"/>
      <c r="BZ1224" s="15"/>
      <c r="CA1224" s="15"/>
      <c r="CB1224" s="15"/>
    </row>
    <row r="1225" spans="1:80" ht="12.75" hidden="1" customHeight="1">
      <c r="A1225" s="20">
        <f ca="1">IFERROR(__xludf.DUMMYFUNCTION("""COMPUTED_VALUE"""),2016)</f>
        <v>2016</v>
      </c>
      <c r="B1225" s="45">
        <f ca="1">IFERROR(__xludf.DUMMYFUNCTION("""COMPUTED_VALUE"""),43178)</f>
        <v>43178</v>
      </c>
      <c r="C1225" s="46">
        <f ca="1">IFERROR(__xludf.DUMMYFUNCTION("""COMPUTED_VALUE"""),43178)</f>
        <v>43178</v>
      </c>
      <c r="D1225" s="47" t="str">
        <f ca="1">IFERROR(__xludf.DUMMYFUNCTION("""COMPUTED_VALUE"""),"Yellow-browed Warbler")</f>
        <v>Yellow-browed Warbler</v>
      </c>
      <c r="E1225" s="52">
        <f ca="1">IFERROR(__xludf.DUMMYFUNCTION("""COMPUTED_VALUE"""),1)</f>
        <v>1</v>
      </c>
      <c r="F1225" s="25"/>
      <c r="G1225" s="48" t="str">
        <f ca="1">IFERROR(__xludf.DUMMYFUNCTION("""COMPUTED_VALUE"""),"Hoylake")</f>
        <v>Hoylake</v>
      </c>
      <c r="H1225" s="22">
        <f ca="1">IFERROR(__xludf.DUMMYFUNCTION("""COMPUTED_VALUE"""),42648)</f>
        <v>42648</v>
      </c>
      <c r="I1225" s="23"/>
      <c r="J1225" s="24" t="str">
        <f ca="1">IFERROR(__xludf.DUMMYFUNCTION("""COMPUTED_VALUE"""),"Turner, JE")</f>
        <v>Turner, JE</v>
      </c>
      <c r="K1225" s="25" t="str">
        <f ca="1">IFERROR(__xludf.DUMMYFUNCTION("""COMPUTED_VALUE"""),"Turner, JE")</f>
        <v>Turner, JE</v>
      </c>
      <c r="L1225" s="27" t="str">
        <f ca="1">IFERROR(__xludf.DUMMYFUNCTION("""COMPUTED_VALUE"""),"closed")</f>
        <v>closed</v>
      </c>
      <c r="M1225" s="27" t="str">
        <f ca="1">IFERROR(__xludf.DUMMYFUNCTION("""COMPUTED_VALUE"""),"1st U")</f>
        <v>1st U</v>
      </c>
      <c r="N1225" s="25" t="str">
        <f ca="1">IFERROR(__xludf.DUMMYFUNCTION("""COMPUTED_VALUE"""),"accepted")</f>
        <v>accepted</v>
      </c>
      <c r="O1225" s="28"/>
      <c r="P1225" s="25"/>
      <c r="Q1225" s="25"/>
      <c r="R1225" s="25"/>
      <c r="S1225" s="25"/>
      <c r="T1225" s="25"/>
      <c r="U1225" s="25"/>
      <c r="V1225" s="25"/>
      <c r="W1225" s="25"/>
      <c r="X1225" s="25"/>
      <c r="Y1225" s="25"/>
      <c r="Z1225" s="25"/>
      <c r="AA1225" s="25"/>
      <c r="AB1225" s="25"/>
      <c r="AC1225" s="25"/>
      <c r="AD1225" s="25"/>
      <c r="AE1225" s="25"/>
      <c r="AF1225" s="25"/>
      <c r="AG1225" s="25"/>
      <c r="AH1225" s="25"/>
      <c r="AI1225" s="25"/>
      <c r="AJ1225" s="25"/>
      <c r="AK1225" s="25"/>
      <c r="AL1225" s="25"/>
      <c r="AM1225" s="25"/>
      <c r="AN1225" s="25"/>
      <c r="AO1225" s="25"/>
      <c r="AP1225" s="25"/>
      <c r="AQ1225" s="25"/>
      <c r="AR1225" s="25"/>
      <c r="AS1225" s="25"/>
      <c r="AT1225" s="25"/>
      <c r="AU1225" s="25"/>
      <c r="AV1225" s="25"/>
      <c r="AW1225" s="25"/>
      <c r="AX1225" s="25"/>
      <c r="AY1225" s="25"/>
      <c r="AZ1225" s="25"/>
      <c r="BA1225" s="25"/>
      <c r="BB1225" s="25"/>
      <c r="BC1225" s="25"/>
      <c r="BD1225" s="25"/>
      <c r="BE1225" s="25"/>
      <c r="BF1225" s="25"/>
      <c r="BG1225" s="25"/>
      <c r="BH1225" s="25"/>
      <c r="BI1225" s="25"/>
      <c r="BJ1225" s="25"/>
      <c r="BK1225" s="25"/>
      <c r="BL1225" s="25"/>
      <c r="BM1225" s="25"/>
      <c r="BN1225" s="25"/>
      <c r="BO1225" s="25"/>
      <c r="BP1225" s="25"/>
      <c r="BQ1225" s="25"/>
      <c r="BR1225" s="25"/>
      <c r="BS1225" s="25"/>
      <c r="BT1225" s="25"/>
      <c r="BU1225" s="25"/>
      <c r="BV1225" s="25"/>
      <c r="BW1225" s="25"/>
      <c r="BX1225" s="25"/>
      <c r="BY1225" s="25"/>
      <c r="BZ1225" s="25"/>
      <c r="CA1225" s="25"/>
      <c r="CB1225" s="25"/>
    </row>
    <row r="1226" spans="1:80" ht="12.75" hidden="1" customHeight="1">
      <c r="A1226" s="10">
        <f ca="1">IFERROR(__xludf.DUMMYFUNCTION("""COMPUTED_VALUE"""),2016)</f>
        <v>2016</v>
      </c>
      <c r="B1226" s="50">
        <f ca="1">IFERROR(__xludf.DUMMYFUNCTION("""COMPUTED_VALUE"""),42985)</f>
        <v>42985</v>
      </c>
      <c r="C1226" s="41">
        <f ca="1">IFERROR(__xludf.DUMMYFUNCTION("""COMPUTED_VALUE"""),43011)</f>
        <v>43011</v>
      </c>
      <c r="D1226" s="42" t="str">
        <f ca="1">IFERROR(__xludf.DUMMYFUNCTION("""COMPUTED_VALUE"""),"Pallas' Warbler")</f>
        <v>Pallas' Warbler</v>
      </c>
      <c r="E1226" s="53">
        <f ca="1">IFERROR(__xludf.DUMMYFUNCTION("""COMPUTED_VALUE"""),1)</f>
        <v>1</v>
      </c>
      <c r="F1226" s="15"/>
      <c r="G1226" s="44" t="str">
        <f ca="1">IFERROR(__xludf.DUMMYFUNCTION("""COMPUTED_VALUE"""),"Heswall Target Rd SF")</f>
        <v>Heswall Target Rd SF</v>
      </c>
      <c r="H1226" s="12">
        <f ca="1">IFERROR(__xludf.DUMMYFUNCTION("""COMPUTED_VALUE"""),42401)</f>
        <v>42401</v>
      </c>
      <c r="I1226" s="12">
        <f ca="1">IFERROR(__xludf.DUMMYFUNCTION("""COMPUTED_VALUE"""),42382)</f>
        <v>42382</v>
      </c>
      <c r="J1226" s="14" t="str">
        <f ca="1">IFERROR(__xludf.DUMMYFUNCTION("""COMPUTED_VALUE"""),"Hinde, S")</f>
        <v>Hinde, S</v>
      </c>
      <c r="K1226" s="15" t="str">
        <f ca="1">IFERROR(__xludf.DUMMYFUNCTION("""COMPUTED_VALUE"""),"Hinde, S")</f>
        <v>Hinde, S</v>
      </c>
      <c r="L1226" s="17" t="str">
        <f ca="1">IFERROR(__xludf.DUMMYFUNCTION("""COMPUTED_VALUE"""),"closed")</f>
        <v>closed</v>
      </c>
      <c r="M1226" s="17" t="str">
        <f ca="1">IFERROR(__xludf.DUMMYFUNCTION("""COMPUTED_VALUE"""),"1st U")</f>
        <v>1st U</v>
      </c>
      <c r="N1226" s="15" t="str">
        <f ca="1">IFERROR(__xludf.DUMMYFUNCTION("""COMPUTED_VALUE"""),"Accepted")</f>
        <v>Accepted</v>
      </c>
      <c r="O1226" s="18"/>
      <c r="P1226" s="15"/>
      <c r="Q1226" s="15"/>
      <c r="R1226" s="15"/>
      <c r="S1226" s="15"/>
      <c r="T1226" s="15"/>
      <c r="U1226" s="15"/>
      <c r="V1226" s="15"/>
      <c r="W1226" s="15"/>
      <c r="X1226" s="15"/>
      <c r="Y1226" s="15"/>
      <c r="Z1226" s="15"/>
      <c r="AA1226" s="15"/>
      <c r="AB1226" s="15"/>
      <c r="AC1226" s="15"/>
      <c r="AD1226" s="15"/>
      <c r="AE1226" s="15"/>
      <c r="AF1226" s="15"/>
      <c r="AG1226" s="15"/>
      <c r="AH1226" s="15"/>
      <c r="AI1226" s="15"/>
      <c r="AJ1226" s="15"/>
      <c r="AK1226" s="15"/>
      <c r="AL1226" s="15"/>
      <c r="AM1226" s="15"/>
      <c r="AN1226" s="15"/>
      <c r="AO1226" s="15"/>
      <c r="AP1226" s="15"/>
      <c r="AQ1226" s="15"/>
      <c r="AR1226" s="15"/>
      <c r="AS1226" s="15"/>
      <c r="AT1226" s="15"/>
      <c r="AU1226" s="15"/>
      <c r="AV1226" s="15"/>
      <c r="AW1226" s="15"/>
      <c r="AX1226" s="15"/>
      <c r="AY1226" s="15"/>
      <c r="AZ1226" s="15"/>
      <c r="BA1226" s="15"/>
      <c r="BB1226" s="15"/>
      <c r="BC1226" s="15"/>
      <c r="BD1226" s="15"/>
      <c r="BE1226" s="15"/>
      <c r="BF1226" s="15"/>
      <c r="BG1226" s="15"/>
      <c r="BH1226" s="15"/>
      <c r="BI1226" s="15"/>
      <c r="BJ1226" s="15"/>
      <c r="BK1226" s="15"/>
      <c r="BL1226" s="15"/>
      <c r="BM1226" s="15"/>
      <c r="BN1226" s="15"/>
      <c r="BO1226" s="15"/>
      <c r="BP1226" s="15"/>
      <c r="BQ1226" s="15"/>
      <c r="BR1226" s="15"/>
      <c r="BS1226" s="15"/>
      <c r="BT1226" s="15"/>
      <c r="BU1226" s="15"/>
      <c r="BV1226" s="15"/>
      <c r="BW1226" s="15"/>
      <c r="BX1226" s="15"/>
      <c r="BY1226" s="15"/>
      <c r="BZ1226" s="15"/>
      <c r="CA1226" s="15"/>
      <c r="CB1226" s="15"/>
    </row>
    <row r="1227" spans="1:80" ht="12.75" hidden="1" customHeight="1">
      <c r="A1227" s="20">
        <f ca="1">IFERROR(__xludf.DUMMYFUNCTION("""COMPUTED_VALUE"""),2016)</f>
        <v>2016</v>
      </c>
      <c r="B1227" s="45">
        <f ca="1">IFERROR(__xludf.DUMMYFUNCTION("""COMPUTED_VALUE"""),43313)</f>
        <v>43313</v>
      </c>
      <c r="C1227" s="46">
        <f ca="1">IFERROR(__xludf.DUMMYFUNCTION("""COMPUTED_VALUE"""),43174)</f>
        <v>43174</v>
      </c>
      <c r="D1227" s="47" t="str">
        <f ca="1">IFERROR(__xludf.DUMMYFUNCTION("""COMPUTED_VALUE"""),"Eastern Chiffchaff [tristis/abientinus race]")</f>
        <v>Eastern Chiffchaff [tristis/abientinus race]</v>
      </c>
      <c r="E1227" s="52">
        <f ca="1">IFERROR(__xludf.DUMMYFUNCTION("""COMPUTED_VALUE"""),1)</f>
        <v>1</v>
      </c>
      <c r="F1227" s="25"/>
      <c r="G1227" s="48" t="str">
        <f ca="1">IFERROR(__xludf.DUMMYFUNCTION("""COMPUTED_VALUE"""),"Neston SF")</f>
        <v>Neston SF</v>
      </c>
      <c r="H1227" s="22">
        <f ca="1">IFERROR(__xludf.DUMMYFUNCTION("""COMPUTED_VALUE"""),42438)</f>
        <v>42438</v>
      </c>
      <c r="I1227" s="22">
        <f ca="1">IFERROR(__xludf.DUMMYFUNCTION("""COMPUTED_VALUE"""),42446)</f>
        <v>42446</v>
      </c>
      <c r="J1227" s="24" t="str">
        <f ca="1">IFERROR(__xludf.DUMMYFUNCTION("""COMPUTED_VALUE"""),"Turner, M")</f>
        <v>Turner, M</v>
      </c>
      <c r="K1227" s="25" t="str">
        <f ca="1">IFERROR(__xludf.DUMMYFUNCTION("""COMPUTED_VALUE"""),"Turner, M")</f>
        <v>Turner, M</v>
      </c>
      <c r="L1227" s="27" t="str">
        <f ca="1">IFERROR(__xludf.DUMMYFUNCTION("""COMPUTED_VALUE"""),"closed")</f>
        <v>closed</v>
      </c>
      <c r="M1227" s="27" t="str">
        <f ca="1">IFERROR(__xludf.DUMMYFUNCTION("""COMPUTED_VALUE"""),"1st U")</f>
        <v>1st U</v>
      </c>
      <c r="N1227" s="25" t="str">
        <f ca="1">IFERROR(__xludf.DUMMYFUNCTION("""COMPUTED_VALUE"""),"accepted")</f>
        <v>accepted</v>
      </c>
      <c r="O1227" s="28"/>
      <c r="P1227" s="25"/>
      <c r="Q1227" s="25"/>
      <c r="R1227" s="25"/>
      <c r="S1227" s="25"/>
      <c r="T1227" s="25"/>
      <c r="U1227" s="25"/>
      <c r="V1227" s="25"/>
      <c r="W1227" s="25"/>
      <c r="X1227" s="25"/>
      <c r="Y1227" s="25"/>
      <c r="Z1227" s="25"/>
      <c r="AA1227" s="25"/>
      <c r="AB1227" s="25"/>
      <c r="AC1227" s="25"/>
      <c r="AD1227" s="25"/>
      <c r="AE1227" s="25"/>
      <c r="AF1227" s="25"/>
      <c r="AG1227" s="25"/>
      <c r="AH1227" s="25"/>
      <c r="AI1227" s="25"/>
      <c r="AJ1227" s="25"/>
      <c r="AK1227" s="25"/>
      <c r="AL1227" s="25"/>
      <c r="AM1227" s="25"/>
      <c r="AN1227" s="25"/>
      <c r="AO1227" s="25"/>
      <c r="AP1227" s="25"/>
      <c r="AQ1227" s="25"/>
      <c r="AR1227" s="25"/>
      <c r="AS1227" s="25"/>
      <c r="AT1227" s="25"/>
      <c r="AU1227" s="25"/>
      <c r="AV1227" s="25"/>
      <c r="AW1227" s="25"/>
      <c r="AX1227" s="25"/>
      <c r="AY1227" s="25"/>
      <c r="AZ1227" s="25"/>
      <c r="BA1227" s="25"/>
      <c r="BB1227" s="25"/>
      <c r="BC1227" s="25"/>
      <c r="BD1227" s="25"/>
      <c r="BE1227" s="25"/>
      <c r="BF1227" s="25"/>
      <c r="BG1227" s="25"/>
      <c r="BH1227" s="25"/>
      <c r="BI1227" s="25"/>
      <c r="BJ1227" s="25"/>
      <c r="BK1227" s="25"/>
      <c r="BL1227" s="25"/>
      <c r="BM1227" s="25"/>
      <c r="BN1227" s="25"/>
      <c r="BO1227" s="25"/>
      <c r="BP1227" s="25"/>
      <c r="BQ1227" s="25"/>
      <c r="BR1227" s="25"/>
      <c r="BS1227" s="25"/>
      <c r="BT1227" s="25"/>
      <c r="BU1227" s="25"/>
      <c r="BV1227" s="25"/>
      <c r="BW1227" s="25"/>
      <c r="BX1227" s="25"/>
      <c r="BY1227" s="25"/>
      <c r="BZ1227" s="25"/>
      <c r="CA1227" s="25"/>
      <c r="CB1227" s="25"/>
    </row>
    <row r="1228" spans="1:80" ht="12.75" hidden="1" customHeight="1">
      <c r="A1228" s="10">
        <f ca="1">IFERROR(__xludf.DUMMYFUNCTION("""COMPUTED_VALUE"""),2016)</f>
        <v>2016</v>
      </c>
      <c r="B1228" s="50">
        <f ca="1">IFERROR(__xludf.DUMMYFUNCTION("""COMPUTED_VALUE"""),43174)</f>
        <v>43174</v>
      </c>
      <c r="C1228" s="41">
        <f ca="1">IFERROR(__xludf.DUMMYFUNCTION("""COMPUTED_VALUE"""),43174)</f>
        <v>43174</v>
      </c>
      <c r="D1228" s="42" t="str">
        <f ca="1">IFERROR(__xludf.DUMMYFUNCTION("""COMPUTED_VALUE"""),"Eastern Chiffchaff [tristis/abientinus race]")</f>
        <v>Eastern Chiffchaff [tristis/abientinus race]</v>
      </c>
      <c r="E1228" s="53">
        <f ca="1">IFERROR(__xludf.DUMMYFUNCTION("""COMPUTED_VALUE"""),1)</f>
        <v>1</v>
      </c>
      <c r="F1228" s="15"/>
      <c r="G1228" s="44" t="str">
        <f ca="1">IFERROR(__xludf.DUMMYFUNCTION("""COMPUTED_VALUE"""),"Red Rocks, Hoylake")</f>
        <v>Red Rocks, Hoylake</v>
      </c>
      <c r="H1228" s="12">
        <f ca="1">IFERROR(__xludf.DUMMYFUNCTION("""COMPUTED_VALUE"""),42652)</f>
        <v>42652</v>
      </c>
      <c r="I1228" s="12">
        <f ca="1">IFERROR(__xludf.DUMMYFUNCTION("""COMPUTED_VALUE"""),42652)</f>
        <v>42652</v>
      </c>
      <c r="J1228" s="14" t="str">
        <f ca="1">IFERROR(__xludf.DUMMYFUNCTION("""COMPUTED_VALUE"""),"Turner, JE")</f>
        <v>Turner, JE</v>
      </c>
      <c r="K1228" s="15" t="str">
        <f ca="1">IFERROR(__xludf.DUMMYFUNCTION("""COMPUTED_VALUE"""),"Turner, JE")</f>
        <v>Turner, JE</v>
      </c>
      <c r="L1228" s="17" t="str">
        <f ca="1">IFERROR(__xludf.DUMMYFUNCTION("""COMPUTED_VALUE"""),"closed")</f>
        <v>closed</v>
      </c>
      <c r="M1228" s="17" t="str">
        <f ca="1">IFERROR(__xludf.DUMMYFUNCTION("""COMPUTED_VALUE"""),"1st U")</f>
        <v>1st U</v>
      </c>
      <c r="N1228" s="15" t="str">
        <f ca="1">IFERROR(__xludf.DUMMYFUNCTION("""COMPUTED_VALUE"""),"accepted")</f>
        <v>accepted</v>
      </c>
      <c r="O1228" s="18"/>
      <c r="P1228" s="15"/>
      <c r="Q1228" s="15"/>
      <c r="R1228" s="15"/>
      <c r="S1228" s="15"/>
      <c r="T1228" s="15"/>
      <c r="U1228" s="15"/>
      <c r="V1228" s="15"/>
      <c r="W1228" s="15"/>
      <c r="X1228" s="15"/>
      <c r="Y1228" s="15"/>
      <c r="Z1228" s="15"/>
      <c r="AA1228" s="15"/>
      <c r="AB1228" s="15"/>
      <c r="AC1228" s="15"/>
      <c r="AD1228" s="15"/>
      <c r="AE1228" s="15"/>
      <c r="AF1228" s="15"/>
      <c r="AG1228" s="15"/>
      <c r="AH1228" s="15"/>
      <c r="AI1228" s="15"/>
      <c r="AJ1228" s="15"/>
      <c r="AK1228" s="15"/>
      <c r="AL1228" s="15"/>
      <c r="AM1228" s="15"/>
      <c r="AN1228" s="15"/>
      <c r="AO1228" s="15"/>
      <c r="AP1228" s="15"/>
      <c r="AQ1228" s="15"/>
      <c r="AR1228" s="15"/>
      <c r="AS1228" s="15"/>
      <c r="AT1228" s="15"/>
      <c r="AU1228" s="15"/>
      <c r="AV1228" s="15"/>
      <c r="AW1228" s="15"/>
      <c r="AX1228" s="15"/>
      <c r="AY1228" s="15"/>
      <c r="AZ1228" s="15"/>
      <c r="BA1228" s="15"/>
      <c r="BB1228" s="15"/>
      <c r="BC1228" s="15"/>
      <c r="BD1228" s="15"/>
      <c r="BE1228" s="15"/>
      <c r="BF1228" s="15"/>
      <c r="BG1228" s="15"/>
      <c r="BH1228" s="15"/>
      <c r="BI1228" s="15"/>
      <c r="BJ1228" s="15"/>
      <c r="BK1228" s="15"/>
      <c r="BL1228" s="15"/>
      <c r="BM1228" s="15"/>
      <c r="BN1228" s="15"/>
      <c r="BO1228" s="15"/>
      <c r="BP1228" s="15"/>
      <c r="BQ1228" s="15"/>
      <c r="BR1228" s="15"/>
      <c r="BS1228" s="15"/>
      <c r="BT1228" s="15"/>
      <c r="BU1228" s="15"/>
      <c r="BV1228" s="15"/>
      <c r="BW1228" s="15"/>
      <c r="BX1228" s="15"/>
      <c r="BY1228" s="15"/>
      <c r="BZ1228" s="15"/>
      <c r="CA1228" s="15"/>
      <c r="CB1228" s="15"/>
    </row>
    <row r="1229" spans="1:80" ht="12.75" hidden="1" customHeight="1">
      <c r="A1229" s="20">
        <f ca="1">IFERROR(__xludf.DUMMYFUNCTION("""COMPUTED_VALUE"""),2016)</f>
        <v>2016</v>
      </c>
      <c r="B1229" s="45">
        <f ca="1">IFERROR(__xludf.DUMMYFUNCTION("""COMPUTED_VALUE"""),43322)</f>
        <v>43322</v>
      </c>
      <c r="C1229" s="46">
        <f ca="1">IFERROR(__xludf.DUMMYFUNCTION("""COMPUTED_VALUE"""),43174)</f>
        <v>43174</v>
      </c>
      <c r="D1229" s="47" t="str">
        <f ca="1">IFERROR(__xludf.DUMMYFUNCTION("""COMPUTED_VALUE"""),"Eastern Chiffchaff [tristis/abientinus race]")</f>
        <v>Eastern Chiffchaff [tristis/abientinus race]</v>
      </c>
      <c r="E1229" s="52">
        <f ca="1">IFERROR(__xludf.DUMMYFUNCTION("""COMPUTED_VALUE"""),1)</f>
        <v>1</v>
      </c>
      <c r="F1229" s="25"/>
      <c r="G1229" s="48" t="str">
        <f ca="1">IFERROR(__xludf.DUMMYFUNCTION("""COMPUTED_VALUE"""),"Woolston Eyes No 3 Bed")</f>
        <v>Woolston Eyes No 3 Bed</v>
      </c>
      <c r="H1229" s="22">
        <f ca="1">IFERROR(__xludf.DUMMYFUNCTION("""COMPUTED_VALUE"""),42687)</f>
        <v>42687</v>
      </c>
      <c r="I1229" s="23"/>
      <c r="J1229" s="24" t="str">
        <f ca="1">IFERROR(__xludf.DUMMYFUNCTION("""COMPUTED_VALUE"""),"Miles, M")</f>
        <v>Miles, M</v>
      </c>
      <c r="K1229" s="25" t="str">
        <f ca="1">IFERROR(__xludf.DUMMYFUNCTION("""COMPUTED_VALUE"""),"Miles, M")</f>
        <v>Miles, M</v>
      </c>
      <c r="L1229" s="27" t="str">
        <f ca="1">IFERROR(__xludf.DUMMYFUNCTION("""COMPUTED_VALUE"""),"closed")</f>
        <v>closed</v>
      </c>
      <c r="M1229" s="27" t="str">
        <f ca="1">IFERROR(__xludf.DUMMYFUNCTION("""COMPUTED_VALUE"""),"1st U")</f>
        <v>1st U</v>
      </c>
      <c r="N1229" s="25" t="str">
        <f ca="1">IFERROR(__xludf.DUMMYFUNCTION("""COMPUTED_VALUE"""),"accepted")</f>
        <v>accepted</v>
      </c>
      <c r="O1229" s="28"/>
      <c r="P1229" s="25"/>
      <c r="Q1229" s="25"/>
      <c r="R1229" s="25"/>
      <c r="S1229" s="25"/>
      <c r="T1229" s="25"/>
      <c r="U1229" s="25"/>
      <c r="V1229" s="25"/>
      <c r="W1229" s="25"/>
      <c r="X1229" s="25"/>
      <c r="Y1229" s="25"/>
      <c r="Z1229" s="25"/>
      <c r="AA1229" s="25"/>
      <c r="AB1229" s="25"/>
      <c r="AC1229" s="25"/>
      <c r="AD1229" s="25"/>
      <c r="AE1229" s="25"/>
      <c r="AF1229" s="25"/>
      <c r="AG1229" s="25"/>
      <c r="AH1229" s="25"/>
      <c r="AI1229" s="25"/>
      <c r="AJ1229" s="25"/>
      <c r="AK1229" s="25"/>
      <c r="AL1229" s="25"/>
      <c r="AM1229" s="25"/>
      <c r="AN1229" s="25"/>
      <c r="AO1229" s="25"/>
      <c r="AP1229" s="25"/>
      <c r="AQ1229" s="25"/>
      <c r="AR1229" s="25"/>
      <c r="AS1229" s="25"/>
      <c r="AT1229" s="25"/>
      <c r="AU1229" s="25"/>
      <c r="AV1229" s="25"/>
      <c r="AW1229" s="25"/>
      <c r="AX1229" s="25"/>
      <c r="AY1229" s="25"/>
      <c r="AZ1229" s="25"/>
      <c r="BA1229" s="25"/>
      <c r="BB1229" s="25"/>
      <c r="BC1229" s="25"/>
      <c r="BD1229" s="25"/>
      <c r="BE1229" s="25"/>
      <c r="BF1229" s="25"/>
      <c r="BG1229" s="25"/>
      <c r="BH1229" s="25"/>
      <c r="BI1229" s="25"/>
      <c r="BJ1229" s="25"/>
      <c r="BK1229" s="25"/>
      <c r="BL1229" s="25"/>
      <c r="BM1229" s="25"/>
      <c r="BN1229" s="25"/>
      <c r="BO1229" s="25"/>
      <c r="BP1229" s="25"/>
      <c r="BQ1229" s="25"/>
      <c r="BR1229" s="25"/>
      <c r="BS1229" s="25"/>
      <c r="BT1229" s="25"/>
      <c r="BU1229" s="25"/>
      <c r="BV1229" s="25"/>
      <c r="BW1229" s="25"/>
      <c r="BX1229" s="25"/>
      <c r="BY1229" s="25"/>
      <c r="BZ1229" s="25"/>
      <c r="CA1229" s="25"/>
      <c r="CB1229" s="25"/>
    </row>
    <row r="1230" spans="1:80" ht="12.75" hidden="1" customHeight="1">
      <c r="A1230" s="10">
        <f ca="1">IFERROR(__xludf.DUMMYFUNCTION("""COMPUTED_VALUE"""),2016)</f>
        <v>2016</v>
      </c>
      <c r="B1230" s="50">
        <f ca="1">IFERROR(__xludf.DUMMYFUNCTION("""COMPUTED_VALUE"""),43322)</f>
        <v>43322</v>
      </c>
      <c r="C1230" s="41">
        <f ca="1">IFERROR(__xludf.DUMMYFUNCTION("""COMPUTED_VALUE"""),43174)</f>
        <v>43174</v>
      </c>
      <c r="D1230" s="42" t="str">
        <f ca="1">IFERROR(__xludf.DUMMYFUNCTION("""COMPUTED_VALUE"""),"Eastern Chiffchaff [tristis/abientinus race]")</f>
        <v>Eastern Chiffchaff [tristis/abientinus race]</v>
      </c>
      <c r="E1230" s="53">
        <f ca="1">IFERROR(__xludf.DUMMYFUNCTION("""COMPUTED_VALUE"""),1)</f>
        <v>1</v>
      </c>
      <c r="F1230" s="15"/>
      <c r="G1230" s="44" t="str">
        <f ca="1">IFERROR(__xludf.DUMMYFUNCTION("""COMPUTED_VALUE"""),"Woolston Eyes No 3 Bed")</f>
        <v>Woolston Eyes No 3 Bed</v>
      </c>
      <c r="H1230" s="12">
        <f ca="1">IFERROR(__xludf.DUMMYFUNCTION("""COMPUTED_VALUE"""),42693)</f>
        <v>42693</v>
      </c>
      <c r="I1230" s="13"/>
      <c r="J1230" s="14" t="str">
        <f ca="1">IFERROR(__xludf.DUMMYFUNCTION("""COMPUTED_VALUE"""),"Miles, M")</f>
        <v>Miles, M</v>
      </c>
      <c r="K1230" s="15" t="str">
        <f ca="1">IFERROR(__xludf.DUMMYFUNCTION("""COMPUTED_VALUE"""),"Miles, M")</f>
        <v>Miles, M</v>
      </c>
      <c r="L1230" s="17" t="str">
        <f ca="1">IFERROR(__xludf.DUMMYFUNCTION("""COMPUTED_VALUE"""),"closed")</f>
        <v>closed</v>
      </c>
      <c r="M1230" s="17" t="str">
        <f ca="1">IFERROR(__xludf.DUMMYFUNCTION("""COMPUTED_VALUE"""),"1st U")</f>
        <v>1st U</v>
      </c>
      <c r="N1230" s="15" t="str">
        <f ca="1">IFERROR(__xludf.DUMMYFUNCTION("""COMPUTED_VALUE"""),"accepted")</f>
        <v>accepted</v>
      </c>
      <c r="O1230" s="18"/>
      <c r="P1230" s="15"/>
      <c r="Q1230" s="15"/>
      <c r="R1230" s="58"/>
      <c r="S1230" s="15"/>
      <c r="T1230" s="15"/>
      <c r="U1230" s="15"/>
      <c r="V1230" s="15"/>
      <c r="W1230" s="15"/>
      <c r="X1230" s="15"/>
      <c r="Y1230" s="15"/>
      <c r="Z1230" s="15"/>
      <c r="AA1230" s="15"/>
      <c r="AB1230" s="15"/>
      <c r="AC1230" s="15"/>
      <c r="AD1230" s="15"/>
      <c r="AE1230" s="15"/>
      <c r="AF1230" s="15"/>
      <c r="AG1230" s="15"/>
      <c r="AH1230" s="15"/>
      <c r="AI1230" s="15"/>
      <c r="AJ1230" s="15"/>
      <c r="AK1230" s="15"/>
      <c r="AL1230" s="15"/>
      <c r="AM1230" s="15"/>
      <c r="AN1230" s="15"/>
      <c r="AO1230" s="15"/>
      <c r="AP1230" s="15"/>
      <c r="AQ1230" s="15"/>
      <c r="AR1230" s="15"/>
      <c r="AS1230" s="15"/>
      <c r="AT1230" s="15"/>
      <c r="AU1230" s="15"/>
      <c r="AV1230" s="15"/>
      <c r="AW1230" s="15"/>
      <c r="AX1230" s="15"/>
      <c r="AY1230" s="15"/>
      <c r="AZ1230" s="15"/>
      <c r="BA1230" s="15"/>
      <c r="BB1230" s="15"/>
      <c r="BC1230" s="15"/>
      <c r="BD1230" s="15"/>
      <c r="BE1230" s="15"/>
      <c r="BF1230" s="15"/>
      <c r="BG1230" s="15"/>
      <c r="BH1230" s="15"/>
      <c r="BI1230" s="15"/>
      <c r="BJ1230" s="15"/>
      <c r="BK1230" s="15"/>
      <c r="BL1230" s="15"/>
      <c r="BM1230" s="15"/>
      <c r="BN1230" s="15"/>
      <c r="BO1230" s="15"/>
      <c r="BP1230" s="15"/>
      <c r="BQ1230" s="15"/>
      <c r="BR1230" s="15"/>
      <c r="BS1230" s="15"/>
      <c r="BT1230" s="15"/>
      <c r="BU1230" s="15"/>
      <c r="BV1230" s="15"/>
      <c r="BW1230" s="15"/>
      <c r="BX1230" s="15"/>
      <c r="BY1230" s="15"/>
      <c r="BZ1230" s="15"/>
      <c r="CA1230" s="15"/>
      <c r="CB1230" s="15"/>
    </row>
    <row r="1231" spans="1:80" ht="12.75" hidden="1" customHeight="1">
      <c r="A1231" s="20">
        <f ca="1">IFERROR(__xludf.DUMMYFUNCTION("""COMPUTED_VALUE"""),2016)</f>
        <v>2016</v>
      </c>
      <c r="B1231" s="45">
        <f ca="1">IFERROR(__xludf.DUMMYFUNCTION("""COMPUTED_VALUE"""),43322)</f>
        <v>43322</v>
      </c>
      <c r="C1231" s="46">
        <f ca="1">IFERROR(__xludf.DUMMYFUNCTION("""COMPUTED_VALUE"""),43174)</f>
        <v>43174</v>
      </c>
      <c r="D1231" s="47" t="str">
        <f ca="1">IFERROR(__xludf.DUMMYFUNCTION("""COMPUTED_VALUE"""),"Eastern Chiffchaff [tristis/abientinus race]")</f>
        <v>Eastern Chiffchaff [tristis/abientinus race]</v>
      </c>
      <c r="E1231" s="52">
        <f ca="1">IFERROR(__xludf.DUMMYFUNCTION("""COMPUTED_VALUE"""),1)</f>
        <v>1</v>
      </c>
      <c r="F1231" s="25" t="str">
        <f ca="1">IFERROR(__xludf.DUMMYFUNCTION("""COMPUTED_VALUE"""),"adF")</f>
        <v>adF</v>
      </c>
      <c r="G1231" s="71" t="str">
        <f ca="1">IFERROR(__xludf.DUMMYFUNCTION("""COMPUTED_VALUE"""),"Oxmoor LNR Runcorn")</f>
        <v>Oxmoor LNR Runcorn</v>
      </c>
      <c r="H1231" s="22">
        <f ca="1">IFERROR(__xludf.DUMMYFUNCTION("""COMPUTED_VALUE"""),42701)</f>
        <v>42701</v>
      </c>
      <c r="I1231" s="23"/>
      <c r="J1231" s="24" t="str">
        <f ca="1">IFERROR(__xludf.DUMMYFUNCTION("""COMPUTED_VALUE"""),"Norman,D")</f>
        <v>Norman,D</v>
      </c>
      <c r="K1231" s="40" t="str">
        <f ca="1">IFERROR(__xludf.DUMMYFUNCTION("""COMPUTED_VALUE"""),"Norman,D")</f>
        <v>Norman,D</v>
      </c>
      <c r="L1231" s="27" t="str">
        <f ca="1">IFERROR(__xludf.DUMMYFUNCTION("""COMPUTED_VALUE"""),"closed")</f>
        <v>closed</v>
      </c>
      <c r="M1231" s="27" t="str">
        <f ca="1">IFERROR(__xludf.DUMMYFUNCTION("""COMPUTED_VALUE"""),"1st U")</f>
        <v>1st U</v>
      </c>
      <c r="N1231" s="40" t="str">
        <f ca="1">IFERROR(__xludf.DUMMYFUNCTION("""COMPUTED_VALUE"""),"accepted")</f>
        <v>accepted</v>
      </c>
      <c r="O1231" s="28" t="str">
        <f ca="1">IFERROR(__xludf.DUMMYFUNCTION("""COMPUTED_VALUE"""),"grey/geen bird")</f>
        <v>grey/geen bird</v>
      </c>
      <c r="P1231" s="40"/>
      <c r="Q1231" s="25"/>
      <c r="R1231" s="40"/>
      <c r="S1231" s="25"/>
      <c r="T1231" s="25"/>
      <c r="U1231" s="25"/>
      <c r="V1231" s="25"/>
      <c r="W1231" s="25"/>
      <c r="X1231" s="25"/>
      <c r="Y1231" s="25"/>
      <c r="Z1231" s="25"/>
      <c r="AA1231" s="25"/>
      <c r="AB1231" s="25"/>
      <c r="AC1231" s="25"/>
      <c r="AD1231" s="25"/>
      <c r="AE1231" s="25"/>
      <c r="AF1231" s="25"/>
      <c r="AG1231" s="25"/>
      <c r="AH1231" s="25"/>
      <c r="AI1231" s="25"/>
      <c r="AJ1231" s="25"/>
      <c r="AK1231" s="25"/>
      <c r="AL1231" s="25"/>
      <c r="AM1231" s="25"/>
      <c r="AN1231" s="25"/>
      <c r="AO1231" s="25"/>
      <c r="AP1231" s="25"/>
      <c r="AQ1231" s="25"/>
      <c r="AR1231" s="25"/>
      <c r="AS1231" s="25"/>
      <c r="AT1231" s="25"/>
      <c r="AU1231" s="25"/>
      <c r="AV1231" s="25"/>
      <c r="AW1231" s="25"/>
      <c r="AX1231" s="25"/>
      <c r="AY1231" s="25"/>
      <c r="AZ1231" s="25"/>
      <c r="BA1231" s="25"/>
      <c r="BB1231" s="25"/>
      <c r="BC1231" s="25"/>
      <c r="BD1231" s="25"/>
      <c r="BE1231" s="25"/>
      <c r="BF1231" s="25"/>
      <c r="BG1231" s="25"/>
      <c r="BH1231" s="25"/>
      <c r="BI1231" s="25"/>
      <c r="BJ1231" s="25"/>
      <c r="BK1231" s="25"/>
      <c r="BL1231" s="25"/>
      <c r="BM1231" s="25"/>
      <c r="BN1231" s="25"/>
      <c r="BO1231" s="25"/>
      <c r="BP1231" s="25"/>
      <c r="BQ1231" s="25"/>
      <c r="BR1231" s="25"/>
      <c r="BS1231" s="25"/>
      <c r="BT1231" s="25"/>
      <c r="BU1231" s="25"/>
      <c r="BV1231" s="25"/>
      <c r="BW1231" s="25"/>
      <c r="BX1231" s="25"/>
      <c r="BY1231" s="25"/>
      <c r="BZ1231" s="25"/>
      <c r="CA1231" s="25"/>
      <c r="CB1231" s="25"/>
    </row>
    <row r="1232" spans="1:80" ht="12.75" hidden="1" customHeight="1">
      <c r="A1232" s="10">
        <f ca="1">IFERROR(__xludf.DUMMYFUNCTION("""COMPUTED_VALUE"""),2016)</f>
        <v>2016</v>
      </c>
      <c r="B1232" s="50">
        <f ca="1">IFERROR(__xludf.DUMMYFUNCTION("""COMPUTED_VALUE"""),43322)</f>
        <v>43322</v>
      </c>
      <c r="C1232" s="41">
        <f ca="1">IFERROR(__xludf.DUMMYFUNCTION("""COMPUTED_VALUE"""),43174)</f>
        <v>43174</v>
      </c>
      <c r="D1232" s="42" t="str">
        <f ca="1">IFERROR(__xludf.DUMMYFUNCTION("""COMPUTED_VALUE"""),"Eastern Chiffchaff [tristis/abientinus race]")</f>
        <v>Eastern Chiffchaff [tristis/abientinus race]</v>
      </c>
      <c r="E1232" s="53">
        <f ca="1">IFERROR(__xludf.DUMMYFUNCTION("""COMPUTED_VALUE"""),1)</f>
        <v>1</v>
      </c>
      <c r="F1232" s="15"/>
      <c r="G1232" s="62" t="str">
        <f ca="1">IFERROR(__xludf.DUMMYFUNCTION("""COMPUTED_VALUE"""),"Woolston Eyes No 3 Bed")</f>
        <v>Woolston Eyes No 3 Bed</v>
      </c>
      <c r="H1232" s="12">
        <f ca="1">IFERROR(__xludf.DUMMYFUNCTION("""COMPUTED_VALUE"""),42735)</f>
        <v>42735</v>
      </c>
      <c r="I1232" s="13"/>
      <c r="J1232" s="14" t="str">
        <f ca="1">IFERROR(__xludf.DUMMYFUNCTION("""COMPUTED_VALUE"""),"Miles, M")</f>
        <v>Miles, M</v>
      </c>
      <c r="K1232" s="15" t="str">
        <f ca="1">IFERROR(__xludf.DUMMYFUNCTION("""COMPUTED_VALUE"""),"Miles, M")</f>
        <v>Miles, M</v>
      </c>
      <c r="L1232" s="17" t="str">
        <f ca="1">IFERROR(__xludf.DUMMYFUNCTION("""COMPUTED_VALUE"""),"closed")</f>
        <v>closed</v>
      </c>
      <c r="M1232" s="17" t="str">
        <f ca="1">IFERROR(__xludf.DUMMYFUNCTION("""COMPUTED_VALUE"""),"1st U")</f>
        <v>1st U</v>
      </c>
      <c r="N1232" s="58" t="str">
        <f ca="1">IFERROR(__xludf.DUMMYFUNCTION("""COMPUTED_VALUE"""),"accepted")</f>
        <v>accepted</v>
      </c>
      <c r="O1232" s="18"/>
      <c r="P1232" s="15"/>
      <c r="Q1232" s="15"/>
      <c r="R1232" s="58"/>
      <c r="S1232" s="15"/>
      <c r="T1232" s="15"/>
      <c r="U1232" s="15"/>
      <c r="V1232" s="15"/>
      <c r="W1232" s="15"/>
      <c r="X1232" s="15"/>
      <c r="Y1232" s="15"/>
      <c r="Z1232" s="15"/>
      <c r="AA1232" s="15"/>
      <c r="AB1232" s="15"/>
      <c r="AC1232" s="15"/>
      <c r="AD1232" s="15"/>
      <c r="AE1232" s="15"/>
      <c r="AF1232" s="15"/>
      <c r="AG1232" s="15"/>
      <c r="AH1232" s="15"/>
      <c r="AI1232" s="15"/>
      <c r="AJ1232" s="15"/>
      <c r="AK1232" s="15"/>
      <c r="AL1232" s="15"/>
      <c r="AM1232" s="15"/>
      <c r="AN1232" s="15"/>
      <c r="AO1232" s="15"/>
      <c r="AP1232" s="15"/>
      <c r="AQ1232" s="15"/>
      <c r="AR1232" s="15"/>
      <c r="AS1232" s="15"/>
      <c r="AT1232" s="15"/>
      <c r="AU1232" s="15"/>
      <c r="AV1232" s="15"/>
      <c r="AW1232" s="15"/>
      <c r="AX1232" s="15"/>
      <c r="AY1232" s="15"/>
      <c r="AZ1232" s="15"/>
      <c r="BA1232" s="15"/>
      <c r="BB1232" s="15"/>
      <c r="BC1232" s="15"/>
      <c r="BD1232" s="15"/>
      <c r="BE1232" s="15"/>
      <c r="BF1232" s="15"/>
      <c r="BG1232" s="15"/>
      <c r="BH1232" s="15"/>
      <c r="BI1232" s="15"/>
      <c r="BJ1232" s="15"/>
      <c r="BK1232" s="15"/>
      <c r="BL1232" s="15"/>
      <c r="BM1232" s="15"/>
      <c r="BN1232" s="15"/>
      <c r="BO1232" s="15"/>
      <c r="BP1232" s="15"/>
      <c r="BQ1232" s="15"/>
      <c r="BR1232" s="15"/>
      <c r="BS1232" s="15"/>
      <c r="BT1232" s="15"/>
      <c r="BU1232" s="15"/>
      <c r="BV1232" s="15"/>
      <c r="BW1232" s="15"/>
      <c r="BX1232" s="15"/>
      <c r="BY1232" s="15"/>
      <c r="BZ1232" s="15"/>
      <c r="CA1232" s="15"/>
      <c r="CB1232" s="15"/>
    </row>
    <row r="1233" spans="1:80" ht="12.75" hidden="1" customHeight="1">
      <c r="A1233" s="20">
        <f ca="1">IFERROR(__xludf.DUMMYFUNCTION("""COMPUTED_VALUE"""),2016)</f>
        <v>2016</v>
      </c>
      <c r="B1233" s="45">
        <f ca="1">IFERROR(__xludf.DUMMYFUNCTION("""COMPUTED_VALUE"""),43208)</f>
        <v>43208</v>
      </c>
      <c r="C1233" s="46">
        <f ca="1">IFERROR(__xludf.DUMMYFUNCTION("""COMPUTED_VALUE"""),43174)</f>
        <v>43174</v>
      </c>
      <c r="D1233" s="47" t="str">
        <f ca="1">IFERROR(__xludf.DUMMYFUNCTION("""COMPUTED_VALUE"""),"Siberian Chiffchaff [tristis race]")</f>
        <v>Siberian Chiffchaff [tristis race]</v>
      </c>
      <c r="E1233" s="52">
        <f ca="1">IFERROR(__xludf.DUMMYFUNCTION("""COMPUTED_VALUE"""),1)</f>
        <v>1</v>
      </c>
      <c r="F1233" s="25"/>
      <c r="G1233" s="71" t="str">
        <f ca="1">IFERROR(__xludf.DUMMYFUNCTION("""COMPUTED_VALUE"""),"Red Rocks, Hoylake")</f>
        <v>Red Rocks, Hoylake</v>
      </c>
      <c r="H1233" s="22">
        <f ca="1">IFERROR(__xludf.DUMMYFUNCTION("""COMPUTED_VALUE"""),42654)</f>
        <v>42654</v>
      </c>
      <c r="I1233" s="22">
        <f ca="1">IFERROR(__xludf.DUMMYFUNCTION("""COMPUTED_VALUE"""),42654)</f>
        <v>42654</v>
      </c>
      <c r="J1233" s="24" t="str">
        <f ca="1">IFERROR(__xludf.DUMMYFUNCTION("""COMPUTED_VALUE"""),"Turner, JE")</f>
        <v>Turner, JE</v>
      </c>
      <c r="K1233" s="40" t="str">
        <f ca="1">IFERROR(__xludf.DUMMYFUNCTION("""COMPUTED_VALUE"""),"Turner, JE")</f>
        <v>Turner, JE</v>
      </c>
      <c r="L1233" s="27" t="str">
        <f ca="1">IFERROR(__xludf.DUMMYFUNCTION("""COMPUTED_VALUE"""),"closed")</f>
        <v>closed</v>
      </c>
      <c r="M1233" s="27" t="str">
        <f ca="1">IFERROR(__xludf.DUMMYFUNCTION("""COMPUTED_VALUE"""),"1st U")</f>
        <v>1st U</v>
      </c>
      <c r="N1233" s="40" t="str">
        <f ca="1">IFERROR(__xludf.DUMMYFUNCTION("""COMPUTED_VALUE"""),"Accepted")</f>
        <v>Accepted</v>
      </c>
      <c r="O1233" s="28" t="str">
        <f ca="1">IFERROR(__xludf.DUMMYFUNCTION("""COMPUTED_VALUE"""),"sound recorded")</f>
        <v>sound recorded</v>
      </c>
      <c r="P1233" s="25"/>
      <c r="Q1233" s="25"/>
      <c r="R1233" s="40"/>
      <c r="S1233" s="25"/>
      <c r="T1233" s="25"/>
      <c r="U1233" s="25"/>
      <c r="V1233" s="25"/>
      <c r="W1233" s="25"/>
      <c r="X1233" s="25"/>
      <c r="Y1233" s="25"/>
      <c r="Z1233" s="25"/>
      <c r="AA1233" s="25"/>
      <c r="AB1233" s="25"/>
      <c r="AC1233" s="25"/>
      <c r="AD1233" s="25"/>
      <c r="AE1233" s="25"/>
      <c r="AF1233" s="25"/>
      <c r="AG1233" s="25"/>
      <c r="AH1233" s="25"/>
      <c r="AI1233" s="25"/>
      <c r="AJ1233" s="25"/>
      <c r="AK1233" s="25"/>
      <c r="AL1233" s="25"/>
      <c r="AM1233" s="25"/>
      <c r="AN1233" s="25"/>
      <c r="AO1233" s="25"/>
      <c r="AP1233" s="25"/>
      <c r="AQ1233" s="25"/>
      <c r="AR1233" s="25"/>
      <c r="AS1233" s="25"/>
      <c r="AT1233" s="25"/>
      <c r="AU1233" s="25"/>
      <c r="AV1233" s="25"/>
      <c r="AW1233" s="25"/>
      <c r="AX1233" s="25"/>
      <c r="AY1233" s="25"/>
      <c r="AZ1233" s="25"/>
      <c r="BA1233" s="25"/>
      <c r="BB1233" s="25"/>
      <c r="BC1233" s="25"/>
      <c r="BD1233" s="25"/>
      <c r="BE1233" s="25"/>
      <c r="BF1233" s="25"/>
      <c r="BG1233" s="25"/>
      <c r="BH1233" s="25"/>
      <c r="BI1233" s="25"/>
      <c r="BJ1233" s="25"/>
      <c r="BK1233" s="25"/>
      <c r="BL1233" s="25"/>
      <c r="BM1233" s="25"/>
      <c r="BN1233" s="25"/>
      <c r="BO1233" s="25"/>
      <c r="BP1233" s="25"/>
      <c r="BQ1233" s="25"/>
      <c r="BR1233" s="25"/>
      <c r="BS1233" s="25"/>
      <c r="BT1233" s="25"/>
      <c r="BU1233" s="25"/>
      <c r="BV1233" s="25"/>
      <c r="BW1233" s="25"/>
      <c r="BX1233" s="25"/>
      <c r="BY1233" s="25"/>
      <c r="BZ1233" s="25"/>
      <c r="CA1233" s="25"/>
      <c r="CB1233" s="25"/>
    </row>
    <row r="1234" spans="1:80" ht="12.75" hidden="1" customHeight="1">
      <c r="A1234" s="10">
        <f ca="1">IFERROR(__xludf.DUMMYFUNCTION("""COMPUTED_VALUE"""),2016)</f>
        <v>2016</v>
      </c>
      <c r="B1234" s="50">
        <f ca="1">IFERROR(__xludf.DUMMYFUNCTION("""COMPUTED_VALUE"""),43208)</f>
        <v>43208</v>
      </c>
      <c r="C1234" s="41">
        <f ca="1">IFERROR(__xludf.DUMMYFUNCTION("""COMPUTED_VALUE"""),43174)</f>
        <v>43174</v>
      </c>
      <c r="D1234" s="42" t="str">
        <f ca="1">IFERROR(__xludf.DUMMYFUNCTION("""COMPUTED_VALUE"""),"Siberian Chiffchaff [tristis race]")</f>
        <v>Siberian Chiffchaff [tristis race]</v>
      </c>
      <c r="E1234" s="53">
        <f ca="1">IFERROR(__xludf.DUMMYFUNCTION("""COMPUTED_VALUE"""),1)</f>
        <v>1</v>
      </c>
      <c r="F1234" s="15"/>
      <c r="G1234" s="62" t="str">
        <f ca="1">IFERROR(__xludf.DUMMYFUNCTION("""COMPUTED_VALUE"""),"Leasowe")</f>
        <v>Leasowe</v>
      </c>
      <c r="H1234" s="12">
        <f ca="1">IFERROR(__xludf.DUMMYFUNCTION("""COMPUTED_VALUE"""),42671)</f>
        <v>42671</v>
      </c>
      <c r="I1234" s="13"/>
      <c r="J1234" s="14" t="str">
        <f ca="1">IFERROR(__xludf.DUMMYFUNCTION("""COMPUTED_VALUE"""),"Williams, E")</f>
        <v>Williams, E</v>
      </c>
      <c r="K1234" s="15" t="str">
        <f ca="1">IFERROR(__xludf.DUMMYFUNCTION("""COMPUTED_VALUE"""),"Williams, E")</f>
        <v>Williams, E</v>
      </c>
      <c r="L1234" s="17" t="str">
        <f ca="1">IFERROR(__xludf.DUMMYFUNCTION("""COMPUTED_VALUE"""),"closed")</f>
        <v>closed</v>
      </c>
      <c r="M1234" s="17" t="str">
        <f ca="1">IFERROR(__xludf.DUMMYFUNCTION("""COMPUTED_VALUE"""),"1st U")</f>
        <v>1st U</v>
      </c>
      <c r="N1234" s="58" t="str">
        <f ca="1">IFERROR(__xludf.DUMMYFUNCTION("""COMPUTED_VALUE"""),"Accepted")</f>
        <v>Accepted</v>
      </c>
      <c r="O1234" s="18" t="str">
        <f ca="1">IFERROR(__xludf.DUMMYFUNCTION("""COMPUTED_VALUE"""),"sound recorded")</f>
        <v>sound recorded</v>
      </c>
      <c r="P1234" s="15"/>
      <c r="Q1234" s="15"/>
      <c r="R1234" s="58"/>
      <c r="S1234" s="15"/>
      <c r="T1234" s="15"/>
      <c r="U1234" s="15"/>
      <c r="V1234" s="15"/>
      <c r="W1234" s="15"/>
      <c r="X1234" s="15"/>
      <c r="Y1234" s="15"/>
      <c r="Z1234" s="15"/>
      <c r="AA1234" s="15"/>
      <c r="AB1234" s="15"/>
      <c r="AC1234" s="15"/>
      <c r="AD1234" s="15"/>
      <c r="AE1234" s="15"/>
      <c r="AF1234" s="15"/>
      <c r="AG1234" s="15"/>
      <c r="AH1234" s="15"/>
      <c r="AI1234" s="15"/>
      <c r="AJ1234" s="15"/>
      <c r="AK1234" s="15"/>
      <c r="AL1234" s="15"/>
      <c r="AM1234" s="15"/>
      <c r="AN1234" s="15"/>
      <c r="AO1234" s="15"/>
      <c r="AP1234" s="15"/>
      <c r="AQ1234" s="15"/>
      <c r="AR1234" s="15"/>
      <c r="AS1234" s="15"/>
      <c r="AT1234" s="15"/>
      <c r="AU1234" s="15"/>
      <c r="AV1234" s="15"/>
      <c r="AW1234" s="15"/>
      <c r="AX1234" s="15"/>
      <c r="AY1234" s="15"/>
      <c r="AZ1234" s="15"/>
      <c r="BA1234" s="15"/>
      <c r="BB1234" s="15"/>
      <c r="BC1234" s="15"/>
      <c r="BD1234" s="15"/>
      <c r="BE1234" s="15"/>
      <c r="BF1234" s="15"/>
      <c r="BG1234" s="15"/>
      <c r="BH1234" s="15"/>
      <c r="BI1234" s="15"/>
      <c r="BJ1234" s="15"/>
      <c r="BK1234" s="15"/>
      <c r="BL1234" s="15"/>
      <c r="BM1234" s="15"/>
      <c r="BN1234" s="15"/>
      <c r="BO1234" s="15"/>
      <c r="BP1234" s="15"/>
      <c r="BQ1234" s="15"/>
      <c r="BR1234" s="15"/>
      <c r="BS1234" s="15"/>
      <c r="BT1234" s="15"/>
      <c r="BU1234" s="15"/>
      <c r="BV1234" s="15"/>
      <c r="BW1234" s="15"/>
      <c r="BX1234" s="15"/>
      <c r="BY1234" s="15"/>
      <c r="BZ1234" s="15"/>
      <c r="CA1234" s="15"/>
      <c r="CB1234" s="15"/>
    </row>
    <row r="1235" spans="1:80" ht="12.75" hidden="1" customHeight="1">
      <c r="A1235" s="20">
        <f ca="1">IFERROR(__xludf.DUMMYFUNCTION("""COMPUTED_VALUE"""),2016)</f>
        <v>2016</v>
      </c>
      <c r="B1235" s="45">
        <f ca="1">IFERROR(__xludf.DUMMYFUNCTION("""COMPUTED_VALUE"""),43208)</f>
        <v>43208</v>
      </c>
      <c r="C1235" s="46">
        <f ca="1">IFERROR(__xludf.DUMMYFUNCTION("""COMPUTED_VALUE"""),43174)</f>
        <v>43174</v>
      </c>
      <c r="D1235" s="47" t="str">
        <f ca="1">IFERROR(__xludf.DUMMYFUNCTION("""COMPUTED_VALUE"""),"Siberian Chiffchaff [tristis race]")</f>
        <v>Siberian Chiffchaff [tristis race]</v>
      </c>
      <c r="E1235" s="52">
        <f ca="1">IFERROR(__xludf.DUMMYFUNCTION("""COMPUTED_VALUE"""),1)</f>
        <v>1</v>
      </c>
      <c r="F1235" s="25"/>
      <c r="G1235" s="48" t="str">
        <f ca="1">IFERROR(__xludf.DUMMYFUNCTION("""COMPUTED_VALUE"""),"Hoylake")</f>
        <v>Hoylake</v>
      </c>
      <c r="H1235" s="22">
        <f ca="1">IFERROR(__xludf.DUMMYFUNCTION("""COMPUTED_VALUE"""),42674)</f>
        <v>42674</v>
      </c>
      <c r="I1235" s="22">
        <f ca="1">IFERROR(__xludf.DUMMYFUNCTION("""COMPUTED_VALUE"""),42674)</f>
        <v>42674</v>
      </c>
      <c r="J1235" s="24" t="str">
        <f ca="1">IFERROR(__xludf.DUMMYFUNCTION("""COMPUTED_VALUE"""),"Turner, JE")</f>
        <v>Turner, JE</v>
      </c>
      <c r="K1235" s="25" t="str">
        <f ca="1">IFERROR(__xludf.DUMMYFUNCTION("""COMPUTED_VALUE"""),"Turner, JE")</f>
        <v>Turner, JE</v>
      </c>
      <c r="L1235" s="27" t="str">
        <f ca="1">IFERROR(__xludf.DUMMYFUNCTION("""COMPUTED_VALUE"""),"closed")</f>
        <v>closed</v>
      </c>
      <c r="M1235" s="27" t="str">
        <f ca="1">IFERROR(__xludf.DUMMYFUNCTION("""COMPUTED_VALUE"""),"1st U")</f>
        <v>1st U</v>
      </c>
      <c r="N1235" s="25" t="str">
        <f ca="1">IFERROR(__xludf.DUMMYFUNCTION("""COMPUTED_VALUE"""),"Accepted")</f>
        <v>Accepted</v>
      </c>
      <c r="O1235" s="28" t="str">
        <f ca="1">IFERROR(__xludf.DUMMYFUNCTION("""COMPUTED_VALUE"""),"sound recorded")</f>
        <v>sound recorded</v>
      </c>
      <c r="P1235" s="25"/>
      <c r="Q1235" s="25"/>
      <c r="R1235" s="25"/>
      <c r="S1235" s="25"/>
      <c r="T1235" s="25"/>
      <c r="U1235" s="25"/>
      <c r="V1235" s="25"/>
      <c r="W1235" s="25"/>
      <c r="X1235" s="25"/>
      <c r="Y1235" s="25"/>
      <c r="Z1235" s="25"/>
      <c r="AA1235" s="25"/>
      <c r="AB1235" s="25"/>
      <c r="AC1235" s="25"/>
      <c r="AD1235" s="25"/>
      <c r="AE1235" s="25"/>
      <c r="AF1235" s="25"/>
      <c r="AG1235" s="25"/>
      <c r="AH1235" s="25"/>
      <c r="AI1235" s="25"/>
      <c r="AJ1235" s="25"/>
      <c r="AK1235" s="25"/>
      <c r="AL1235" s="25"/>
      <c r="AM1235" s="25"/>
      <c r="AN1235" s="25"/>
      <c r="AO1235" s="25"/>
      <c r="AP1235" s="25"/>
      <c r="AQ1235" s="25"/>
      <c r="AR1235" s="25"/>
      <c r="AS1235" s="25"/>
      <c r="AT1235" s="25"/>
      <c r="AU1235" s="25"/>
      <c r="AV1235" s="25"/>
      <c r="AW1235" s="25"/>
      <c r="AX1235" s="25"/>
      <c r="AY1235" s="25"/>
      <c r="AZ1235" s="25"/>
      <c r="BA1235" s="25"/>
      <c r="BB1235" s="25"/>
      <c r="BC1235" s="25"/>
      <c r="BD1235" s="25"/>
      <c r="BE1235" s="25"/>
      <c r="BF1235" s="25"/>
      <c r="BG1235" s="25"/>
      <c r="BH1235" s="25"/>
      <c r="BI1235" s="25"/>
      <c r="BJ1235" s="25"/>
      <c r="BK1235" s="25"/>
      <c r="BL1235" s="25"/>
      <c r="BM1235" s="25"/>
      <c r="BN1235" s="25"/>
      <c r="BO1235" s="25"/>
      <c r="BP1235" s="25"/>
      <c r="BQ1235" s="25"/>
      <c r="BR1235" s="25"/>
      <c r="BS1235" s="25"/>
      <c r="BT1235" s="25"/>
      <c r="BU1235" s="25"/>
      <c r="BV1235" s="25"/>
      <c r="BW1235" s="25"/>
      <c r="BX1235" s="25"/>
      <c r="BY1235" s="25"/>
      <c r="BZ1235" s="25"/>
      <c r="CA1235" s="25"/>
      <c r="CB1235" s="25"/>
    </row>
    <row r="1236" spans="1:80" ht="12.75" hidden="1" customHeight="1">
      <c r="A1236" s="10">
        <f ca="1">IFERROR(__xludf.DUMMYFUNCTION("""COMPUTED_VALUE"""),2016)</f>
        <v>2016</v>
      </c>
      <c r="B1236" s="50">
        <f ca="1">IFERROR(__xludf.DUMMYFUNCTION("""COMPUTED_VALUE"""),43322)</f>
        <v>43322</v>
      </c>
      <c r="C1236" s="41">
        <f ca="1">IFERROR(__xludf.DUMMYFUNCTION("""COMPUTED_VALUE"""),43174)</f>
        <v>43174</v>
      </c>
      <c r="D1236" s="42" t="str">
        <f ca="1">IFERROR(__xludf.DUMMYFUNCTION("""COMPUTED_VALUE"""),"Siberian Chiffchaff [tristis race]")</f>
        <v>Siberian Chiffchaff [tristis race]</v>
      </c>
      <c r="E1236" s="53">
        <f ca="1">IFERROR(__xludf.DUMMYFUNCTION("""COMPUTED_VALUE"""),1)</f>
        <v>1</v>
      </c>
      <c r="F1236" s="15"/>
      <c r="G1236" s="44" t="str">
        <f ca="1">IFERROR(__xludf.DUMMYFUNCTION("""COMPUTED_VALUE"""),"Woolston Eyes No 3 Bed")</f>
        <v>Woolston Eyes No 3 Bed</v>
      </c>
      <c r="H1236" s="12">
        <f ca="1">IFERROR(__xludf.DUMMYFUNCTION("""COMPUTED_VALUE"""),42687)</f>
        <v>42687</v>
      </c>
      <c r="I1236" s="13"/>
      <c r="J1236" s="14"/>
      <c r="K1236" s="15"/>
      <c r="L1236" s="17" t="str">
        <f ca="1">IFERROR(__xludf.DUMMYFUNCTION("""COMPUTED_VALUE"""),"closed")</f>
        <v>closed</v>
      </c>
      <c r="M1236" s="17" t="str">
        <f ca="1">IFERROR(__xludf.DUMMYFUNCTION("""COMPUTED_VALUE"""),"1st M")</f>
        <v>1st M</v>
      </c>
      <c r="N1236" s="15" t="str">
        <f ca="1">IFERROR(__xludf.DUMMYFUNCTION("""COMPUTED_VALUE"""),"unproven")</f>
        <v>unproven</v>
      </c>
      <c r="O1236" s="18" t="str">
        <f ca="1">IFERROR(__xludf.DUMMYFUNCTION("""COMPUTED_VALUE"""),"accept as Eastern")</f>
        <v>accept as Eastern</v>
      </c>
      <c r="P1236" s="15"/>
      <c r="Q1236" s="15"/>
      <c r="R1236" s="15"/>
      <c r="S1236" s="15"/>
      <c r="T1236" s="15"/>
      <c r="U1236" s="15"/>
      <c r="V1236" s="15"/>
      <c r="W1236" s="15"/>
      <c r="X1236" s="15"/>
      <c r="Y1236" s="15"/>
      <c r="Z1236" s="15"/>
      <c r="AA1236" s="15"/>
      <c r="AB1236" s="15"/>
      <c r="AC1236" s="15"/>
      <c r="AD1236" s="15"/>
      <c r="AE1236" s="15"/>
      <c r="AF1236" s="15"/>
      <c r="AG1236" s="15"/>
      <c r="AH1236" s="15"/>
      <c r="AI1236" s="15"/>
      <c r="AJ1236" s="15"/>
      <c r="AK1236" s="15"/>
      <c r="AL1236" s="15"/>
      <c r="AM1236" s="15"/>
      <c r="AN1236" s="15"/>
      <c r="AO1236" s="15"/>
      <c r="AP1236" s="15"/>
      <c r="AQ1236" s="15"/>
      <c r="AR1236" s="15"/>
      <c r="AS1236" s="15"/>
      <c r="AT1236" s="15"/>
      <c r="AU1236" s="15"/>
      <c r="AV1236" s="15"/>
      <c r="AW1236" s="15"/>
      <c r="AX1236" s="15"/>
      <c r="AY1236" s="15"/>
      <c r="AZ1236" s="15"/>
      <c r="BA1236" s="15"/>
      <c r="BB1236" s="15"/>
      <c r="BC1236" s="15"/>
      <c r="BD1236" s="15"/>
      <c r="BE1236" s="15"/>
      <c r="BF1236" s="15"/>
      <c r="BG1236" s="15"/>
      <c r="BH1236" s="15"/>
      <c r="BI1236" s="15"/>
      <c r="BJ1236" s="15"/>
      <c r="BK1236" s="15"/>
      <c r="BL1236" s="15"/>
      <c r="BM1236" s="15"/>
      <c r="BN1236" s="15"/>
      <c r="BO1236" s="15"/>
      <c r="BP1236" s="15"/>
      <c r="BQ1236" s="15"/>
      <c r="BR1236" s="15"/>
      <c r="BS1236" s="15"/>
      <c r="BT1236" s="15"/>
      <c r="BU1236" s="15"/>
      <c r="BV1236" s="15"/>
      <c r="BW1236" s="15"/>
      <c r="BX1236" s="15"/>
      <c r="BY1236" s="15"/>
      <c r="BZ1236" s="15"/>
      <c r="CA1236" s="15"/>
      <c r="CB1236" s="15"/>
    </row>
    <row r="1237" spans="1:80" ht="12.75" hidden="1" customHeight="1">
      <c r="A1237" s="20">
        <f ca="1">IFERROR(__xludf.DUMMYFUNCTION("""COMPUTED_VALUE"""),2016)</f>
        <v>2016</v>
      </c>
      <c r="B1237" s="45">
        <f ca="1">IFERROR(__xludf.DUMMYFUNCTION("""COMPUTED_VALUE"""),43322)</f>
        <v>43322</v>
      </c>
      <c r="C1237" s="46">
        <f ca="1">IFERROR(__xludf.DUMMYFUNCTION("""COMPUTED_VALUE"""),43174)</f>
        <v>43174</v>
      </c>
      <c r="D1237" s="47" t="str">
        <f ca="1">IFERROR(__xludf.DUMMYFUNCTION("""COMPUTED_VALUE"""),"Siberian Chiffchaff [tristis race]")</f>
        <v>Siberian Chiffchaff [tristis race]</v>
      </c>
      <c r="E1237" s="52">
        <f ca="1">IFERROR(__xludf.DUMMYFUNCTION("""COMPUTED_VALUE"""),1)</f>
        <v>1</v>
      </c>
      <c r="F1237" s="25"/>
      <c r="G1237" s="48" t="str">
        <f ca="1">IFERROR(__xludf.DUMMYFUNCTION("""COMPUTED_VALUE"""),"Woolston Eyes No 3 Bed")</f>
        <v>Woolston Eyes No 3 Bed</v>
      </c>
      <c r="H1237" s="22">
        <f ca="1">IFERROR(__xludf.DUMMYFUNCTION("""COMPUTED_VALUE"""),42693)</f>
        <v>42693</v>
      </c>
      <c r="I1237" s="23"/>
      <c r="J1237" s="24"/>
      <c r="K1237" s="25"/>
      <c r="L1237" s="27" t="str">
        <f ca="1">IFERROR(__xludf.DUMMYFUNCTION("""COMPUTED_VALUE"""),"closed")</f>
        <v>closed</v>
      </c>
      <c r="M1237" s="27" t="str">
        <f ca="1">IFERROR(__xludf.DUMMYFUNCTION("""COMPUTED_VALUE"""),"1st M")</f>
        <v>1st M</v>
      </c>
      <c r="N1237" s="25" t="str">
        <f ca="1">IFERROR(__xludf.DUMMYFUNCTION("""COMPUTED_VALUE"""),"unproven")</f>
        <v>unproven</v>
      </c>
      <c r="O1237" s="28" t="str">
        <f ca="1">IFERROR(__xludf.DUMMYFUNCTION("""COMPUTED_VALUE"""),"accept as Eastern")</f>
        <v>accept as Eastern</v>
      </c>
      <c r="P1237" s="25"/>
      <c r="Q1237" s="25"/>
      <c r="R1237" s="25"/>
      <c r="S1237" s="25"/>
      <c r="T1237" s="25"/>
      <c r="U1237" s="25"/>
      <c r="V1237" s="25"/>
      <c r="W1237" s="25"/>
      <c r="X1237" s="25"/>
      <c r="Y1237" s="25"/>
      <c r="Z1237" s="25"/>
      <c r="AA1237" s="25"/>
      <c r="AB1237" s="25"/>
      <c r="AC1237" s="25"/>
      <c r="AD1237" s="25"/>
      <c r="AE1237" s="25"/>
      <c r="AF1237" s="25"/>
      <c r="AG1237" s="25"/>
      <c r="AH1237" s="25"/>
      <c r="AI1237" s="25"/>
      <c r="AJ1237" s="25"/>
      <c r="AK1237" s="25"/>
      <c r="AL1237" s="25"/>
      <c r="AM1237" s="25"/>
      <c r="AN1237" s="25"/>
      <c r="AO1237" s="25"/>
      <c r="AP1237" s="25"/>
      <c r="AQ1237" s="25"/>
      <c r="AR1237" s="25"/>
      <c r="AS1237" s="25"/>
      <c r="AT1237" s="25"/>
      <c r="AU1237" s="25"/>
      <c r="AV1237" s="25"/>
      <c r="AW1237" s="25"/>
      <c r="AX1237" s="25"/>
      <c r="AY1237" s="25"/>
      <c r="AZ1237" s="25"/>
      <c r="BA1237" s="25"/>
      <c r="BB1237" s="25"/>
      <c r="BC1237" s="25"/>
      <c r="BD1237" s="25"/>
      <c r="BE1237" s="25"/>
      <c r="BF1237" s="25"/>
      <c r="BG1237" s="25"/>
      <c r="BH1237" s="25"/>
      <c r="BI1237" s="25"/>
      <c r="BJ1237" s="25"/>
      <c r="BK1237" s="25"/>
      <c r="BL1237" s="25"/>
      <c r="BM1237" s="25"/>
      <c r="BN1237" s="25"/>
      <c r="BO1237" s="25"/>
      <c r="BP1237" s="25"/>
      <c r="BQ1237" s="25"/>
      <c r="BR1237" s="25"/>
      <c r="BS1237" s="25"/>
      <c r="BT1237" s="25"/>
      <c r="BU1237" s="25"/>
      <c r="BV1237" s="25"/>
      <c r="BW1237" s="25"/>
      <c r="BX1237" s="25"/>
      <c r="BY1237" s="25"/>
      <c r="BZ1237" s="25"/>
      <c r="CA1237" s="25"/>
      <c r="CB1237" s="25"/>
    </row>
    <row r="1238" spans="1:80" ht="12.75" hidden="1" customHeight="1">
      <c r="A1238" s="10">
        <f ca="1">IFERROR(__xludf.DUMMYFUNCTION("""COMPUTED_VALUE"""),2016)</f>
        <v>2016</v>
      </c>
      <c r="B1238" s="50">
        <f ca="1">IFERROR(__xludf.DUMMYFUNCTION("""COMPUTED_VALUE"""),43322)</f>
        <v>43322</v>
      </c>
      <c r="C1238" s="41">
        <f ca="1">IFERROR(__xludf.DUMMYFUNCTION("""COMPUTED_VALUE"""),43174)</f>
        <v>43174</v>
      </c>
      <c r="D1238" s="42" t="str">
        <f ca="1">IFERROR(__xludf.DUMMYFUNCTION("""COMPUTED_VALUE"""),"Siberian Chiffchaff [tristis race]")</f>
        <v>Siberian Chiffchaff [tristis race]</v>
      </c>
      <c r="E1238" s="53">
        <f ca="1">IFERROR(__xludf.DUMMYFUNCTION("""COMPUTED_VALUE"""),1)</f>
        <v>1</v>
      </c>
      <c r="F1238" s="15" t="str">
        <f ca="1">IFERROR(__xludf.DUMMYFUNCTION("""COMPUTED_VALUE"""),"adF")</f>
        <v>adF</v>
      </c>
      <c r="G1238" s="44" t="str">
        <f ca="1">IFERROR(__xludf.DUMMYFUNCTION("""COMPUTED_VALUE"""),"Oxmoor LNR Runcorn")</f>
        <v>Oxmoor LNR Runcorn</v>
      </c>
      <c r="H1238" s="12">
        <f ca="1">IFERROR(__xludf.DUMMYFUNCTION("""COMPUTED_VALUE"""),42701)</f>
        <v>42701</v>
      </c>
      <c r="I1238" s="13"/>
      <c r="J1238" s="14"/>
      <c r="K1238" s="15"/>
      <c r="L1238" s="17" t="str">
        <f ca="1">IFERROR(__xludf.DUMMYFUNCTION("""COMPUTED_VALUE"""),"closed")</f>
        <v>closed</v>
      </c>
      <c r="M1238" s="17" t="str">
        <f ca="1">IFERROR(__xludf.DUMMYFUNCTION("""COMPUTED_VALUE"""),"1st M")</f>
        <v>1st M</v>
      </c>
      <c r="N1238" s="15" t="str">
        <f ca="1">IFERROR(__xludf.DUMMYFUNCTION("""COMPUTED_VALUE"""),"unproven")</f>
        <v>unproven</v>
      </c>
      <c r="O1238" s="18" t="str">
        <f ca="1">IFERROR(__xludf.DUMMYFUNCTION("""COMPUTED_VALUE"""),"accept as Eastern")</f>
        <v>accept as Eastern</v>
      </c>
      <c r="P1238" s="15"/>
      <c r="Q1238" s="15"/>
      <c r="R1238" s="15"/>
      <c r="S1238" s="15"/>
      <c r="T1238" s="15"/>
      <c r="U1238" s="15"/>
      <c r="V1238" s="15"/>
      <c r="W1238" s="15"/>
      <c r="X1238" s="15"/>
      <c r="Y1238" s="15"/>
      <c r="Z1238" s="15"/>
      <c r="AA1238" s="15"/>
      <c r="AB1238" s="15"/>
      <c r="AC1238" s="15"/>
      <c r="AD1238" s="15"/>
      <c r="AE1238" s="15"/>
      <c r="AF1238" s="15"/>
      <c r="AG1238" s="15"/>
      <c r="AH1238" s="15"/>
      <c r="AI1238" s="15"/>
      <c r="AJ1238" s="15"/>
      <c r="AK1238" s="15"/>
      <c r="AL1238" s="15"/>
      <c r="AM1238" s="15"/>
      <c r="AN1238" s="15"/>
      <c r="AO1238" s="15"/>
      <c r="AP1238" s="15"/>
      <c r="AQ1238" s="15"/>
      <c r="AR1238" s="15"/>
      <c r="AS1238" s="15"/>
      <c r="AT1238" s="15"/>
      <c r="AU1238" s="15"/>
      <c r="AV1238" s="15"/>
      <c r="AW1238" s="15"/>
      <c r="AX1238" s="15"/>
      <c r="AY1238" s="15"/>
      <c r="AZ1238" s="15"/>
      <c r="BA1238" s="15"/>
      <c r="BB1238" s="15"/>
      <c r="BC1238" s="15"/>
      <c r="BD1238" s="15"/>
      <c r="BE1238" s="15"/>
      <c r="BF1238" s="15"/>
      <c r="BG1238" s="15"/>
      <c r="BH1238" s="15"/>
      <c r="BI1238" s="15"/>
      <c r="BJ1238" s="15"/>
      <c r="BK1238" s="15"/>
      <c r="BL1238" s="15"/>
      <c r="BM1238" s="15"/>
      <c r="BN1238" s="15"/>
      <c r="BO1238" s="15"/>
      <c r="BP1238" s="15"/>
      <c r="BQ1238" s="15"/>
      <c r="BR1238" s="15"/>
      <c r="BS1238" s="15"/>
      <c r="BT1238" s="15"/>
      <c r="BU1238" s="15"/>
      <c r="BV1238" s="15"/>
      <c r="BW1238" s="15"/>
      <c r="BX1238" s="15"/>
      <c r="BY1238" s="15"/>
      <c r="BZ1238" s="15"/>
      <c r="CA1238" s="15"/>
      <c r="CB1238" s="15"/>
    </row>
    <row r="1239" spans="1:80" ht="12.75" hidden="1" customHeight="1">
      <c r="A1239" s="20">
        <f ca="1">IFERROR(__xludf.DUMMYFUNCTION("""COMPUTED_VALUE"""),2016)</f>
        <v>2016</v>
      </c>
      <c r="B1239" s="45">
        <f ca="1">IFERROR(__xludf.DUMMYFUNCTION("""COMPUTED_VALUE"""),43322)</f>
        <v>43322</v>
      </c>
      <c r="C1239" s="46">
        <f ca="1">IFERROR(__xludf.DUMMYFUNCTION("""COMPUTED_VALUE"""),43174)</f>
        <v>43174</v>
      </c>
      <c r="D1239" s="47" t="str">
        <f ca="1">IFERROR(__xludf.DUMMYFUNCTION("""COMPUTED_VALUE"""),"Siberian Chiffchaff [tristis race]")</f>
        <v>Siberian Chiffchaff [tristis race]</v>
      </c>
      <c r="E1239" s="52">
        <f ca="1">IFERROR(__xludf.DUMMYFUNCTION("""COMPUTED_VALUE"""),1)</f>
        <v>1</v>
      </c>
      <c r="F1239" s="25"/>
      <c r="G1239" s="48" t="str">
        <f ca="1">IFERROR(__xludf.DUMMYFUNCTION("""COMPUTED_VALUE"""),"Woolston Eyes No 3 Bed")</f>
        <v>Woolston Eyes No 3 Bed</v>
      </c>
      <c r="H1239" s="22">
        <f ca="1">IFERROR(__xludf.DUMMYFUNCTION("""COMPUTED_VALUE"""),42735)</f>
        <v>42735</v>
      </c>
      <c r="I1239" s="23"/>
      <c r="J1239" s="24"/>
      <c r="K1239" s="25"/>
      <c r="L1239" s="27" t="str">
        <f ca="1">IFERROR(__xludf.DUMMYFUNCTION("""COMPUTED_VALUE"""),"closed")</f>
        <v>closed</v>
      </c>
      <c r="M1239" s="27" t="str">
        <f ca="1">IFERROR(__xludf.DUMMYFUNCTION("""COMPUTED_VALUE"""),"1st M")</f>
        <v>1st M</v>
      </c>
      <c r="N1239" s="25" t="str">
        <f ca="1">IFERROR(__xludf.DUMMYFUNCTION("""COMPUTED_VALUE"""),"unproven")</f>
        <v>unproven</v>
      </c>
      <c r="O1239" s="28" t="str">
        <f ca="1">IFERROR(__xludf.DUMMYFUNCTION("""COMPUTED_VALUE"""),"accept as Eastern")</f>
        <v>accept as Eastern</v>
      </c>
      <c r="P1239" s="25"/>
      <c r="Q1239" s="25"/>
      <c r="R1239" s="25"/>
      <c r="S1239" s="25"/>
      <c r="T1239" s="25"/>
      <c r="U1239" s="25"/>
      <c r="V1239" s="25"/>
      <c r="W1239" s="25"/>
      <c r="X1239" s="25"/>
      <c r="Y1239" s="25"/>
      <c r="Z1239" s="25"/>
      <c r="AA1239" s="25"/>
      <c r="AB1239" s="25"/>
      <c r="AC1239" s="25"/>
      <c r="AD1239" s="25"/>
      <c r="AE1239" s="25"/>
      <c r="AF1239" s="25"/>
      <c r="AG1239" s="25"/>
      <c r="AH1239" s="25"/>
      <c r="AI1239" s="25"/>
      <c r="AJ1239" s="25"/>
      <c r="AK1239" s="25"/>
      <c r="AL1239" s="25"/>
      <c r="AM1239" s="25"/>
      <c r="AN1239" s="25"/>
      <c r="AO1239" s="25"/>
      <c r="AP1239" s="25"/>
      <c r="AQ1239" s="25"/>
      <c r="AR1239" s="25"/>
      <c r="AS1239" s="25"/>
      <c r="AT1239" s="25"/>
      <c r="AU1239" s="25"/>
      <c r="AV1239" s="25"/>
      <c r="AW1239" s="25"/>
      <c r="AX1239" s="25"/>
      <c r="AY1239" s="25"/>
      <c r="AZ1239" s="25"/>
      <c r="BA1239" s="25"/>
      <c r="BB1239" s="25"/>
      <c r="BC1239" s="25"/>
      <c r="BD1239" s="25"/>
      <c r="BE1239" s="25"/>
      <c r="BF1239" s="25"/>
      <c r="BG1239" s="25"/>
      <c r="BH1239" s="25"/>
      <c r="BI1239" s="25"/>
      <c r="BJ1239" s="25"/>
      <c r="BK1239" s="25"/>
      <c r="BL1239" s="25"/>
      <c r="BM1239" s="25"/>
      <c r="BN1239" s="25"/>
      <c r="BO1239" s="25"/>
      <c r="BP1239" s="25"/>
      <c r="BQ1239" s="25"/>
      <c r="BR1239" s="25"/>
      <c r="BS1239" s="25"/>
      <c r="BT1239" s="25"/>
      <c r="BU1239" s="25"/>
      <c r="BV1239" s="25"/>
      <c r="BW1239" s="25"/>
      <c r="BX1239" s="25"/>
      <c r="BY1239" s="25"/>
      <c r="BZ1239" s="25"/>
      <c r="CA1239" s="25"/>
      <c r="CB1239" s="25"/>
    </row>
    <row r="1240" spans="1:80" ht="12.75" hidden="1" customHeight="1">
      <c r="A1240" s="10">
        <f ca="1">IFERROR(__xludf.DUMMYFUNCTION("""COMPUTED_VALUE"""),2016)</f>
        <v>2016</v>
      </c>
      <c r="B1240" s="50">
        <f ca="1">IFERROR(__xludf.DUMMYFUNCTION("""COMPUTED_VALUE"""),42986)</f>
        <v>42986</v>
      </c>
      <c r="C1240" s="41">
        <f ca="1">IFERROR(__xludf.DUMMYFUNCTION("""COMPUTED_VALUE"""),43011)</f>
        <v>43011</v>
      </c>
      <c r="D1240" s="42" t="str">
        <f ca="1">IFERROR(__xludf.DUMMYFUNCTION("""COMPUTED_VALUE"""),"Subalpine Warbler")</f>
        <v>Subalpine Warbler</v>
      </c>
      <c r="E1240" s="53">
        <f ca="1">IFERROR(__xludf.DUMMYFUNCTION("""COMPUTED_VALUE"""),1)</f>
        <v>1</v>
      </c>
      <c r="F1240" s="15" t="str">
        <f ca="1">IFERROR(__xludf.DUMMYFUNCTION("""COMPUTED_VALUE"""),"male")</f>
        <v>male</v>
      </c>
      <c r="G1240" s="44" t="str">
        <f ca="1">IFERROR(__xludf.DUMMYFUNCTION("""COMPUTED_VALUE"""),"Red Rocks, Hoylake")</f>
        <v>Red Rocks, Hoylake</v>
      </c>
      <c r="H1240" s="12">
        <f ca="1">IFERROR(__xludf.DUMMYFUNCTION("""COMPUTED_VALUE"""),42503)</f>
        <v>42503</v>
      </c>
      <c r="I1240" s="13"/>
      <c r="J1240" s="14" t="str">
        <f ca="1">IFERROR(__xludf.DUMMYFUNCTION("""COMPUTED_VALUE"""),"Turner, M &amp; JE")</f>
        <v>Turner, M &amp; JE</v>
      </c>
      <c r="K1240" s="15" t="str">
        <f ca="1">IFERROR(__xludf.DUMMYFUNCTION("""COMPUTED_VALUE"""),"Turner, M &amp; JE")</f>
        <v>Turner, M &amp; JE</v>
      </c>
      <c r="L1240" s="17" t="str">
        <f ca="1">IFERROR(__xludf.DUMMYFUNCTION("""COMPUTED_VALUE"""),"closed")</f>
        <v>closed</v>
      </c>
      <c r="M1240" s="17" t="str">
        <f ca="1">IFERROR(__xludf.DUMMYFUNCTION("""COMPUTED_VALUE"""),"1st U")</f>
        <v>1st U</v>
      </c>
      <c r="N1240" s="15" t="str">
        <f ca="1">IFERROR(__xludf.DUMMYFUNCTION("""COMPUTED_VALUE"""),"accepted")</f>
        <v>accepted</v>
      </c>
      <c r="O1240" s="18" t="str">
        <f ca="1">IFERROR(__xludf.DUMMYFUNCTION("""COMPUTED_VALUE"""),"pres. Western")</f>
        <v>pres. Western</v>
      </c>
      <c r="P1240" s="15"/>
      <c r="Q1240" s="15"/>
      <c r="R1240" s="15"/>
      <c r="S1240" s="15"/>
      <c r="T1240" s="15"/>
      <c r="U1240" s="15"/>
      <c r="V1240" s="15"/>
      <c r="W1240" s="15"/>
      <c r="X1240" s="15"/>
      <c r="Y1240" s="15"/>
      <c r="Z1240" s="15"/>
      <c r="AA1240" s="15"/>
      <c r="AB1240" s="15"/>
      <c r="AC1240" s="15"/>
      <c r="AD1240" s="15"/>
      <c r="AE1240" s="15"/>
      <c r="AF1240" s="15"/>
      <c r="AG1240" s="15"/>
      <c r="AH1240" s="15"/>
      <c r="AI1240" s="15"/>
      <c r="AJ1240" s="15"/>
      <c r="AK1240" s="15"/>
      <c r="AL1240" s="15"/>
      <c r="AM1240" s="15"/>
      <c r="AN1240" s="15"/>
      <c r="AO1240" s="15"/>
      <c r="AP1240" s="15"/>
      <c r="AQ1240" s="15"/>
      <c r="AR1240" s="15"/>
      <c r="AS1240" s="15"/>
      <c r="AT1240" s="15"/>
      <c r="AU1240" s="15"/>
      <c r="AV1240" s="15"/>
      <c r="AW1240" s="15"/>
      <c r="AX1240" s="15"/>
      <c r="AY1240" s="15"/>
      <c r="AZ1240" s="15"/>
      <c r="BA1240" s="15"/>
      <c r="BB1240" s="15"/>
      <c r="BC1240" s="15"/>
      <c r="BD1240" s="15"/>
      <c r="BE1240" s="15"/>
      <c r="BF1240" s="15"/>
      <c r="BG1240" s="15"/>
      <c r="BH1240" s="15"/>
      <c r="BI1240" s="15"/>
      <c r="BJ1240" s="15"/>
      <c r="BK1240" s="15"/>
      <c r="BL1240" s="15"/>
      <c r="BM1240" s="15"/>
      <c r="BN1240" s="15"/>
      <c r="BO1240" s="15"/>
      <c r="BP1240" s="15"/>
      <c r="BQ1240" s="15"/>
      <c r="BR1240" s="15"/>
      <c r="BS1240" s="15"/>
      <c r="BT1240" s="15"/>
      <c r="BU1240" s="15"/>
      <c r="BV1240" s="15"/>
      <c r="BW1240" s="15"/>
      <c r="BX1240" s="15"/>
      <c r="BY1240" s="15"/>
      <c r="BZ1240" s="15"/>
      <c r="CA1240" s="15"/>
      <c r="CB1240" s="15"/>
    </row>
    <row r="1241" spans="1:80" ht="12.75" hidden="1" customHeight="1">
      <c r="A1241" s="20">
        <f ca="1">IFERROR(__xludf.DUMMYFUNCTION("""COMPUTED_VALUE"""),2016)</f>
        <v>2016</v>
      </c>
      <c r="B1241" s="45">
        <f ca="1">IFERROR(__xludf.DUMMYFUNCTION("""COMPUTED_VALUE"""),42985)</f>
        <v>42985</v>
      </c>
      <c r="C1241" s="46">
        <f ca="1">IFERROR(__xludf.DUMMYFUNCTION("""COMPUTED_VALUE"""),43011)</f>
        <v>43011</v>
      </c>
      <c r="D1241" s="47" t="str">
        <f ca="1">IFERROR(__xludf.DUMMYFUNCTION("""COMPUTED_VALUE"""),"Red-breasted Flycatcher")</f>
        <v>Red-breasted Flycatcher</v>
      </c>
      <c r="E1241" s="52">
        <f ca="1">IFERROR(__xludf.DUMMYFUNCTION("""COMPUTED_VALUE"""),1)</f>
        <v>1</v>
      </c>
      <c r="F1241" s="25" t="str">
        <f ca="1">IFERROR(__xludf.DUMMYFUNCTION("""COMPUTED_VALUE"""),"ad")</f>
        <v>ad</v>
      </c>
      <c r="G1241" s="48" t="str">
        <f ca="1">IFERROR(__xludf.DUMMYFUNCTION("""COMPUTED_VALUE"""),"Rostherne Mere NNR")</f>
        <v>Rostherne Mere NNR</v>
      </c>
      <c r="H1241" s="22">
        <f ca="1">IFERROR(__xludf.DUMMYFUNCTION("""COMPUTED_VALUE"""),42608)</f>
        <v>42608</v>
      </c>
      <c r="I1241" s="23"/>
      <c r="J1241" s="24"/>
      <c r="K1241" s="25"/>
      <c r="L1241" s="27" t="str">
        <f ca="1">IFERROR(__xludf.DUMMYFUNCTION("""COMPUTED_VALUE"""),"closed")</f>
        <v>closed</v>
      </c>
      <c r="M1241" s="27" t="str">
        <f ca="1">IFERROR(__xludf.DUMMYFUNCTION("""COMPUTED_VALUE"""),"1st U")</f>
        <v>1st U</v>
      </c>
      <c r="N1241" s="25" t="str">
        <f ca="1">IFERROR(__xludf.DUMMYFUNCTION("""COMPUTED_VALUE"""),"unproven")</f>
        <v>unproven</v>
      </c>
      <c r="O1241" s="28"/>
      <c r="P1241" s="25"/>
      <c r="Q1241" s="25"/>
      <c r="R1241" s="25"/>
      <c r="S1241" s="25"/>
      <c r="T1241" s="25"/>
      <c r="U1241" s="25"/>
      <c r="V1241" s="25"/>
      <c r="W1241" s="25"/>
      <c r="X1241" s="25"/>
      <c r="Y1241" s="25"/>
      <c r="Z1241" s="25"/>
      <c r="AA1241" s="25"/>
      <c r="AB1241" s="25"/>
      <c r="AC1241" s="25"/>
      <c r="AD1241" s="25"/>
      <c r="AE1241" s="25"/>
      <c r="AF1241" s="25"/>
      <c r="AG1241" s="25"/>
      <c r="AH1241" s="25"/>
      <c r="AI1241" s="25"/>
      <c r="AJ1241" s="25"/>
      <c r="AK1241" s="25"/>
      <c r="AL1241" s="25"/>
      <c r="AM1241" s="25"/>
      <c r="AN1241" s="25"/>
      <c r="AO1241" s="25"/>
      <c r="AP1241" s="25"/>
      <c r="AQ1241" s="25"/>
      <c r="AR1241" s="25"/>
      <c r="AS1241" s="25"/>
      <c r="AT1241" s="25"/>
      <c r="AU1241" s="25"/>
      <c r="AV1241" s="25"/>
      <c r="AW1241" s="25"/>
      <c r="AX1241" s="25"/>
      <c r="AY1241" s="25"/>
      <c r="AZ1241" s="25"/>
      <c r="BA1241" s="25"/>
      <c r="BB1241" s="25"/>
      <c r="BC1241" s="25"/>
      <c r="BD1241" s="25"/>
      <c r="BE1241" s="25"/>
      <c r="BF1241" s="25"/>
      <c r="BG1241" s="25"/>
      <c r="BH1241" s="25"/>
      <c r="BI1241" s="25"/>
      <c r="BJ1241" s="25"/>
      <c r="BK1241" s="25"/>
      <c r="BL1241" s="25"/>
      <c r="BM1241" s="25"/>
      <c r="BN1241" s="25"/>
      <c r="BO1241" s="25"/>
      <c r="BP1241" s="25"/>
      <c r="BQ1241" s="25"/>
      <c r="BR1241" s="25"/>
      <c r="BS1241" s="25"/>
      <c r="BT1241" s="25"/>
      <c r="BU1241" s="25"/>
      <c r="BV1241" s="25"/>
      <c r="BW1241" s="25"/>
      <c r="BX1241" s="25"/>
      <c r="BY1241" s="25"/>
      <c r="BZ1241" s="25"/>
      <c r="CA1241" s="25"/>
      <c r="CB1241" s="25"/>
    </row>
    <row r="1242" spans="1:80" ht="12.75" hidden="1" customHeight="1">
      <c r="A1242" s="10">
        <f ca="1">IFERROR(__xludf.DUMMYFUNCTION("""COMPUTED_VALUE"""),2016)</f>
        <v>2016</v>
      </c>
      <c r="B1242" s="50">
        <f ca="1">IFERROR(__xludf.DUMMYFUNCTION("""COMPUTED_VALUE"""),43318)</f>
        <v>43318</v>
      </c>
      <c r="C1242" s="41"/>
      <c r="D1242" s="42" t="str">
        <f ca="1">IFERROR(__xludf.DUMMYFUNCTION("""COMPUTED_VALUE"""),"Richard's Pipit")</f>
        <v>Richard's Pipit</v>
      </c>
      <c r="E1242" s="53">
        <f ca="1">IFERROR(__xludf.DUMMYFUNCTION("""COMPUTED_VALUE"""),1)</f>
        <v>1</v>
      </c>
      <c r="F1242" s="15"/>
      <c r="G1242" s="62" t="str">
        <f ca="1">IFERROR(__xludf.DUMMYFUNCTION("""COMPUTED_VALUE"""),"Hilbre")</f>
        <v>Hilbre</v>
      </c>
      <c r="H1242" s="12">
        <f ca="1">IFERROR(__xludf.DUMMYFUNCTION("""COMPUTED_VALUE"""),42660)</f>
        <v>42660</v>
      </c>
      <c r="I1242" s="12">
        <f ca="1">IFERROR(__xludf.DUMMYFUNCTION("""COMPUTED_VALUE"""),42660)</f>
        <v>42660</v>
      </c>
      <c r="J1242" s="75" t="str">
        <f ca="1">IFERROR(__xludf.DUMMYFUNCTION("""COMPUTED_VALUE"""),"Hilbre Bird Observatory")</f>
        <v>Hilbre Bird Observatory</v>
      </c>
      <c r="K1242" s="15"/>
      <c r="L1242" s="17" t="str">
        <f ca="1">IFERROR(__xludf.DUMMYFUNCTION("""COMPUTED_VALUE"""),"closed")</f>
        <v>closed</v>
      </c>
      <c r="M1242" s="17" t="str">
        <f ca="1">IFERROR(__xludf.DUMMYFUNCTION("""COMPUTED_VALUE"""),"1st U")</f>
        <v>1st U</v>
      </c>
      <c r="N1242" s="58" t="str">
        <f ca="1">IFERROR(__xludf.DUMMYFUNCTION("""COMPUTED_VALUE"""),"accepted")</f>
        <v>accepted</v>
      </c>
      <c r="O1242" s="76" t="str">
        <f ca="1">IFERROR(__xludf.DUMMYFUNCTION("""COMPUTED_VALUE"""),"(JE, CJ, SRW)")</f>
        <v>(JE, CJ, SRW)</v>
      </c>
      <c r="P1242" s="15"/>
      <c r="Q1242" s="58"/>
      <c r="R1242" s="58"/>
      <c r="S1242" s="15"/>
      <c r="T1242" s="15"/>
      <c r="U1242" s="15"/>
      <c r="V1242" s="15"/>
      <c r="W1242" s="15"/>
      <c r="X1242" s="15"/>
      <c r="Y1242" s="15"/>
      <c r="Z1242" s="15"/>
      <c r="AA1242" s="15"/>
      <c r="AB1242" s="15"/>
      <c r="AC1242" s="15"/>
      <c r="AD1242" s="15"/>
      <c r="AE1242" s="15"/>
      <c r="AF1242" s="15"/>
      <c r="AG1242" s="15"/>
      <c r="AH1242" s="15"/>
      <c r="AI1242" s="15"/>
      <c r="AJ1242" s="15"/>
      <c r="AK1242" s="15"/>
      <c r="AL1242" s="15"/>
      <c r="AM1242" s="15"/>
      <c r="AN1242" s="15"/>
      <c r="AO1242" s="15"/>
      <c r="AP1242" s="15"/>
      <c r="AQ1242" s="15"/>
      <c r="AR1242" s="15"/>
      <c r="AS1242" s="15"/>
      <c r="AT1242" s="15"/>
      <c r="AU1242" s="15"/>
      <c r="AV1242" s="15"/>
      <c r="AW1242" s="15"/>
      <c r="AX1242" s="15"/>
      <c r="AY1242" s="15"/>
      <c r="AZ1242" s="15"/>
      <c r="BA1242" s="15"/>
      <c r="BB1242" s="15"/>
      <c r="BC1242" s="15"/>
      <c r="BD1242" s="15"/>
      <c r="BE1242" s="15"/>
      <c r="BF1242" s="15"/>
      <c r="BG1242" s="15"/>
      <c r="BH1242" s="15"/>
      <c r="BI1242" s="15"/>
      <c r="BJ1242" s="15"/>
      <c r="BK1242" s="15"/>
      <c r="BL1242" s="15"/>
      <c r="BM1242" s="15"/>
      <c r="BN1242" s="15"/>
      <c r="BO1242" s="15"/>
      <c r="BP1242" s="15"/>
      <c r="BQ1242" s="15"/>
      <c r="BR1242" s="15"/>
      <c r="BS1242" s="15"/>
      <c r="BT1242" s="15"/>
      <c r="BU1242" s="15"/>
      <c r="BV1242" s="15"/>
      <c r="BW1242" s="15"/>
      <c r="BX1242" s="15"/>
      <c r="BY1242" s="15"/>
      <c r="BZ1242" s="15"/>
      <c r="CA1242" s="15"/>
      <c r="CB1242" s="15"/>
    </row>
    <row r="1243" spans="1:80" ht="12.75" hidden="1" customHeight="1">
      <c r="A1243" s="20">
        <f ca="1">IFERROR(__xludf.DUMMYFUNCTION("""COMPUTED_VALUE"""),2016)</f>
        <v>2016</v>
      </c>
      <c r="B1243" s="45">
        <f ca="1">IFERROR(__xludf.DUMMYFUNCTION("""COMPUTED_VALUE"""),43208)</f>
        <v>43208</v>
      </c>
      <c r="C1243" s="46">
        <f ca="1">IFERROR(__xludf.DUMMYFUNCTION("""COMPUTED_VALUE"""),43187)</f>
        <v>43187</v>
      </c>
      <c r="D1243" s="47" t="str">
        <f ca="1">IFERROR(__xludf.DUMMYFUNCTION("""COMPUTED_VALUE"""),"Rock Pipit [Scandinavian]")</f>
        <v>Rock Pipit [Scandinavian]</v>
      </c>
      <c r="E1243" s="52">
        <f ca="1">IFERROR(__xludf.DUMMYFUNCTION("""COMPUTED_VALUE"""),43317)</f>
        <v>43317</v>
      </c>
      <c r="F1243" s="25"/>
      <c r="G1243" s="48" t="str">
        <f ca="1">IFERROR(__xludf.DUMMYFUNCTION("""COMPUTED_VALUE"""),"Red Rocks, Hoylake")</f>
        <v>Red Rocks, Hoylake</v>
      </c>
      <c r="H1243" s="22">
        <f ca="1">IFERROR(__xludf.DUMMYFUNCTION("""COMPUTED_VALUE"""),42375)</f>
        <v>42375</v>
      </c>
      <c r="I1243" s="22">
        <f ca="1">IFERROR(__xludf.DUMMYFUNCTION("""COMPUTED_VALUE"""),42411)</f>
        <v>42411</v>
      </c>
      <c r="J1243" s="24" t="str">
        <f ca="1">IFERROR(__xludf.DUMMYFUNCTION("""COMPUTED_VALUE"""),"Turner, JE")</f>
        <v>Turner, JE</v>
      </c>
      <c r="K1243" s="26" t="str">
        <f ca="1">IFERROR(__xludf.DUMMYFUNCTION("""COMPUTED_VALUE"""),"Turner, JE")</f>
        <v>Turner, JE</v>
      </c>
      <c r="L1243" s="27" t="str">
        <f ca="1">IFERROR(__xludf.DUMMYFUNCTION("""COMPUTED_VALUE"""),"closed")</f>
        <v>closed</v>
      </c>
      <c r="M1243" s="27" t="str">
        <f ca="1">IFERROR(__xludf.DUMMYFUNCTION("""COMPUTED_VALUE"""),"1st U")</f>
        <v>1st U</v>
      </c>
      <c r="N1243" s="25" t="str">
        <f ca="1">IFERROR(__xludf.DUMMYFUNCTION("""COMPUTED_VALUE"""),"accepted")</f>
        <v>accepted</v>
      </c>
      <c r="O1243" s="28"/>
      <c r="P1243" s="25"/>
      <c r="Q1243" s="25"/>
      <c r="R1243" s="40"/>
      <c r="S1243" s="25"/>
      <c r="T1243" s="25"/>
      <c r="U1243" s="25"/>
      <c r="V1243" s="25"/>
      <c r="W1243" s="25"/>
      <c r="X1243" s="25"/>
      <c r="Y1243" s="25"/>
      <c r="Z1243" s="25"/>
      <c r="AA1243" s="25"/>
      <c r="AB1243" s="25"/>
      <c r="AC1243" s="25"/>
      <c r="AD1243" s="25"/>
      <c r="AE1243" s="25"/>
      <c r="AF1243" s="25"/>
      <c r="AG1243" s="25"/>
      <c r="AH1243" s="25"/>
      <c r="AI1243" s="25"/>
      <c r="AJ1243" s="25"/>
      <c r="AK1243" s="25"/>
      <c r="AL1243" s="25"/>
      <c r="AM1243" s="25"/>
      <c r="AN1243" s="25"/>
      <c r="AO1243" s="25"/>
      <c r="AP1243" s="25"/>
      <c r="AQ1243" s="25"/>
      <c r="AR1243" s="25"/>
      <c r="AS1243" s="25"/>
      <c r="AT1243" s="25"/>
      <c r="AU1243" s="25"/>
      <c r="AV1243" s="25"/>
      <c r="AW1243" s="25"/>
      <c r="AX1243" s="25"/>
      <c r="AY1243" s="25"/>
      <c r="AZ1243" s="25"/>
      <c r="BA1243" s="25"/>
      <c r="BB1243" s="25"/>
      <c r="BC1243" s="25"/>
      <c r="BD1243" s="25"/>
      <c r="BE1243" s="25"/>
      <c r="BF1243" s="25"/>
      <c r="BG1243" s="25"/>
      <c r="BH1243" s="25"/>
      <c r="BI1243" s="25"/>
      <c r="BJ1243" s="25"/>
      <c r="BK1243" s="25"/>
      <c r="BL1243" s="25"/>
      <c r="BM1243" s="25"/>
      <c r="BN1243" s="25"/>
      <c r="BO1243" s="25"/>
      <c r="BP1243" s="25"/>
      <c r="BQ1243" s="25"/>
      <c r="BR1243" s="25"/>
      <c r="BS1243" s="25"/>
      <c r="BT1243" s="25"/>
      <c r="BU1243" s="25"/>
      <c r="BV1243" s="25"/>
      <c r="BW1243" s="25"/>
      <c r="BX1243" s="25"/>
      <c r="BY1243" s="25"/>
      <c r="BZ1243" s="25"/>
      <c r="CA1243" s="25"/>
      <c r="CB1243" s="25"/>
    </row>
    <row r="1244" spans="1:80" ht="12.75" hidden="1" customHeight="1">
      <c r="A1244" s="10">
        <f ca="1">IFERROR(__xludf.DUMMYFUNCTION("""COMPUTED_VALUE"""),2016)</f>
        <v>2016</v>
      </c>
      <c r="B1244" s="50">
        <f ca="1">IFERROR(__xludf.DUMMYFUNCTION("""COMPUTED_VALUE"""),42782)</f>
        <v>42782</v>
      </c>
      <c r="C1244" s="41">
        <f ca="1">IFERROR(__xludf.DUMMYFUNCTION("""COMPUTED_VALUE"""),43144)</f>
        <v>43144</v>
      </c>
      <c r="D1244" s="42" t="str">
        <f ca="1">IFERROR(__xludf.DUMMYFUNCTION("""COMPUTED_VALUE"""),"Rock Pipit [Scandinavian]")</f>
        <v>Rock Pipit [Scandinavian]</v>
      </c>
      <c r="E1244" s="53">
        <f ca="1">IFERROR(__xludf.DUMMYFUNCTION("""COMPUTED_VALUE"""),1)</f>
        <v>1</v>
      </c>
      <c r="F1244" s="15"/>
      <c r="G1244" s="44" t="str">
        <f ca="1">IFERROR(__xludf.DUMMYFUNCTION("""COMPUTED_VALUE"""),"Hilbre")</f>
        <v>Hilbre</v>
      </c>
      <c r="H1244" s="12">
        <f ca="1">IFERROR(__xludf.DUMMYFUNCTION("""COMPUTED_VALUE"""),42443)</f>
        <v>42443</v>
      </c>
      <c r="I1244" s="13"/>
      <c r="J1244" s="14" t="str">
        <f ca="1">IFERROR(__xludf.DUMMYFUNCTION("""COMPUTED_VALUE"""),"HiBO")</f>
        <v>HiBO</v>
      </c>
      <c r="K1244" s="15" t="str">
        <f ca="1">IFERROR(__xludf.DUMMYFUNCTION("""COMPUTED_VALUE"""),"Williams, S")</f>
        <v>Williams, S</v>
      </c>
      <c r="L1244" s="17" t="str">
        <f ca="1">IFERROR(__xludf.DUMMYFUNCTION("""COMPUTED_VALUE"""),"closed")</f>
        <v>closed</v>
      </c>
      <c r="M1244" s="17" t="str">
        <f ca="1">IFERROR(__xludf.DUMMYFUNCTION("""COMPUTED_VALUE"""),"1st U")</f>
        <v>1st U</v>
      </c>
      <c r="N1244" s="15" t="str">
        <f ca="1">IFERROR(__xludf.DUMMYFUNCTION("""COMPUTED_VALUE"""),"accepted")</f>
        <v>accepted</v>
      </c>
      <c r="O1244" s="18"/>
      <c r="P1244" s="15"/>
      <c r="Q1244" s="15"/>
      <c r="R1244" s="15"/>
      <c r="S1244" s="15"/>
      <c r="T1244" s="15"/>
      <c r="U1244" s="15"/>
      <c r="V1244" s="15"/>
      <c r="W1244" s="15"/>
      <c r="X1244" s="15"/>
      <c r="Y1244" s="15"/>
      <c r="Z1244" s="15"/>
      <c r="AA1244" s="15"/>
      <c r="AB1244" s="15"/>
      <c r="AC1244" s="15"/>
      <c r="AD1244" s="15"/>
      <c r="AE1244" s="15"/>
      <c r="AF1244" s="15"/>
      <c r="AG1244" s="15"/>
      <c r="AH1244" s="15"/>
      <c r="AI1244" s="15"/>
      <c r="AJ1244" s="15"/>
      <c r="AK1244" s="15"/>
      <c r="AL1244" s="15"/>
      <c r="AM1244" s="15"/>
      <c r="AN1244" s="15"/>
      <c r="AO1244" s="15"/>
      <c r="AP1244" s="15"/>
      <c r="AQ1244" s="15"/>
      <c r="AR1244" s="15"/>
      <c r="AS1244" s="15"/>
      <c r="AT1244" s="15"/>
      <c r="AU1244" s="15"/>
      <c r="AV1244" s="15"/>
      <c r="AW1244" s="15"/>
      <c r="AX1244" s="15"/>
      <c r="AY1244" s="15"/>
      <c r="AZ1244" s="15"/>
      <c r="BA1244" s="15"/>
      <c r="BB1244" s="15"/>
      <c r="BC1244" s="15"/>
      <c r="BD1244" s="15"/>
      <c r="BE1244" s="15"/>
      <c r="BF1244" s="15"/>
      <c r="BG1244" s="15"/>
      <c r="BH1244" s="15"/>
      <c r="BI1244" s="15"/>
      <c r="BJ1244" s="15"/>
      <c r="BK1244" s="15"/>
      <c r="BL1244" s="15"/>
      <c r="BM1244" s="15"/>
      <c r="BN1244" s="15"/>
      <c r="BO1244" s="15"/>
      <c r="BP1244" s="15"/>
      <c r="BQ1244" s="15"/>
      <c r="BR1244" s="15"/>
      <c r="BS1244" s="15"/>
      <c r="BT1244" s="15"/>
      <c r="BU1244" s="15"/>
      <c r="BV1244" s="15"/>
      <c r="BW1244" s="15"/>
      <c r="BX1244" s="15"/>
      <c r="BY1244" s="15"/>
      <c r="BZ1244" s="15"/>
      <c r="CA1244" s="15"/>
      <c r="CB1244" s="15"/>
    </row>
    <row r="1245" spans="1:80" ht="12.75" hidden="1" customHeight="1">
      <c r="A1245" s="20">
        <f ca="1">IFERROR(__xludf.DUMMYFUNCTION("""COMPUTED_VALUE"""),2016)</f>
        <v>2016</v>
      </c>
      <c r="B1245" s="45">
        <f ca="1">IFERROR(__xludf.DUMMYFUNCTION("""COMPUTED_VALUE"""),43313)</f>
        <v>43313</v>
      </c>
      <c r="C1245" s="46">
        <f ca="1">IFERROR(__xludf.DUMMYFUNCTION("""COMPUTED_VALUE"""),43313)</f>
        <v>43313</v>
      </c>
      <c r="D1245" s="47" t="str">
        <f ca="1">IFERROR(__xludf.DUMMYFUNCTION("""COMPUTED_VALUE"""),"Hawfinch")</f>
        <v>Hawfinch</v>
      </c>
      <c r="E1245" s="52">
        <f ca="1">IFERROR(__xludf.DUMMYFUNCTION("""COMPUTED_VALUE"""),1)</f>
        <v>1</v>
      </c>
      <c r="F1245" s="25"/>
      <c r="G1245" s="48" t="str">
        <f ca="1">IFERROR(__xludf.DUMMYFUNCTION("""COMPUTED_VALUE"""),"Hale Shore")</f>
        <v>Hale Shore</v>
      </c>
      <c r="H1245" s="22">
        <f ca="1">IFERROR(__xludf.DUMMYFUNCTION("""COMPUTED_VALUE"""),42649)</f>
        <v>42649</v>
      </c>
      <c r="I1245" s="23"/>
      <c r="J1245" s="24" t="str">
        <f ca="1">IFERROR(__xludf.DUMMYFUNCTION("""COMPUTED_VALUE"""),"Cockbain, R")</f>
        <v>Cockbain, R</v>
      </c>
      <c r="K1245" s="25" t="str">
        <f ca="1">IFERROR(__xludf.DUMMYFUNCTION("""COMPUTED_VALUE"""),"Cockbain, R Clarke, J")</f>
        <v>Cockbain, R Clarke, J</v>
      </c>
      <c r="L1245" s="27" t="str">
        <f ca="1">IFERROR(__xludf.DUMMYFUNCTION("""COMPUTED_VALUE"""),"closed")</f>
        <v>closed</v>
      </c>
      <c r="M1245" s="27" t="str">
        <f ca="1">IFERROR(__xludf.DUMMYFUNCTION("""COMPUTED_VALUE"""),"1st U")</f>
        <v>1st U</v>
      </c>
      <c r="N1245" s="25" t="str">
        <f ca="1">IFERROR(__xludf.DUMMYFUNCTION("""COMPUTED_VALUE"""),"accepted")</f>
        <v>accepted</v>
      </c>
      <c r="O1245" s="28"/>
      <c r="P1245" s="25"/>
      <c r="Q1245" s="25"/>
      <c r="R1245" s="25"/>
      <c r="S1245" s="25"/>
      <c r="T1245" s="25"/>
      <c r="U1245" s="25"/>
      <c r="V1245" s="25"/>
      <c r="W1245" s="25"/>
      <c r="X1245" s="25"/>
      <c r="Y1245" s="25"/>
      <c r="Z1245" s="25"/>
      <c r="AA1245" s="25"/>
      <c r="AB1245" s="25"/>
      <c r="AC1245" s="25"/>
      <c r="AD1245" s="25"/>
      <c r="AE1245" s="25"/>
      <c r="AF1245" s="25"/>
      <c r="AG1245" s="25"/>
      <c r="AH1245" s="25"/>
      <c r="AI1245" s="25"/>
      <c r="AJ1245" s="25"/>
      <c r="AK1245" s="25"/>
      <c r="AL1245" s="25"/>
      <c r="AM1245" s="25"/>
      <c r="AN1245" s="25"/>
      <c r="AO1245" s="25"/>
      <c r="AP1245" s="25"/>
      <c r="AQ1245" s="25"/>
      <c r="AR1245" s="25"/>
      <c r="AS1245" s="25"/>
      <c r="AT1245" s="25"/>
      <c r="AU1245" s="25"/>
      <c r="AV1245" s="25"/>
      <c r="AW1245" s="25"/>
      <c r="AX1245" s="25"/>
      <c r="AY1245" s="25"/>
      <c r="AZ1245" s="25"/>
      <c r="BA1245" s="25"/>
      <c r="BB1245" s="25"/>
      <c r="BC1245" s="25"/>
      <c r="BD1245" s="25"/>
      <c r="BE1245" s="25"/>
      <c r="BF1245" s="25"/>
      <c r="BG1245" s="25"/>
      <c r="BH1245" s="25"/>
      <c r="BI1245" s="25"/>
      <c r="BJ1245" s="25"/>
      <c r="BK1245" s="25"/>
      <c r="BL1245" s="25"/>
      <c r="BM1245" s="25"/>
      <c r="BN1245" s="25"/>
      <c r="BO1245" s="25"/>
      <c r="BP1245" s="25"/>
      <c r="BQ1245" s="25"/>
      <c r="BR1245" s="25"/>
      <c r="BS1245" s="25"/>
      <c r="BT1245" s="25"/>
      <c r="BU1245" s="25"/>
      <c r="BV1245" s="25"/>
      <c r="BW1245" s="25"/>
      <c r="BX1245" s="25"/>
      <c r="BY1245" s="25"/>
      <c r="BZ1245" s="25"/>
      <c r="CA1245" s="25"/>
      <c r="CB1245" s="25"/>
    </row>
    <row r="1246" spans="1:80" ht="12.75" hidden="1" customHeight="1">
      <c r="A1246" s="10">
        <f ca="1">IFERROR(__xludf.DUMMYFUNCTION("""COMPUTED_VALUE"""),2016)</f>
        <v>2016</v>
      </c>
      <c r="B1246" s="50">
        <f ca="1">IFERROR(__xludf.DUMMYFUNCTION("""COMPUTED_VALUE"""),43313)</f>
        <v>43313</v>
      </c>
      <c r="C1246" s="41">
        <f ca="1">IFERROR(__xludf.DUMMYFUNCTION("""COMPUTED_VALUE"""),43313)</f>
        <v>43313</v>
      </c>
      <c r="D1246" s="42" t="str">
        <f ca="1">IFERROR(__xludf.DUMMYFUNCTION("""COMPUTED_VALUE"""),"Hawfinch")</f>
        <v>Hawfinch</v>
      </c>
      <c r="E1246" s="53">
        <f ca="1">IFERROR(__xludf.DUMMYFUNCTION("""COMPUTED_VALUE"""),1)</f>
        <v>1</v>
      </c>
      <c r="F1246" s="15"/>
      <c r="G1246" s="44" t="str">
        <f ca="1">IFERROR(__xludf.DUMMYFUNCTION("""COMPUTED_VALUE"""),"Hale Shore")</f>
        <v>Hale Shore</v>
      </c>
      <c r="H1246" s="12">
        <f ca="1">IFERROR(__xludf.DUMMYFUNCTION("""COMPUTED_VALUE"""),42651)</f>
        <v>42651</v>
      </c>
      <c r="I1246" s="13"/>
      <c r="J1246" s="14" t="str">
        <f ca="1">IFERROR(__xludf.DUMMYFUNCTION("""COMPUTED_VALUE"""),"Cockbain, R")</f>
        <v>Cockbain, R</v>
      </c>
      <c r="K1246" s="15" t="str">
        <f ca="1">IFERROR(__xludf.DUMMYFUNCTION("""COMPUTED_VALUE"""),"Cockbain, R Clarke, J")</f>
        <v>Cockbain, R Clarke, J</v>
      </c>
      <c r="L1246" s="17" t="str">
        <f ca="1">IFERROR(__xludf.DUMMYFUNCTION("""COMPUTED_VALUE"""),"closed")</f>
        <v>closed</v>
      </c>
      <c r="M1246" s="17" t="str">
        <f ca="1">IFERROR(__xludf.DUMMYFUNCTION("""COMPUTED_VALUE"""),"1st U")</f>
        <v>1st U</v>
      </c>
      <c r="N1246" s="15" t="str">
        <f ca="1">IFERROR(__xludf.DUMMYFUNCTION("""COMPUTED_VALUE"""),"accepted")</f>
        <v>accepted</v>
      </c>
      <c r="O1246" s="18"/>
      <c r="P1246" s="15"/>
      <c r="Q1246" s="15"/>
      <c r="R1246" s="15"/>
      <c r="S1246" s="15"/>
      <c r="T1246" s="15"/>
      <c r="U1246" s="15"/>
      <c r="V1246" s="15"/>
      <c r="W1246" s="15"/>
      <c r="X1246" s="15"/>
      <c r="Y1246" s="15"/>
      <c r="Z1246" s="15"/>
      <c r="AA1246" s="15"/>
      <c r="AB1246" s="15"/>
      <c r="AC1246" s="15"/>
      <c r="AD1246" s="15"/>
      <c r="AE1246" s="15"/>
      <c r="AF1246" s="15"/>
      <c r="AG1246" s="15"/>
      <c r="AH1246" s="15"/>
      <c r="AI1246" s="15"/>
      <c r="AJ1246" s="15"/>
      <c r="AK1246" s="15"/>
      <c r="AL1246" s="15"/>
      <c r="AM1246" s="15"/>
      <c r="AN1246" s="15"/>
      <c r="AO1246" s="15"/>
      <c r="AP1246" s="15"/>
      <c r="AQ1246" s="15"/>
      <c r="AR1246" s="15"/>
      <c r="AS1246" s="15"/>
      <c r="AT1246" s="15"/>
      <c r="AU1246" s="15"/>
      <c r="AV1246" s="15"/>
      <c r="AW1246" s="15"/>
      <c r="AX1246" s="15"/>
      <c r="AY1246" s="15"/>
      <c r="AZ1246" s="15"/>
      <c r="BA1246" s="15"/>
      <c r="BB1246" s="15"/>
      <c r="BC1246" s="15"/>
      <c r="BD1246" s="15"/>
      <c r="BE1246" s="15"/>
      <c r="BF1246" s="15"/>
      <c r="BG1246" s="15"/>
      <c r="BH1246" s="15"/>
      <c r="BI1246" s="15"/>
      <c r="BJ1246" s="15"/>
      <c r="BK1246" s="15"/>
      <c r="BL1246" s="15"/>
      <c r="BM1246" s="15"/>
      <c r="BN1246" s="15"/>
      <c r="BO1246" s="15"/>
      <c r="BP1246" s="15"/>
      <c r="BQ1246" s="15"/>
      <c r="BR1246" s="15"/>
      <c r="BS1246" s="15"/>
      <c r="BT1246" s="15"/>
      <c r="BU1246" s="15"/>
      <c r="BV1246" s="15"/>
      <c r="BW1246" s="15"/>
      <c r="BX1246" s="15"/>
      <c r="BY1246" s="15"/>
      <c r="BZ1246" s="15"/>
      <c r="CA1246" s="15"/>
      <c r="CB1246" s="15"/>
    </row>
    <row r="1247" spans="1:80" ht="12.75" hidden="1" customHeight="1">
      <c r="A1247" s="20">
        <f ca="1">IFERROR(__xludf.DUMMYFUNCTION("""COMPUTED_VALUE"""),2016)</f>
        <v>2016</v>
      </c>
      <c r="B1247" s="45">
        <f ca="1">IFERROR(__xludf.DUMMYFUNCTION("""COMPUTED_VALUE"""),43313)</f>
        <v>43313</v>
      </c>
      <c r="C1247" s="46">
        <f ca="1">IFERROR(__xludf.DUMMYFUNCTION("""COMPUTED_VALUE"""),43313)</f>
        <v>43313</v>
      </c>
      <c r="D1247" s="47" t="str">
        <f ca="1">IFERROR(__xludf.DUMMYFUNCTION("""COMPUTED_VALUE"""),"Hawfinch")</f>
        <v>Hawfinch</v>
      </c>
      <c r="E1247" s="52">
        <f ca="1">IFERROR(__xludf.DUMMYFUNCTION("""COMPUTED_VALUE"""),2)</f>
        <v>2</v>
      </c>
      <c r="F1247" s="25"/>
      <c r="G1247" s="48" t="str">
        <f ca="1">IFERROR(__xludf.DUMMYFUNCTION("""COMPUTED_VALUE"""),"Hale Shore")</f>
        <v>Hale Shore</v>
      </c>
      <c r="H1247" s="22">
        <f ca="1">IFERROR(__xludf.DUMMYFUNCTION("""COMPUTED_VALUE"""),42652)</f>
        <v>42652</v>
      </c>
      <c r="I1247" s="23"/>
      <c r="J1247" s="24" t="str">
        <f ca="1">IFERROR(__xludf.DUMMYFUNCTION("""COMPUTED_VALUE"""),"Cockbain, R")</f>
        <v>Cockbain, R</v>
      </c>
      <c r="K1247" s="25" t="str">
        <f ca="1">IFERROR(__xludf.DUMMYFUNCTION("""COMPUTED_VALUE"""),"Cockbain, R Clarke, J")</f>
        <v>Cockbain, R Clarke, J</v>
      </c>
      <c r="L1247" s="27" t="str">
        <f ca="1">IFERROR(__xludf.DUMMYFUNCTION("""COMPUTED_VALUE"""),"closed")</f>
        <v>closed</v>
      </c>
      <c r="M1247" s="27" t="str">
        <f ca="1">IFERROR(__xludf.DUMMYFUNCTION("""COMPUTED_VALUE"""),"1st U")</f>
        <v>1st U</v>
      </c>
      <c r="N1247" s="25" t="str">
        <f ca="1">IFERROR(__xludf.DUMMYFUNCTION("""COMPUTED_VALUE"""),"accepted")</f>
        <v>accepted</v>
      </c>
      <c r="O1247" s="28"/>
      <c r="P1247" s="25"/>
      <c r="Q1247" s="25"/>
      <c r="R1247" s="25"/>
      <c r="S1247" s="25"/>
      <c r="T1247" s="25"/>
      <c r="U1247" s="25"/>
      <c r="V1247" s="25"/>
      <c r="W1247" s="25"/>
      <c r="X1247" s="25"/>
      <c r="Y1247" s="25"/>
      <c r="Z1247" s="25"/>
      <c r="AA1247" s="25"/>
      <c r="AB1247" s="25"/>
      <c r="AC1247" s="25"/>
      <c r="AD1247" s="25"/>
      <c r="AE1247" s="25"/>
      <c r="AF1247" s="25"/>
      <c r="AG1247" s="25"/>
      <c r="AH1247" s="25"/>
      <c r="AI1247" s="25"/>
      <c r="AJ1247" s="25"/>
      <c r="AK1247" s="25"/>
      <c r="AL1247" s="25"/>
      <c r="AM1247" s="25"/>
      <c r="AN1247" s="25"/>
      <c r="AO1247" s="25"/>
      <c r="AP1247" s="25"/>
      <c r="AQ1247" s="25"/>
      <c r="AR1247" s="25"/>
      <c r="AS1247" s="25"/>
      <c r="AT1247" s="25"/>
      <c r="AU1247" s="25"/>
      <c r="AV1247" s="25"/>
      <c r="AW1247" s="25"/>
      <c r="AX1247" s="25"/>
      <c r="AY1247" s="25"/>
      <c r="AZ1247" s="25"/>
      <c r="BA1247" s="25"/>
      <c r="BB1247" s="25"/>
      <c r="BC1247" s="25"/>
      <c r="BD1247" s="25"/>
      <c r="BE1247" s="25"/>
      <c r="BF1247" s="25"/>
      <c r="BG1247" s="25"/>
      <c r="BH1247" s="25"/>
      <c r="BI1247" s="25"/>
      <c r="BJ1247" s="25"/>
      <c r="BK1247" s="25"/>
      <c r="BL1247" s="25"/>
      <c r="BM1247" s="25"/>
      <c r="BN1247" s="25"/>
      <c r="BO1247" s="25"/>
      <c r="BP1247" s="25"/>
      <c r="BQ1247" s="25"/>
      <c r="BR1247" s="25"/>
      <c r="BS1247" s="25"/>
      <c r="BT1247" s="25"/>
      <c r="BU1247" s="25"/>
      <c r="BV1247" s="25"/>
      <c r="BW1247" s="25"/>
      <c r="BX1247" s="25"/>
      <c r="BY1247" s="25"/>
      <c r="BZ1247" s="25"/>
      <c r="CA1247" s="25"/>
      <c r="CB1247" s="25"/>
    </row>
    <row r="1248" spans="1:80" ht="12.75" hidden="1" customHeight="1">
      <c r="A1248" s="10">
        <f ca="1">IFERROR(__xludf.DUMMYFUNCTION("""COMPUTED_VALUE"""),2016)</f>
        <v>2016</v>
      </c>
      <c r="B1248" s="50">
        <f ca="1">IFERROR(__xludf.DUMMYFUNCTION("""COMPUTED_VALUE"""),43313)</f>
        <v>43313</v>
      </c>
      <c r="C1248" s="41">
        <f ca="1">IFERROR(__xludf.DUMMYFUNCTION("""COMPUTED_VALUE"""),43313)</f>
        <v>43313</v>
      </c>
      <c r="D1248" s="42" t="str">
        <f ca="1">IFERROR(__xludf.DUMMYFUNCTION("""COMPUTED_VALUE"""),"Hawfinch")</f>
        <v>Hawfinch</v>
      </c>
      <c r="E1248" s="53">
        <f ca="1">IFERROR(__xludf.DUMMYFUNCTION("""COMPUTED_VALUE"""),1)</f>
        <v>1</v>
      </c>
      <c r="F1248" s="15"/>
      <c r="G1248" s="44" t="str">
        <f ca="1">IFERROR(__xludf.DUMMYFUNCTION("""COMPUTED_VALUE"""),"Hale Shore")</f>
        <v>Hale Shore</v>
      </c>
      <c r="H1248" s="12">
        <f ca="1">IFERROR(__xludf.DUMMYFUNCTION("""COMPUTED_VALUE"""),42676)</f>
        <v>42676</v>
      </c>
      <c r="I1248" s="13"/>
      <c r="J1248" s="14" t="str">
        <f ca="1">IFERROR(__xludf.DUMMYFUNCTION("""COMPUTED_VALUE"""),"Cockbain, R")</f>
        <v>Cockbain, R</v>
      </c>
      <c r="K1248" s="15" t="str">
        <f ca="1">IFERROR(__xludf.DUMMYFUNCTION("""COMPUTED_VALUE"""),"Cockbain, R Clarke, J")</f>
        <v>Cockbain, R Clarke, J</v>
      </c>
      <c r="L1248" s="17" t="str">
        <f ca="1">IFERROR(__xludf.DUMMYFUNCTION("""COMPUTED_VALUE"""),"closed")</f>
        <v>closed</v>
      </c>
      <c r="M1248" s="17" t="str">
        <f ca="1">IFERROR(__xludf.DUMMYFUNCTION("""COMPUTED_VALUE"""),"1st U")</f>
        <v>1st U</v>
      </c>
      <c r="N1248" s="15" t="str">
        <f ca="1">IFERROR(__xludf.DUMMYFUNCTION("""COMPUTED_VALUE"""),"accepted")</f>
        <v>accepted</v>
      </c>
      <c r="O1248" s="18"/>
      <c r="P1248" s="15"/>
      <c r="Q1248" s="15"/>
      <c r="R1248" s="15"/>
      <c r="S1248" s="15"/>
      <c r="T1248" s="15"/>
      <c r="U1248" s="15"/>
      <c r="V1248" s="15"/>
      <c r="W1248" s="15"/>
      <c r="X1248" s="15"/>
      <c r="Y1248" s="15"/>
      <c r="Z1248" s="15"/>
      <c r="AA1248" s="15"/>
      <c r="AB1248" s="15"/>
      <c r="AC1248" s="15"/>
      <c r="AD1248" s="15"/>
      <c r="AE1248" s="15"/>
      <c r="AF1248" s="15"/>
      <c r="AG1248" s="15"/>
      <c r="AH1248" s="15"/>
      <c r="AI1248" s="15"/>
      <c r="AJ1248" s="15"/>
      <c r="AK1248" s="15"/>
      <c r="AL1248" s="15"/>
      <c r="AM1248" s="15"/>
      <c r="AN1248" s="15"/>
      <c r="AO1248" s="15"/>
      <c r="AP1248" s="15"/>
      <c r="AQ1248" s="15"/>
      <c r="AR1248" s="15"/>
      <c r="AS1248" s="15"/>
      <c r="AT1248" s="15"/>
      <c r="AU1248" s="15"/>
      <c r="AV1248" s="15"/>
      <c r="AW1248" s="15"/>
      <c r="AX1248" s="15"/>
      <c r="AY1248" s="15"/>
      <c r="AZ1248" s="15"/>
      <c r="BA1248" s="15"/>
      <c r="BB1248" s="15"/>
      <c r="BC1248" s="15"/>
      <c r="BD1248" s="15"/>
      <c r="BE1248" s="15"/>
      <c r="BF1248" s="15"/>
      <c r="BG1248" s="15"/>
      <c r="BH1248" s="15"/>
      <c r="BI1248" s="15"/>
      <c r="BJ1248" s="15"/>
      <c r="BK1248" s="15"/>
      <c r="BL1248" s="15"/>
      <c r="BM1248" s="15"/>
      <c r="BN1248" s="15"/>
      <c r="BO1248" s="15"/>
      <c r="BP1248" s="15"/>
      <c r="BQ1248" s="15"/>
      <c r="BR1248" s="15"/>
      <c r="BS1248" s="15"/>
      <c r="BT1248" s="15"/>
      <c r="BU1248" s="15"/>
      <c r="BV1248" s="15"/>
      <c r="BW1248" s="15"/>
      <c r="BX1248" s="15"/>
      <c r="BY1248" s="15"/>
      <c r="BZ1248" s="15"/>
      <c r="CA1248" s="15"/>
      <c r="CB1248" s="15"/>
    </row>
    <row r="1249" spans="1:80" ht="12.75" hidden="1" customHeight="1">
      <c r="A1249" s="20">
        <f ca="1">IFERROR(__xludf.DUMMYFUNCTION("""COMPUTED_VALUE"""),2016)</f>
        <v>2016</v>
      </c>
      <c r="B1249" s="45">
        <f ca="1">IFERROR(__xludf.DUMMYFUNCTION("""COMPUTED_VALUE"""),43322)</f>
        <v>43322</v>
      </c>
      <c r="C1249" s="46">
        <f ca="1">IFERROR(__xludf.DUMMYFUNCTION("""COMPUTED_VALUE"""),43313)</f>
        <v>43313</v>
      </c>
      <c r="D1249" s="47" t="str">
        <f ca="1">IFERROR(__xludf.DUMMYFUNCTION("""COMPUTED_VALUE"""),"Lapland Bunting")</f>
        <v>Lapland Bunting</v>
      </c>
      <c r="E1249" s="52">
        <f ca="1">IFERROR(__xludf.DUMMYFUNCTION("""COMPUTED_VALUE"""),1)</f>
        <v>1</v>
      </c>
      <c r="F1249" s="25"/>
      <c r="G1249" s="48" t="str">
        <f ca="1">IFERROR(__xludf.DUMMYFUNCTION("""COMPUTED_VALUE"""),"Hale Shore")</f>
        <v>Hale Shore</v>
      </c>
      <c r="H1249" s="22">
        <f ca="1">IFERROR(__xludf.DUMMYFUNCTION("""COMPUTED_VALUE"""),42643)</f>
        <v>42643</v>
      </c>
      <c r="I1249" s="23"/>
      <c r="J1249" s="24" t="str">
        <f ca="1">IFERROR(__xludf.DUMMYFUNCTION("""COMPUTED_VALUE"""),"Cockbain, R")</f>
        <v>Cockbain, R</v>
      </c>
      <c r="K1249" s="25" t="str">
        <f ca="1">IFERROR(__xludf.DUMMYFUNCTION("""COMPUTED_VALUE"""),"Cockbain, R")</f>
        <v>Cockbain, R</v>
      </c>
      <c r="L1249" s="27" t="str">
        <f ca="1">IFERROR(__xludf.DUMMYFUNCTION("""COMPUTED_VALUE"""),"closed")</f>
        <v>closed</v>
      </c>
      <c r="M1249" s="27" t="str">
        <f ca="1">IFERROR(__xludf.DUMMYFUNCTION("""COMPUTED_VALUE"""),"1st M")</f>
        <v>1st M</v>
      </c>
      <c r="N1249" s="25" t="str">
        <f ca="1">IFERROR(__xludf.DUMMYFUNCTION("""COMPUTED_VALUE"""),"accepted")</f>
        <v>accepted</v>
      </c>
      <c r="O1249" s="28"/>
      <c r="P1249" s="25"/>
      <c r="Q1249" s="25"/>
      <c r="R1249" s="25"/>
      <c r="S1249" s="25"/>
      <c r="T1249" s="25"/>
      <c r="U1249" s="25"/>
      <c r="V1249" s="25"/>
      <c r="W1249" s="25"/>
      <c r="X1249" s="25"/>
      <c r="Y1249" s="25"/>
      <c r="Z1249" s="25"/>
      <c r="AA1249" s="25"/>
      <c r="AB1249" s="25"/>
      <c r="AC1249" s="25"/>
      <c r="AD1249" s="25"/>
      <c r="AE1249" s="25"/>
      <c r="AF1249" s="25"/>
      <c r="AG1249" s="25"/>
      <c r="AH1249" s="25"/>
      <c r="AI1249" s="25"/>
      <c r="AJ1249" s="25"/>
      <c r="AK1249" s="25"/>
      <c r="AL1249" s="25"/>
      <c r="AM1249" s="25"/>
      <c r="AN1249" s="25"/>
      <c r="AO1249" s="25"/>
      <c r="AP1249" s="25"/>
      <c r="AQ1249" s="25"/>
      <c r="AR1249" s="25"/>
      <c r="AS1249" s="25"/>
      <c r="AT1249" s="25"/>
      <c r="AU1249" s="25"/>
      <c r="AV1249" s="25"/>
      <c r="AW1249" s="25"/>
      <c r="AX1249" s="25"/>
      <c r="AY1249" s="25"/>
      <c r="AZ1249" s="25"/>
      <c r="BA1249" s="25"/>
      <c r="BB1249" s="25"/>
      <c r="BC1249" s="25"/>
      <c r="BD1249" s="25"/>
      <c r="BE1249" s="25"/>
      <c r="BF1249" s="25"/>
      <c r="BG1249" s="25"/>
      <c r="BH1249" s="25"/>
      <c r="BI1249" s="25"/>
      <c r="BJ1249" s="25"/>
      <c r="BK1249" s="25"/>
      <c r="BL1249" s="25"/>
      <c r="BM1249" s="25"/>
      <c r="BN1249" s="25"/>
      <c r="BO1249" s="25"/>
      <c r="BP1249" s="25"/>
      <c r="BQ1249" s="25"/>
      <c r="BR1249" s="25"/>
      <c r="BS1249" s="25"/>
      <c r="BT1249" s="25"/>
      <c r="BU1249" s="25"/>
      <c r="BV1249" s="25"/>
      <c r="BW1249" s="25"/>
      <c r="BX1249" s="25"/>
      <c r="BY1249" s="25"/>
      <c r="BZ1249" s="25"/>
      <c r="CA1249" s="25"/>
      <c r="CB1249" s="25"/>
    </row>
    <row r="1250" spans="1:80" ht="12.75" hidden="1" customHeight="1">
      <c r="A1250" s="10">
        <f ca="1">IFERROR(__xludf.DUMMYFUNCTION("""COMPUTED_VALUE"""),2016)</f>
        <v>2016</v>
      </c>
      <c r="B1250" s="50">
        <f ca="1">IFERROR(__xludf.DUMMYFUNCTION("""COMPUTED_VALUE"""),43313)</f>
        <v>43313</v>
      </c>
      <c r="C1250" s="41">
        <f ca="1">IFERROR(__xludf.DUMMYFUNCTION("""COMPUTED_VALUE"""),43313)</f>
        <v>43313</v>
      </c>
      <c r="D1250" s="42" t="str">
        <f ca="1">IFERROR(__xludf.DUMMYFUNCTION("""COMPUTED_VALUE"""),"Lapland Bunting")</f>
        <v>Lapland Bunting</v>
      </c>
      <c r="E1250" s="53">
        <f ca="1">IFERROR(__xludf.DUMMYFUNCTION("""COMPUTED_VALUE"""),1)</f>
        <v>1</v>
      </c>
      <c r="F1250" s="15"/>
      <c r="G1250" s="44" t="str">
        <f ca="1">IFERROR(__xludf.DUMMYFUNCTION("""COMPUTED_VALUE"""),"Red Rocks, Hoylake")</f>
        <v>Red Rocks, Hoylake</v>
      </c>
      <c r="H1250" s="12">
        <f ca="1">IFERROR(__xludf.DUMMYFUNCTION("""COMPUTED_VALUE"""),42659)</f>
        <v>42659</v>
      </c>
      <c r="I1250" s="12">
        <f ca="1">IFERROR(__xludf.DUMMYFUNCTION("""COMPUTED_VALUE"""),42659)</f>
        <v>42659</v>
      </c>
      <c r="J1250" s="14" t="str">
        <f ca="1">IFERROR(__xludf.DUMMYFUNCTION("""COMPUTED_VALUE"""),"Turner, JE")</f>
        <v>Turner, JE</v>
      </c>
      <c r="K1250" s="15" t="str">
        <f ca="1">IFERROR(__xludf.DUMMYFUNCTION("""COMPUTED_VALUE"""),"Turner, JE")</f>
        <v>Turner, JE</v>
      </c>
      <c r="L1250" s="17" t="str">
        <f ca="1">IFERROR(__xludf.DUMMYFUNCTION("""COMPUTED_VALUE"""),"closed")</f>
        <v>closed</v>
      </c>
      <c r="M1250" s="17" t="str">
        <f ca="1">IFERROR(__xludf.DUMMYFUNCTION("""COMPUTED_VALUE"""),"1st U")</f>
        <v>1st U</v>
      </c>
      <c r="N1250" s="15" t="str">
        <f ca="1">IFERROR(__xludf.DUMMYFUNCTION("""COMPUTED_VALUE"""),"accepted")</f>
        <v>accepted</v>
      </c>
      <c r="O1250" s="18" t="str">
        <f ca="1">IFERROR(__xludf.DUMMYFUNCTION("""COMPUTED_VALUE"""),"later in saltmarsh between pinfold steps and new Natterjack scrape - per Mark and Helen Cavannagh")</f>
        <v>later in saltmarsh between pinfold steps and new Natterjack scrape - per Mark and Helen Cavannagh</v>
      </c>
      <c r="P1250" s="15"/>
      <c r="Q1250" s="15"/>
      <c r="R1250" s="15"/>
      <c r="S1250" s="15"/>
      <c r="T1250" s="15"/>
      <c r="U1250" s="15"/>
      <c r="V1250" s="15"/>
      <c r="W1250" s="15"/>
      <c r="X1250" s="15"/>
      <c r="Y1250" s="15"/>
      <c r="Z1250" s="15"/>
      <c r="AA1250" s="15"/>
      <c r="AB1250" s="15"/>
      <c r="AC1250" s="15"/>
      <c r="AD1250" s="15"/>
      <c r="AE1250" s="15"/>
      <c r="AF1250" s="15"/>
      <c r="AG1250" s="15"/>
      <c r="AH1250" s="15"/>
      <c r="AI1250" s="15"/>
      <c r="AJ1250" s="15"/>
      <c r="AK1250" s="15"/>
      <c r="AL1250" s="15"/>
      <c r="AM1250" s="15"/>
      <c r="AN1250" s="15"/>
      <c r="AO1250" s="15"/>
      <c r="AP1250" s="15"/>
      <c r="AQ1250" s="15"/>
      <c r="AR1250" s="15"/>
      <c r="AS1250" s="15"/>
      <c r="AT1250" s="15"/>
      <c r="AU1250" s="15"/>
      <c r="AV1250" s="15"/>
      <c r="AW1250" s="15"/>
      <c r="AX1250" s="15"/>
      <c r="AY1250" s="15"/>
      <c r="AZ1250" s="15"/>
      <c r="BA1250" s="15"/>
      <c r="BB1250" s="15"/>
      <c r="BC1250" s="15"/>
      <c r="BD1250" s="15"/>
      <c r="BE1250" s="15"/>
      <c r="BF1250" s="15"/>
      <c r="BG1250" s="15"/>
      <c r="BH1250" s="15"/>
      <c r="BI1250" s="15"/>
      <c r="BJ1250" s="15"/>
      <c r="BK1250" s="15"/>
      <c r="BL1250" s="15"/>
      <c r="BM1250" s="15"/>
      <c r="BN1250" s="15"/>
      <c r="BO1250" s="15"/>
      <c r="BP1250" s="15"/>
      <c r="BQ1250" s="15"/>
      <c r="BR1250" s="15"/>
      <c r="BS1250" s="15"/>
      <c r="BT1250" s="15"/>
      <c r="BU1250" s="15"/>
      <c r="BV1250" s="15"/>
      <c r="BW1250" s="15"/>
      <c r="BX1250" s="15"/>
      <c r="BY1250" s="15"/>
      <c r="BZ1250" s="15"/>
      <c r="CA1250" s="15"/>
      <c r="CB1250" s="15"/>
    </row>
    <row r="1251" spans="1:80" ht="12.75" hidden="1" customHeight="1">
      <c r="A1251" s="20">
        <f ca="1">IFERROR(__xludf.DUMMYFUNCTION("""COMPUTED_VALUE"""),2016)</f>
        <v>2016</v>
      </c>
      <c r="B1251" s="45">
        <f ca="1">IFERROR(__xludf.DUMMYFUNCTION("""COMPUTED_VALUE"""),43313)</f>
        <v>43313</v>
      </c>
      <c r="C1251" s="46">
        <f ca="1">IFERROR(__xludf.DUMMYFUNCTION("""COMPUTED_VALUE"""),43313)</f>
        <v>43313</v>
      </c>
      <c r="D1251" s="47" t="str">
        <f ca="1">IFERROR(__xludf.DUMMYFUNCTION("""COMPUTED_VALUE"""),"Lapland Bunting")</f>
        <v>Lapland Bunting</v>
      </c>
      <c r="E1251" s="52">
        <f ca="1">IFERROR(__xludf.DUMMYFUNCTION("""COMPUTED_VALUE"""),1)</f>
        <v>1</v>
      </c>
      <c r="F1251" s="25"/>
      <c r="G1251" s="48" t="str">
        <f ca="1">IFERROR(__xludf.DUMMYFUNCTION("""COMPUTED_VALUE"""),"Red Rocks, Hoylake")</f>
        <v>Red Rocks, Hoylake</v>
      </c>
      <c r="H1251" s="22">
        <f ca="1">IFERROR(__xludf.DUMMYFUNCTION("""COMPUTED_VALUE"""),42665)</f>
        <v>42665</v>
      </c>
      <c r="I1251" s="22">
        <f ca="1">IFERROR(__xludf.DUMMYFUNCTION("""COMPUTED_VALUE"""),42665)</f>
        <v>42665</v>
      </c>
      <c r="J1251" s="24" t="str">
        <f ca="1">IFERROR(__xludf.DUMMYFUNCTION("""COMPUTED_VALUE"""),"Turner, JE")</f>
        <v>Turner, JE</v>
      </c>
      <c r="K1251" s="25" t="str">
        <f ca="1">IFERROR(__xludf.DUMMYFUNCTION("""COMPUTED_VALUE"""),"Turner, JE")</f>
        <v>Turner, JE</v>
      </c>
      <c r="L1251" s="27" t="str">
        <f ca="1">IFERROR(__xludf.DUMMYFUNCTION("""COMPUTED_VALUE"""),"closed")</f>
        <v>closed</v>
      </c>
      <c r="M1251" s="27" t="str">
        <f ca="1">IFERROR(__xludf.DUMMYFUNCTION("""COMPUTED_VALUE"""),"1st U")</f>
        <v>1st U</v>
      </c>
      <c r="N1251" s="25" t="str">
        <f ca="1">IFERROR(__xludf.DUMMYFUNCTION("""COMPUTED_VALUE"""),"accepted")</f>
        <v>accepted</v>
      </c>
      <c r="O1251" s="28"/>
      <c r="P1251" s="25"/>
      <c r="Q1251" s="25"/>
      <c r="R1251" s="25"/>
      <c r="S1251" s="25"/>
      <c r="T1251" s="25"/>
      <c r="U1251" s="25"/>
      <c r="V1251" s="25"/>
      <c r="W1251" s="25"/>
      <c r="X1251" s="25"/>
      <c r="Y1251" s="25"/>
      <c r="Z1251" s="25"/>
      <c r="AA1251" s="25"/>
      <c r="AB1251" s="25"/>
      <c r="AC1251" s="25"/>
      <c r="AD1251" s="25"/>
      <c r="AE1251" s="25"/>
      <c r="AF1251" s="25"/>
      <c r="AG1251" s="25"/>
      <c r="AH1251" s="25"/>
      <c r="AI1251" s="25"/>
      <c r="AJ1251" s="25"/>
      <c r="AK1251" s="25"/>
      <c r="AL1251" s="25"/>
      <c r="AM1251" s="25"/>
      <c r="AN1251" s="25"/>
      <c r="AO1251" s="25"/>
      <c r="AP1251" s="25"/>
      <c r="AQ1251" s="25"/>
      <c r="AR1251" s="25"/>
      <c r="AS1251" s="25"/>
      <c r="AT1251" s="25"/>
      <c r="AU1251" s="25"/>
      <c r="AV1251" s="25"/>
      <c r="AW1251" s="25"/>
      <c r="AX1251" s="25"/>
      <c r="AY1251" s="25"/>
      <c r="AZ1251" s="25"/>
      <c r="BA1251" s="25"/>
      <c r="BB1251" s="25"/>
      <c r="BC1251" s="25"/>
      <c r="BD1251" s="25"/>
      <c r="BE1251" s="25"/>
      <c r="BF1251" s="25"/>
      <c r="BG1251" s="25"/>
      <c r="BH1251" s="25"/>
      <c r="BI1251" s="25"/>
      <c r="BJ1251" s="25"/>
      <c r="BK1251" s="25"/>
      <c r="BL1251" s="25"/>
      <c r="BM1251" s="25"/>
      <c r="BN1251" s="25"/>
      <c r="BO1251" s="25"/>
      <c r="BP1251" s="25"/>
      <c r="BQ1251" s="25"/>
      <c r="BR1251" s="25"/>
      <c r="BS1251" s="25"/>
      <c r="BT1251" s="25"/>
      <c r="BU1251" s="25"/>
      <c r="BV1251" s="25"/>
      <c r="BW1251" s="25"/>
      <c r="BX1251" s="25"/>
      <c r="BY1251" s="25"/>
      <c r="BZ1251" s="25"/>
      <c r="CA1251" s="25"/>
      <c r="CB1251" s="25"/>
    </row>
    <row r="1252" spans="1:80" ht="12.75" hidden="1" customHeight="1">
      <c r="A1252" s="10">
        <f ca="1">IFERROR(__xludf.DUMMYFUNCTION("""COMPUTED_VALUE"""),2016)</f>
        <v>2016</v>
      </c>
      <c r="B1252" s="50">
        <f ca="1">IFERROR(__xludf.DUMMYFUNCTION("""COMPUTED_VALUE"""),43313)</f>
        <v>43313</v>
      </c>
      <c r="C1252" s="41">
        <f ca="1">IFERROR(__xludf.DUMMYFUNCTION("""COMPUTED_VALUE"""),43313)</f>
        <v>43313</v>
      </c>
      <c r="D1252" s="42" t="str">
        <f ca="1">IFERROR(__xludf.DUMMYFUNCTION("""COMPUTED_VALUE"""),"Lapland Bunting")</f>
        <v>Lapland Bunting</v>
      </c>
      <c r="E1252" s="53">
        <f ca="1">IFERROR(__xludf.DUMMYFUNCTION("""COMPUTED_VALUE"""),2)</f>
        <v>2</v>
      </c>
      <c r="F1252" s="15"/>
      <c r="G1252" s="44" t="str">
        <f ca="1">IFERROR(__xludf.DUMMYFUNCTION("""COMPUTED_VALUE"""),"Red Rocks, Hoylake")</f>
        <v>Red Rocks, Hoylake</v>
      </c>
      <c r="H1252" s="12">
        <f ca="1">IFERROR(__xludf.DUMMYFUNCTION("""COMPUTED_VALUE"""),42675)</f>
        <v>42675</v>
      </c>
      <c r="I1252" s="12">
        <f ca="1">IFERROR(__xludf.DUMMYFUNCTION("""COMPUTED_VALUE"""),42675)</f>
        <v>42675</v>
      </c>
      <c r="J1252" s="14" t="str">
        <f ca="1">IFERROR(__xludf.DUMMYFUNCTION("""COMPUTED_VALUE"""),"Turner, MG &amp; JE")</f>
        <v>Turner, MG &amp; JE</v>
      </c>
      <c r="K1252" s="15" t="str">
        <f ca="1">IFERROR(__xludf.DUMMYFUNCTION("""COMPUTED_VALUE"""),"Turner, MG &amp; JE")</f>
        <v>Turner, MG &amp; JE</v>
      </c>
      <c r="L1252" s="17" t="str">
        <f ca="1">IFERROR(__xludf.DUMMYFUNCTION("""COMPUTED_VALUE"""),"closed")</f>
        <v>closed</v>
      </c>
      <c r="M1252" s="17" t="str">
        <f ca="1">IFERROR(__xludf.DUMMYFUNCTION("""COMPUTED_VALUE"""),"1st U")</f>
        <v>1st U</v>
      </c>
      <c r="N1252" s="15" t="str">
        <f ca="1">IFERROR(__xludf.DUMMYFUNCTION("""COMPUTED_VALUE"""),"accepted")</f>
        <v>accepted</v>
      </c>
      <c r="O1252" s="18"/>
      <c r="P1252" s="15"/>
      <c r="Q1252" s="15"/>
      <c r="R1252" s="15"/>
      <c r="S1252" s="15"/>
      <c r="T1252" s="15"/>
      <c r="U1252" s="15"/>
      <c r="V1252" s="15"/>
      <c r="W1252" s="15"/>
      <c r="X1252" s="15"/>
      <c r="Y1252" s="15"/>
      <c r="Z1252" s="15"/>
      <c r="AA1252" s="15"/>
      <c r="AB1252" s="15"/>
      <c r="AC1252" s="15"/>
      <c r="AD1252" s="15"/>
      <c r="AE1252" s="15"/>
      <c r="AF1252" s="15"/>
      <c r="AG1252" s="15"/>
      <c r="AH1252" s="15"/>
      <c r="AI1252" s="15"/>
      <c r="AJ1252" s="15"/>
      <c r="AK1252" s="15"/>
      <c r="AL1252" s="15"/>
      <c r="AM1252" s="15"/>
      <c r="AN1252" s="15"/>
      <c r="AO1252" s="15"/>
      <c r="AP1252" s="15"/>
      <c r="AQ1252" s="15"/>
      <c r="AR1252" s="15"/>
      <c r="AS1252" s="15"/>
      <c r="AT1252" s="15"/>
      <c r="AU1252" s="15"/>
      <c r="AV1252" s="15"/>
      <c r="AW1252" s="15"/>
      <c r="AX1252" s="15"/>
      <c r="AY1252" s="15"/>
      <c r="AZ1252" s="15"/>
      <c r="BA1252" s="15"/>
      <c r="BB1252" s="15"/>
      <c r="BC1252" s="15"/>
      <c r="BD1252" s="15"/>
      <c r="BE1252" s="15"/>
      <c r="BF1252" s="15"/>
      <c r="BG1252" s="15"/>
      <c r="BH1252" s="15"/>
      <c r="BI1252" s="15"/>
      <c r="BJ1252" s="15"/>
      <c r="BK1252" s="15"/>
      <c r="BL1252" s="15"/>
      <c r="BM1252" s="15"/>
      <c r="BN1252" s="15"/>
      <c r="BO1252" s="15"/>
      <c r="BP1252" s="15"/>
      <c r="BQ1252" s="15"/>
      <c r="BR1252" s="15"/>
      <c r="BS1252" s="15"/>
      <c r="BT1252" s="15"/>
      <c r="BU1252" s="15"/>
      <c r="BV1252" s="15"/>
      <c r="BW1252" s="15"/>
      <c r="BX1252" s="15"/>
      <c r="BY1252" s="15"/>
      <c r="BZ1252" s="15"/>
      <c r="CA1252" s="15"/>
      <c r="CB1252" s="15"/>
    </row>
    <row r="1253" spans="1:80" ht="12.75" hidden="1" customHeight="1">
      <c r="A1253" s="20">
        <f ca="1">IFERROR(__xludf.DUMMYFUNCTION("""COMPUTED_VALUE"""),2016)</f>
        <v>2016</v>
      </c>
      <c r="B1253" s="45">
        <f ca="1">IFERROR(__xludf.DUMMYFUNCTION("""COMPUTED_VALUE"""),43322)</f>
        <v>43322</v>
      </c>
      <c r="C1253" s="46">
        <f ca="1">IFERROR(__xludf.DUMMYFUNCTION("""COMPUTED_VALUE"""),43011)</f>
        <v>43011</v>
      </c>
      <c r="D1253" s="47" t="str">
        <f ca="1">IFERROR(__xludf.DUMMYFUNCTION("""COMPUTED_VALUE"""),"Ortolan Bunting")</f>
        <v>Ortolan Bunting</v>
      </c>
      <c r="E1253" s="52">
        <f ca="1">IFERROR(__xludf.DUMMYFUNCTION("""COMPUTED_VALUE"""),1)</f>
        <v>1</v>
      </c>
      <c r="F1253" s="25" t="str">
        <f ca="1">IFERROR(__xludf.DUMMYFUNCTION("""COMPUTED_VALUE"""),"juv")</f>
        <v>juv</v>
      </c>
      <c r="G1253" s="48" t="str">
        <f ca="1">IFERROR(__xludf.DUMMYFUNCTION("""COMPUTED_VALUE"""),"Hale Shore")</f>
        <v>Hale Shore</v>
      </c>
      <c r="H1253" s="22">
        <f ca="1">IFERROR(__xludf.DUMMYFUNCTION("""COMPUTED_VALUE"""),42643)</f>
        <v>42643</v>
      </c>
      <c r="I1253" s="23"/>
      <c r="J1253" s="24"/>
      <c r="K1253" s="25"/>
      <c r="L1253" s="27" t="str">
        <f ca="1">IFERROR(__xludf.DUMMYFUNCTION("""COMPUTED_VALUE"""),"closed")</f>
        <v>closed</v>
      </c>
      <c r="M1253" s="27" t="str">
        <f ca="1">IFERROR(__xludf.DUMMYFUNCTION("""COMPUTED_VALUE"""),"3rd U")</f>
        <v>3rd U</v>
      </c>
      <c r="N1253" s="25" t="str">
        <f ca="1">IFERROR(__xludf.DUMMYFUNCTION("""COMPUTED_VALUE"""),"unproven")</f>
        <v>unproven</v>
      </c>
      <c r="O1253" s="28" t="str">
        <f ca="1">IFERROR(__xludf.DUMMYFUNCTION("""COMPUTED_VALUE"""),"Could well have been one but the description doesn't to rule out any of the rarer buntings such as Cretzschmars or Grey-necked. Also concern expressed about the white tipped outer tail feathers as white goes up shaft on t 5 &amp; 6 and not just restricted to "&amp;"tip. Dark malar stripe and brown back does not fit  with a juv Ortolan - it actually fits Cretz better.  Its a county 1st so needs to be unimpeachable.")</f>
        <v>Could well have been one but the description doesn't to rule out any of the rarer buntings such as Cretzschmars or Grey-necked. Also concern expressed about the white tipped outer tail feathers as white goes up shaft on t 5 &amp; 6 and not just restricted to tip. Dark malar stripe and brown back does not fit  with a juv Ortolan - it actually fits Cretz better.  Its a county 1st so needs to be unimpeachable.</v>
      </c>
      <c r="P1253" s="25"/>
      <c r="Q1253" s="25"/>
      <c r="R1253" s="25"/>
      <c r="S1253" s="25"/>
      <c r="T1253" s="25"/>
      <c r="U1253" s="25"/>
      <c r="V1253" s="25"/>
      <c r="W1253" s="25"/>
      <c r="X1253" s="25"/>
      <c r="Y1253" s="25"/>
      <c r="Z1253" s="25"/>
      <c r="AA1253" s="25"/>
      <c r="AB1253" s="25"/>
      <c r="AC1253" s="25"/>
      <c r="AD1253" s="25"/>
      <c r="AE1253" s="25"/>
      <c r="AF1253" s="25"/>
      <c r="AG1253" s="25"/>
      <c r="AH1253" s="25"/>
      <c r="AI1253" s="25"/>
      <c r="AJ1253" s="25"/>
      <c r="AK1253" s="25"/>
      <c r="AL1253" s="25"/>
      <c r="AM1253" s="25"/>
      <c r="AN1253" s="25"/>
      <c r="AO1253" s="25"/>
      <c r="AP1253" s="25"/>
      <c r="AQ1253" s="25"/>
      <c r="AR1253" s="25"/>
      <c r="AS1253" s="25"/>
      <c r="AT1253" s="25"/>
      <c r="AU1253" s="25"/>
      <c r="AV1253" s="25"/>
      <c r="AW1253" s="25"/>
      <c r="AX1253" s="25"/>
      <c r="AY1253" s="25"/>
      <c r="AZ1253" s="25"/>
      <c r="BA1253" s="25"/>
      <c r="BB1253" s="25"/>
      <c r="BC1253" s="25"/>
      <c r="BD1253" s="25"/>
      <c r="BE1253" s="25"/>
      <c r="BF1253" s="25"/>
      <c r="BG1253" s="25"/>
      <c r="BH1253" s="25"/>
      <c r="BI1253" s="25"/>
      <c r="BJ1253" s="25"/>
      <c r="BK1253" s="25"/>
      <c r="BL1253" s="25"/>
      <c r="BM1253" s="25"/>
      <c r="BN1253" s="25"/>
      <c r="BO1253" s="25"/>
      <c r="BP1253" s="25"/>
      <c r="BQ1253" s="25"/>
      <c r="BR1253" s="25"/>
      <c r="BS1253" s="25"/>
      <c r="BT1253" s="25"/>
      <c r="BU1253" s="25"/>
      <c r="BV1253" s="25"/>
      <c r="BW1253" s="25"/>
      <c r="BX1253" s="25"/>
      <c r="BY1253" s="25"/>
      <c r="BZ1253" s="25"/>
      <c r="CA1253" s="25"/>
      <c r="CB1253" s="25"/>
    </row>
    <row r="1254" spans="1:80" ht="12.75" hidden="1" customHeight="1">
      <c r="A1254" s="10">
        <f ca="1">IFERROR(__xludf.DUMMYFUNCTION("""COMPUTED_VALUE"""),2017)</f>
        <v>2017</v>
      </c>
      <c r="B1254" s="50">
        <f ca="1">IFERROR(__xludf.DUMMYFUNCTION("""COMPUTED_VALUE"""),43645)</f>
        <v>43645</v>
      </c>
      <c r="C1254" s="41"/>
      <c r="D1254" s="42" t="str">
        <f ca="1">IFERROR(__xludf.DUMMYFUNCTION("""COMPUTED_VALUE"""),"Bean Goose spp")</f>
        <v>Bean Goose spp</v>
      </c>
      <c r="E1254" s="53">
        <f ca="1">IFERROR(__xludf.DUMMYFUNCTION("""COMPUTED_VALUE"""),1)</f>
        <v>1</v>
      </c>
      <c r="F1254" s="15"/>
      <c r="G1254" s="62" t="str">
        <f ca="1">IFERROR(__xludf.DUMMYFUNCTION("""COMPUTED_VALUE"""),"Hale Shore")</f>
        <v>Hale Shore</v>
      </c>
      <c r="H1254" s="12">
        <f ca="1">IFERROR(__xludf.DUMMYFUNCTION("""COMPUTED_VALUE"""),43045)</f>
        <v>43045</v>
      </c>
      <c r="I1254" s="13"/>
      <c r="J1254" s="75" t="str">
        <f ca="1">IFERROR(__xludf.DUMMYFUNCTION("""COMPUTED_VALUE"""),"Cockbain, R")</f>
        <v>Cockbain, R</v>
      </c>
      <c r="K1254" s="58" t="str">
        <f ca="1">IFERROR(__xludf.DUMMYFUNCTION("""COMPUTED_VALUE"""),"same and Clarke, J")</f>
        <v>same and Clarke, J</v>
      </c>
      <c r="L1254" s="17" t="str">
        <f ca="1">IFERROR(__xludf.DUMMYFUNCTION("""COMPUTED_VALUE"""),"closed")</f>
        <v>closed</v>
      </c>
      <c r="M1254" s="17" t="str">
        <f ca="1">IFERROR(__xludf.DUMMYFUNCTION("""COMPUTED_VALUE"""),"1st U")</f>
        <v>1st U</v>
      </c>
      <c r="N1254" s="58" t="str">
        <f ca="1">IFERROR(__xludf.DUMMYFUNCTION("""COMPUTED_VALUE"""),"accepted")</f>
        <v>accepted</v>
      </c>
      <c r="O1254" s="76" t="str">
        <f ca="1">IFERROR(__xludf.DUMMYFUNCTION("""COMPUTED_VALUE"""),"submitted as Taiga but accepted as spp")</f>
        <v>submitted as Taiga but accepted as spp</v>
      </c>
      <c r="P1254" s="15"/>
      <c r="Q1254" s="15"/>
      <c r="R1254" s="15"/>
      <c r="S1254" s="15"/>
      <c r="T1254" s="15"/>
      <c r="U1254" s="15"/>
      <c r="V1254" s="15"/>
      <c r="W1254" s="15"/>
      <c r="X1254" s="15"/>
      <c r="Y1254" s="15"/>
      <c r="Z1254" s="15"/>
      <c r="AA1254" s="15"/>
      <c r="AB1254" s="15"/>
      <c r="AC1254" s="15"/>
      <c r="AD1254" s="15"/>
      <c r="AE1254" s="15"/>
      <c r="AF1254" s="15"/>
      <c r="AG1254" s="15"/>
      <c r="AH1254" s="15"/>
      <c r="AI1254" s="15"/>
      <c r="AJ1254" s="15"/>
      <c r="AK1254" s="15"/>
      <c r="AL1254" s="15"/>
      <c r="AM1254" s="15"/>
      <c r="AN1254" s="15"/>
      <c r="AO1254" s="15"/>
      <c r="AP1254" s="15"/>
      <c r="AQ1254" s="15"/>
      <c r="AR1254" s="15"/>
      <c r="AS1254" s="15"/>
      <c r="AT1254" s="15"/>
      <c r="AU1254" s="15"/>
      <c r="AV1254" s="15"/>
      <c r="AW1254" s="15"/>
      <c r="AX1254" s="15"/>
      <c r="AY1254" s="15"/>
      <c r="AZ1254" s="15"/>
      <c r="BA1254" s="15"/>
      <c r="BB1254" s="15"/>
      <c r="BC1254" s="15"/>
      <c r="BD1254" s="15"/>
      <c r="BE1254" s="15"/>
      <c r="BF1254" s="15"/>
      <c r="BG1254" s="15"/>
      <c r="BH1254" s="15"/>
      <c r="BI1254" s="15"/>
      <c r="BJ1254" s="15"/>
      <c r="BK1254" s="15"/>
      <c r="BL1254" s="15"/>
      <c r="BM1254" s="15"/>
      <c r="BN1254" s="15"/>
      <c r="BO1254" s="15"/>
      <c r="BP1254" s="15"/>
      <c r="BQ1254" s="15"/>
      <c r="BR1254" s="15"/>
      <c r="BS1254" s="15"/>
      <c r="BT1254" s="15"/>
      <c r="BU1254" s="15"/>
      <c r="BV1254" s="15"/>
      <c r="BW1254" s="15"/>
      <c r="BX1254" s="15"/>
      <c r="BY1254" s="15"/>
      <c r="BZ1254" s="15"/>
      <c r="CA1254" s="15"/>
      <c r="CB1254" s="15"/>
    </row>
    <row r="1255" spans="1:80" ht="12.75" hidden="1" customHeight="1">
      <c r="A1255" s="20">
        <f ca="1">IFERROR(__xludf.DUMMYFUNCTION("""COMPUTED_VALUE"""),2017)</f>
        <v>2017</v>
      </c>
      <c r="B1255" s="45">
        <f ca="1">IFERROR(__xludf.DUMMYFUNCTION("""COMPUTED_VALUE"""),43538)</f>
        <v>43538</v>
      </c>
      <c r="C1255" s="46"/>
      <c r="D1255" s="47" t="str">
        <f ca="1">IFERROR(__xludf.DUMMYFUNCTION("""COMPUTED_VALUE"""),"Green-winged Teal")</f>
        <v>Green-winged Teal</v>
      </c>
      <c r="E1255" s="52">
        <f ca="1">IFERROR(__xludf.DUMMYFUNCTION("""COMPUTED_VALUE"""),1)</f>
        <v>1</v>
      </c>
      <c r="F1255" s="25" t="str">
        <f ca="1">IFERROR(__xludf.DUMMYFUNCTION("""COMPUTED_VALUE"""),"m")</f>
        <v>m</v>
      </c>
      <c r="G1255" s="48" t="str">
        <f ca="1">IFERROR(__xludf.DUMMYFUNCTION("""COMPUTED_VALUE"""),"No. 6 Tank, Frodsham Marsh")</f>
        <v>No. 6 Tank, Frodsham Marsh</v>
      </c>
      <c r="H1255" s="22">
        <f ca="1">IFERROR(__xludf.DUMMYFUNCTION("""COMPUTED_VALUE"""),43036)</f>
        <v>43036</v>
      </c>
      <c r="I1255" s="22">
        <f ca="1">IFERROR(__xludf.DUMMYFUNCTION("""COMPUTED_VALUE"""),43052)</f>
        <v>43052</v>
      </c>
      <c r="J1255" s="24" t="str">
        <f ca="1">IFERROR(__xludf.DUMMYFUNCTION("""COMPUTED_VALUE"""),"online photo no formal submission")</f>
        <v>online photo no formal submission</v>
      </c>
      <c r="K1255" s="25"/>
      <c r="L1255" s="27" t="str">
        <f ca="1">IFERROR(__xludf.DUMMYFUNCTION("""COMPUTED_VALUE"""),"closed")</f>
        <v>closed</v>
      </c>
      <c r="M1255" s="27"/>
      <c r="N1255" s="25" t="str">
        <f ca="1">IFERROR(__xludf.DUMMYFUNCTION("""COMPUTED_VALUE"""),"accepted")</f>
        <v>accepted</v>
      </c>
      <c r="O1255" s="28"/>
      <c r="P1255" s="25"/>
      <c r="Q1255" s="25"/>
      <c r="R1255" s="25"/>
      <c r="S1255" s="25"/>
      <c r="T1255" s="25"/>
      <c r="U1255" s="25"/>
      <c r="V1255" s="25"/>
      <c r="W1255" s="25"/>
      <c r="X1255" s="25"/>
      <c r="Y1255" s="25"/>
      <c r="Z1255" s="25"/>
      <c r="AA1255" s="25"/>
      <c r="AB1255" s="25"/>
      <c r="AC1255" s="25"/>
      <c r="AD1255" s="25"/>
      <c r="AE1255" s="25"/>
      <c r="AF1255" s="25"/>
      <c r="AG1255" s="25"/>
      <c r="AH1255" s="25"/>
      <c r="AI1255" s="25"/>
      <c r="AJ1255" s="25"/>
      <c r="AK1255" s="25"/>
      <c r="AL1255" s="25"/>
      <c r="AM1255" s="25"/>
      <c r="AN1255" s="25"/>
      <c r="AO1255" s="25"/>
      <c r="AP1255" s="25"/>
      <c r="AQ1255" s="25"/>
      <c r="AR1255" s="25"/>
      <c r="AS1255" s="25"/>
      <c r="AT1255" s="25"/>
      <c r="AU1255" s="25"/>
      <c r="AV1255" s="25"/>
      <c r="AW1255" s="25"/>
      <c r="AX1255" s="25"/>
      <c r="AY1255" s="25"/>
      <c r="AZ1255" s="25"/>
      <c r="BA1255" s="25"/>
      <c r="BB1255" s="25"/>
      <c r="BC1255" s="25"/>
      <c r="BD1255" s="25"/>
      <c r="BE1255" s="25"/>
      <c r="BF1255" s="25"/>
      <c r="BG1255" s="25"/>
      <c r="BH1255" s="25"/>
      <c r="BI1255" s="25"/>
      <c r="BJ1255" s="25"/>
      <c r="BK1255" s="25"/>
      <c r="BL1255" s="25"/>
      <c r="BM1255" s="25"/>
      <c r="BN1255" s="25"/>
      <c r="BO1255" s="25"/>
      <c r="BP1255" s="25"/>
      <c r="BQ1255" s="25"/>
      <c r="BR1255" s="25"/>
      <c r="BS1255" s="25"/>
      <c r="BT1255" s="25"/>
      <c r="BU1255" s="25"/>
      <c r="BV1255" s="25"/>
      <c r="BW1255" s="25"/>
      <c r="BX1255" s="25"/>
      <c r="BY1255" s="25"/>
      <c r="BZ1255" s="25"/>
      <c r="CA1255" s="25"/>
      <c r="CB1255" s="25"/>
    </row>
    <row r="1256" spans="1:80" ht="12.75" hidden="1" customHeight="1">
      <c r="A1256" s="10">
        <f ca="1">IFERROR(__xludf.DUMMYFUNCTION("""COMPUTED_VALUE"""),2017)</f>
        <v>2017</v>
      </c>
      <c r="B1256" s="50">
        <f ca="1">IFERROR(__xludf.DUMMYFUNCTION("""COMPUTED_VALUE"""),43645)</f>
        <v>43645</v>
      </c>
      <c r="C1256" s="41">
        <f ca="1">IFERROR(__xludf.DUMMYFUNCTION("""COMPUTED_VALUE"""),43633)</f>
        <v>43633</v>
      </c>
      <c r="D1256" s="42" t="str">
        <f ca="1">IFERROR(__xludf.DUMMYFUNCTION("""COMPUTED_VALUE"""),"Purple Heron")</f>
        <v>Purple Heron</v>
      </c>
      <c r="E1256" s="53">
        <f ca="1">IFERROR(__xludf.DUMMYFUNCTION("""COMPUTED_VALUE"""),1)</f>
        <v>1</v>
      </c>
      <c r="F1256" s="15"/>
      <c r="G1256" s="44" t="str">
        <f ca="1">IFERROR(__xludf.DUMMYFUNCTION("""COMPUTED_VALUE"""),"Rostherne Mere NNR")</f>
        <v>Rostherne Mere NNR</v>
      </c>
      <c r="H1256" s="12">
        <f ca="1">IFERROR(__xludf.DUMMYFUNCTION("""COMPUTED_VALUE"""),42939)</f>
        <v>42939</v>
      </c>
      <c r="I1256" s="13"/>
      <c r="J1256" s="14"/>
      <c r="K1256" s="15"/>
      <c r="L1256" s="17" t="str">
        <f ca="1">IFERROR(__xludf.DUMMYFUNCTION("""COMPUTED_VALUE"""),"closed")</f>
        <v>closed</v>
      </c>
      <c r="M1256" s="17" t="str">
        <f ca="1">IFERROR(__xludf.DUMMYFUNCTION("""COMPUTED_VALUE"""),"2nd u")</f>
        <v>2nd u</v>
      </c>
      <c r="N1256" s="15" t="str">
        <f ca="1">IFERROR(__xludf.DUMMYFUNCTION("""COMPUTED_VALUE"""),"unproven")</f>
        <v>unproven</v>
      </c>
      <c r="O1256" s="18"/>
      <c r="P1256" s="15"/>
      <c r="Q1256" s="15"/>
      <c r="R1256" s="15"/>
      <c r="S1256" s="15"/>
      <c r="T1256" s="15"/>
      <c r="U1256" s="15"/>
      <c r="V1256" s="15"/>
      <c r="W1256" s="15"/>
      <c r="X1256" s="15"/>
      <c r="Y1256" s="15"/>
      <c r="Z1256" s="15"/>
      <c r="AA1256" s="15"/>
      <c r="AB1256" s="15"/>
      <c r="AC1256" s="15"/>
      <c r="AD1256" s="15"/>
      <c r="AE1256" s="15"/>
      <c r="AF1256" s="15"/>
      <c r="AG1256" s="15"/>
      <c r="AH1256" s="15"/>
      <c r="AI1256" s="15"/>
      <c r="AJ1256" s="15"/>
      <c r="AK1256" s="15"/>
      <c r="AL1256" s="15"/>
      <c r="AM1256" s="15"/>
      <c r="AN1256" s="15"/>
      <c r="AO1256" s="15"/>
      <c r="AP1256" s="15"/>
      <c r="AQ1256" s="15"/>
      <c r="AR1256" s="15"/>
      <c r="AS1256" s="15"/>
      <c r="AT1256" s="15"/>
      <c r="AU1256" s="15"/>
      <c r="AV1256" s="15"/>
      <c r="AW1256" s="15"/>
      <c r="AX1256" s="15"/>
      <c r="AY1256" s="15"/>
      <c r="AZ1256" s="15"/>
      <c r="BA1256" s="15"/>
      <c r="BB1256" s="15"/>
      <c r="BC1256" s="15"/>
      <c r="BD1256" s="15"/>
      <c r="BE1256" s="15"/>
      <c r="BF1256" s="15"/>
      <c r="BG1256" s="15"/>
      <c r="BH1256" s="15"/>
      <c r="BI1256" s="15"/>
      <c r="BJ1256" s="15"/>
      <c r="BK1256" s="15"/>
      <c r="BL1256" s="15"/>
      <c r="BM1256" s="15"/>
      <c r="BN1256" s="15"/>
      <c r="BO1256" s="15"/>
      <c r="BP1256" s="15"/>
      <c r="BQ1256" s="15"/>
      <c r="BR1256" s="15"/>
      <c r="BS1256" s="15"/>
      <c r="BT1256" s="15"/>
      <c r="BU1256" s="15"/>
      <c r="BV1256" s="15"/>
      <c r="BW1256" s="15"/>
      <c r="BX1256" s="15"/>
      <c r="BY1256" s="15"/>
      <c r="BZ1256" s="15"/>
      <c r="CA1256" s="15"/>
      <c r="CB1256" s="15"/>
    </row>
    <row r="1257" spans="1:80" ht="12.75" hidden="1" customHeight="1">
      <c r="A1257" s="20">
        <f ca="1">IFERROR(__xludf.DUMMYFUNCTION("""COMPUTED_VALUE"""),2017)</f>
        <v>2017</v>
      </c>
      <c r="B1257" s="45">
        <f ca="1">IFERROR(__xludf.DUMMYFUNCTION("""COMPUTED_VALUE"""),43374)</f>
        <v>43374</v>
      </c>
      <c r="C1257" s="46">
        <f ca="1">IFERROR(__xludf.DUMMYFUNCTION("""COMPUTED_VALUE"""),43361)</f>
        <v>43361</v>
      </c>
      <c r="D1257" s="47" t="str">
        <f ca="1">IFERROR(__xludf.DUMMYFUNCTION("""COMPUTED_VALUE"""),"Black Kite")</f>
        <v>Black Kite</v>
      </c>
      <c r="E1257" s="52">
        <f ca="1">IFERROR(__xludf.DUMMYFUNCTION("""COMPUTED_VALUE"""),1)</f>
        <v>1</v>
      </c>
      <c r="F1257" s="25"/>
      <c r="G1257" s="48" t="str">
        <f ca="1">IFERROR(__xludf.DUMMYFUNCTION("""COMPUTED_VALUE"""),"Dungeon Bridge Thustaston")</f>
        <v>Dungeon Bridge Thustaston</v>
      </c>
      <c r="H1257" s="22">
        <f ca="1">IFERROR(__xludf.DUMMYFUNCTION("""COMPUTED_VALUE"""),42848)</f>
        <v>42848</v>
      </c>
      <c r="I1257" s="23"/>
      <c r="J1257" s="24" t="str">
        <f ca="1">IFERROR(__xludf.DUMMYFUNCTION("""COMPUTED_VALUE"""),"Gibson, MJ")</f>
        <v>Gibson, MJ</v>
      </c>
      <c r="K1257" s="25" t="str">
        <f ca="1">IFERROR(__xludf.DUMMYFUNCTION("""COMPUTED_VALUE"""),"Gibson, MJ")</f>
        <v>Gibson, MJ</v>
      </c>
      <c r="L1257" s="27" t="str">
        <f ca="1">IFERROR(__xludf.DUMMYFUNCTION("""COMPUTED_VALUE"""),"closed")</f>
        <v>closed</v>
      </c>
      <c r="M1257" s="27" t="str">
        <f ca="1">IFERROR(__xludf.DUMMYFUNCTION("""COMPUTED_VALUE"""),"1st U")</f>
        <v>1st U</v>
      </c>
      <c r="N1257" s="25" t="str">
        <f ca="1">IFERROR(__xludf.DUMMYFUNCTION("""COMPUTED_VALUE"""),"Accepted")</f>
        <v>Accepted</v>
      </c>
      <c r="O1257" s="28"/>
      <c r="P1257" s="25"/>
      <c r="Q1257" s="25"/>
      <c r="R1257" s="25"/>
      <c r="S1257" s="25"/>
      <c r="T1257" s="25"/>
      <c r="U1257" s="25"/>
      <c r="V1257" s="25"/>
      <c r="W1257" s="25"/>
      <c r="X1257" s="25"/>
      <c r="Y1257" s="25"/>
      <c r="Z1257" s="25"/>
      <c r="AA1257" s="25"/>
      <c r="AB1257" s="25"/>
      <c r="AC1257" s="25"/>
      <c r="AD1257" s="25"/>
      <c r="AE1257" s="25"/>
      <c r="AF1257" s="25"/>
      <c r="AG1257" s="25"/>
      <c r="AH1257" s="25"/>
      <c r="AI1257" s="25"/>
      <c r="AJ1257" s="25"/>
      <c r="AK1257" s="25"/>
      <c r="AL1257" s="25"/>
      <c r="AM1257" s="25"/>
      <c r="AN1257" s="25"/>
      <c r="AO1257" s="25"/>
      <c r="AP1257" s="25"/>
      <c r="AQ1257" s="25"/>
      <c r="AR1257" s="25"/>
      <c r="AS1257" s="25"/>
      <c r="AT1257" s="25"/>
      <c r="AU1257" s="25"/>
      <c r="AV1257" s="25"/>
      <c r="AW1257" s="25"/>
      <c r="AX1257" s="25"/>
      <c r="AY1257" s="25"/>
      <c r="AZ1257" s="25"/>
      <c r="BA1257" s="25"/>
      <c r="BB1257" s="25"/>
      <c r="BC1257" s="25"/>
      <c r="BD1257" s="25"/>
      <c r="BE1257" s="25"/>
      <c r="BF1257" s="25"/>
      <c r="BG1257" s="25"/>
      <c r="BH1257" s="25"/>
      <c r="BI1257" s="25"/>
      <c r="BJ1257" s="25"/>
      <c r="BK1257" s="25"/>
      <c r="BL1257" s="25"/>
      <c r="BM1257" s="25"/>
      <c r="BN1257" s="25"/>
      <c r="BO1257" s="25"/>
      <c r="BP1257" s="25"/>
      <c r="BQ1257" s="25"/>
      <c r="BR1257" s="25"/>
      <c r="BS1257" s="25"/>
      <c r="BT1257" s="25"/>
      <c r="BU1257" s="25"/>
      <c r="BV1257" s="25"/>
      <c r="BW1257" s="25"/>
      <c r="BX1257" s="25"/>
      <c r="BY1257" s="25"/>
      <c r="BZ1257" s="25"/>
      <c r="CA1257" s="25"/>
      <c r="CB1257" s="25"/>
    </row>
    <row r="1258" spans="1:80" ht="12.75" hidden="1" customHeight="1">
      <c r="A1258" s="10">
        <f ca="1">IFERROR(__xludf.DUMMYFUNCTION("""COMPUTED_VALUE"""),2017)</f>
        <v>2017</v>
      </c>
      <c r="B1258" s="50">
        <f ca="1">IFERROR(__xludf.DUMMYFUNCTION("""COMPUTED_VALUE"""),43645)</f>
        <v>43645</v>
      </c>
      <c r="C1258" s="41"/>
      <c r="D1258" s="42" t="str">
        <f ca="1">IFERROR(__xludf.DUMMYFUNCTION("""COMPUTED_VALUE"""),"Quail")</f>
        <v>Quail</v>
      </c>
      <c r="E1258" s="53">
        <f ca="1">IFERROR(__xludf.DUMMYFUNCTION("""COMPUTED_VALUE"""),1)</f>
        <v>1</v>
      </c>
      <c r="F1258" s="15"/>
      <c r="G1258" s="44" t="str">
        <f ca="1">IFERROR(__xludf.DUMMYFUNCTION("""COMPUTED_VALUE"""),"Nantwich")</f>
        <v>Nantwich</v>
      </c>
      <c r="H1258" s="12">
        <f ca="1">IFERROR(__xludf.DUMMYFUNCTION("""COMPUTED_VALUE"""),42910)</f>
        <v>42910</v>
      </c>
      <c r="I1258" s="13"/>
      <c r="J1258" s="14" t="str">
        <f ca="1">IFERROR(__xludf.DUMMYFUNCTION("""COMPUTED_VALUE"""),"Wimbush,K")</f>
        <v>Wimbush,K</v>
      </c>
      <c r="K1258" s="15" t="str">
        <f ca="1">IFERROR(__xludf.DUMMYFUNCTION("""COMPUTED_VALUE"""),"Wimbush,K")</f>
        <v>Wimbush,K</v>
      </c>
      <c r="L1258" s="17" t="str">
        <f ca="1">IFERROR(__xludf.DUMMYFUNCTION("""COMPUTED_VALUE"""),"closed")</f>
        <v>closed</v>
      </c>
      <c r="M1258" s="17" t="str">
        <f ca="1">IFERROR(__xludf.DUMMYFUNCTION("""COMPUTED_VALUE"""),"1st M")</f>
        <v>1st M</v>
      </c>
      <c r="N1258" s="15" t="str">
        <f ca="1">IFERROR(__xludf.DUMMYFUNCTION("""COMPUTED_VALUE"""),"accepted")</f>
        <v>accepted</v>
      </c>
      <c r="O1258" s="18"/>
      <c r="P1258" s="15"/>
      <c r="Q1258" s="15"/>
      <c r="R1258" s="15"/>
      <c r="S1258" s="15"/>
      <c r="T1258" s="15"/>
      <c r="U1258" s="15"/>
      <c r="V1258" s="15"/>
      <c r="W1258" s="15"/>
      <c r="X1258" s="15"/>
      <c r="Y1258" s="15"/>
      <c r="Z1258" s="15"/>
      <c r="AA1258" s="15"/>
      <c r="AB1258" s="15"/>
      <c r="AC1258" s="15"/>
      <c r="AD1258" s="15"/>
      <c r="AE1258" s="15"/>
      <c r="AF1258" s="15"/>
      <c r="AG1258" s="15"/>
      <c r="AH1258" s="15"/>
      <c r="AI1258" s="15"/>
      <c r="AJ1258" s="15"/>
      <c r="AK1258" s="15"/>
      <c r="AL1258" s="15"/>
      <c r="AM1258" s="15"/>
      <c r="AN1258" s="15"/>
      <c r="AO1258" s="15"/>
      <c r="AP1258" s="15"/>
      <c r="AQ1258" s="15"/>
      <c r="AR1258" s="15"/>
      <c r="AS1258" s="15"/>
      <c r="AT1258" s="15"/>
      <c r="AU1258" s="15"/>
      <c r="AV1258" s="15"/>
      <c r="AW1258" s="15"/>
      <c r="AX1258" s="15"/>
      <c r="AY1258" s="15"/>
      <c r="AZ1258" s="15"/>
      <c r="BA1258" s="15"/>
      <c r="BB1258" s="15"/>
      <c r="BC1258" s="15"/>
      <c r="BD1258" s="15"/>
      <c r="BE1258" s="15"/>
      <c r="BF1258" s="15"/>
      <c r="BG1258" s="15"/>
      <c r="BH1258" s="15"/>
      <c r="BI1258" s="15"/>
      <c r="BJ1258" s="15"/>
      <c r="BK1258" s="15"/>
      <c r="BL1258" s="15"/>
      <c r="BM1258" s="15"/>
      <c r="BN1258" s="15"/>
      <c r="BO1258" s="15"/>
      <c r="BP1258" s="15"/>
      <c r="BQ1258" s="15"/>
      <c r="BR1258" s="15"/>
      <c r="BS1258" s="15"/>
      <c r="BT1258" s="15"/>
      <c r="BU1258" s="15"/>
      <c r="BV1258" s="15"/>
      <c r="BW1258" s="15"/>
      <c r="BX1258" s="15"/>
      <c r="BY1258" s="15"/>
      <c r="BZ1258" s="15"/>
      <c r="CA1258" s="15"/>
      <c r="CB1258" s="15"/>
    </row>
    <row r="1259" spans="1:80" ht="12.75" hidden="1" customHeight="1">
      <c r="A1259" s="20">
        <f ca="1">IFERROR(__xludf.DUMMYFUNCTION("""COMPUTED_VALUE"""),2017)</f>
        <v>2017</v>
      </c>
      <c r="B1259" s="45">
        <f ca="1">IFERROR(__xludf.DUMMYFUNCTION("""COMPUTED_VALUE"""),43538)</f>
        <v>43538</v>
      </c>
      <c r="C1259" s="46"/>
      <c r="D1259" s="47" t="str">
        <f ca="1">IFERROR(__xludf.DUMMYFUNCTION("""COMPUTED_VALUE"""),"Nightjar")</f>
        <v>Nightjar</v>
      </c>
      <c r="E1259" s="52">
        <f ca="1">IFERROR(__xludf.DUMMYFUNCTION("""COMPUTED_VALUE"""),2)</f>
        <v>2</v>
      </c>
      <c r="F1259" s="25" t="str">
        <f ca="1">IFERROR(__xludf.DUMMYFUNCTION("""COMPUTED_VALUE"""),"mm")</f>
        <v>mm</v>
      </c>
      <c r="G1259" s="48" t="str">
        <f ca="1">IFERROR(__xludf.DUMMYFUNCTION("""COMPUTED_VALUE"""),"Primrosehill Wood, Delamere")</f>
        <v>Primrosehill Wood, Delamere</v>
      </c>
      <c r="H1259" s="22">
        <f ca="1">IFERROR(__xludf.DUMMYFUNCTION("""COMPUTED_VALUE"""),42881)</f>
        <v>42881</v>
      </c>
      <c r="I1259" s="22">
        <f ca="1">IFERROR(__xludf.DUMMYFUNCTION("""COMPUTED_VALUE"""),42912)</f>
        <v>42912</v>
      </c>
      <c r="J1259" s="24" t="str">
        <f ca="1">IFERROR(__xludf.DUMMYFUNCTION("""COMPUTED_VALUE"""),"witheld")</f>
        <v>witheld</v>
      </c>
      <c r="K1259" s="25"/>
      <c r="L1259" s="27" t="str">
        <f ca="1">IFERROR(__xludf.DUMMYFUNCTION("""COMPUTED_VALUE"""),"closed")</f>
        <v>closed</v>
      </c>
      <c r="M1259" s="27" t="str">
        <f ca="1">IFERROR(__xludf.DUMMYFUNCTION("""COMPUTED_VALUE"""),"proxy")</f>
        <v>proxy</v>
      </c>
      <c r="N1259" s="25" t="str">
        <f ca="1">IFERROR(__xludf.DUMMYFUNCTION("""COMPUTED_VALUE"""),"accepted")</f>
        <v>accepted</v>
      </c>
      <c r="O1259" s="28" t="str">
        <f ca="1">IFERROR(__xludf.DUMMYFUNCTION("""COMPUTED_VALUE"""),"returning birds")</f>
        <v>returning birds</v>
      </c>
      <c r="P1259" s="25"/>
      <c r="Q1259" s="25"/>
      <c r="R1259" s="25"/>
      <c r="S1259" s="25"/>
      <c r="T1259" s="25"/>
      <c r="U1259" s="25"/>
      <c r="V1259" s="25"/>
      <c r="W1259" s="25"/>
      <c r="X1259" s="25"/>
      <c r="Y1259" s="25"/>
      <c r="Z1259" s="25"/>
      <c r="AA1259" s="25"/>
      <c r="AB1259" s="25"/>
      <c r="AC1259" s="25"/>
      <c r="AD1259" s="25"/>
      <c r="AE1259" s="25"/>
      <c r="AF1259" s="25"/>
      <c r="AG1259" s="25"/>
      <c r="AH1259" s="25"/>
      <c r="AI1259" s="25"/>
      <c r="AJ1259" s="25"/>
      <c r="AK1259" s="25"/>
      <c r="AL1259" s="25"/>
      <c r="AM1259" s="25"/>
      <c r="AN1259" s="25"/>
      <c r="AO1259" s="25"/>
      <c r="AP1259" s="25"/>
      <c r="AQ1259" s="25"/>
      <c r="AR1259" s="25"/>
      <c r="AS1259" s="25"/>
      <c r="AT1259" s="25"/>
      <c r="AU1259" s="25"/>
      <c r="AV1259" s="25"/>
      <c r="AW1259" s="25"/>
      <c r="AX1259" s="25"/>
      <c r="AY1259" s="25"/>
      <c r="AZ1259" s="25"/>
      <c r="BA1259" s="25"/>
      <c r="BB1259" s="25"/>
      <c r="BC1259" s="25"/>
      <c r="BD1259" s="25"/>
      <c r="BE1259" s="25"/>
      <c r="BF1259" s="25"/>
      <c r="BG1259" s="25"/>
      <c r="BH1259" s="25"/>
      <c r="BI1259" s="25"/>
      <c r="BJ1259" s="25"/>
      <c r="BK1259" s="25"/>
      <c r="BL1259" s="25"/>
      <c r="BM1259" s="25"/>
      <c r="BN1259" s="25"/>
      <c r="BO1259" s="25"/>
      <c r="BP1259" s="25"/>
      <c r="BQ1259" s="25"/>
      <c r="BR1259" s="25"/>
      <c r="BS1259" s="25"/>
      <c r="BT1259" s="25"/>
      <c r="BU1259" s="25"/>
      <c r="BV1259" s="25"/>
      <c r="BW1259" s="25"/>
      <c r="BX1259" s="25"/>
      <c r="BY1259" s="25"/>
      <c r="BZ1259" s="25"/>
      <c r="CA1259" s="25"/>
      <c r="CB1259" s="25"/>
    </row>
    <row r="1260" spans="1:80" ht="12.75" hidden="1" customHeight="1">
      <c r="A1260" s="10">
        <f ca="1">IFERROR(__xludf.DUMMYFUNCTION("""COMPUTED_VALUE"""),2017)</f>
        <v>2017</v>
      </c>
      <c r="B1260" s="50">
        <f ca="1">IFERROR(__xludf.DUMMYFUNCTION("""COMPUTED_VALUE"""),43374)</f>
        <v>43374</v>
      </c>
      <c r="C1260" s="41"/>
      <c r="D1260" s="42" t="str">
        <f ca="1">IFERROR(__xludf.DUMMYFUNCTION("""COMPUTED_VALUE"""),"Water Pipit")</f>
        <v>Water Pipit</v>
      </c>
      <c r="E1260" s="53">
        <f ca="1">IFERROR(__xludf.DUMMYFUNCTION("""COMPUTED_VALUE"""),43344)</f>
        <v>43344</v>
      </c>
      <c r="F1260" s="15"/>
      <c r="G1260" s="44" t="str">
        <f ca="1">IFERROR(__xludf.DUMMYFUNCTION("""COMPUTED_VALUE"""),"Hale Shore")</f>
        <v>Hale Shore</v>
      </c>
      <c r="H1260" s="12">
        <f ca="1">IFERROR(__xludf.DUMMYFUNCTION("""COMPUTED_VALUE"""),42737)</f>
        <v>42737</v>
      </c>
      <c r="I1260" s="12">
        <f ca="1">IFERROR(__xludf.DUMMYFUNCTION("""COMPUTED_VALUE"""),42824)</f>
        <v>42824</v>
      </c>
      <c r="J1260" s="14" t="str">
        <f ca="1">IFERROR(__xludf.DUMMYFUNCTION("""COMPUTED_VALUE"""),"Cockbain, R")</f>
        <v>Cockbain, R</v>
      </c>
      <c r="K1260" s="15" t="str">
        <f ca="1">IFERROR(__xludf.DUMMYFUNCTION("""COMPUTED_VALUE"""),"Cockbain, R")</f>
        <v>Cockbain, R</v>
      </c>
      <c r="L1260" s="17" t="str">
        <f ca="1">IFERROR(__xludf.DUMMYFUNCTION("""COMPUTED_VALUE"""),"closed")</f>
        <v>closed</v>
      </c>
      <c r="M1260" s="17" t="str">
        <f ca="1">IFERROR(__xludf.DUMMYFUNCTION("""COMPUTED_VALUE"""),"1st U")</f>
        <v>1st U</v>
      </c>
      <c r="N1260" s="15" t="str">
        <f ca="1">IFERROR(__xludf.DUMMYFUNCTION("""COMPUTED_VALUE"""),"accepted")</f>
        <v>accepted</v>
      </c>
      <c r="O1260" s="18"/>
      <c r="P1260" s="15"/>
      <c r="Q1260" s="15"/>
      <c r="R1260" s="15"/>
      <c r="S1260" s="15"/>
      <c r="T1260" s="15"/>
      <c r="U1260" s="15"/>
      <c r="V1260" s="15"/>
      <c r="W1260" s="15"/>
      <c r="X1260" s="15"/>
      <c r="Y1260" s="15"/>
      <c r="Z1260" s="15"/>
      <c r="AA1260" s="15"/>
      <c r="AB1260" s="15"/>
      <c r="AC1260" s="15"/>
      <c r="AD1260" s="15"/>
      <c r="AE1260" s="15"/>
      <c r="AF1260" s="15"/>
      <c r="AG1260" s="15"/>
      <c r="AH1260" s="15"/>
      <c r="AI1260" s="15"/>
      <c r="AJ1260" s="15"/>
      <c r="AK1260" s="15"/>
      <c r="AL1260" s="15"/>
      <c r="AM1260" s="15"/>
      <c r="AN1260" s="15"/>
      <c r="AO1260" s="15"/>
      <c r="AP1260" s="15"/>
      <c r="AQ1260" s="15"/>
      <c r="AR1260" s="15"/>
      <c r="AS1260" s="15"/>
      <c r="AT1260" s="15"/>
      <c r="AU1260" s="15"/>
      <c r="AV1260" s="15"/>
      <c r="AW1260" s="15"/>
      <c r="AX1260" s="15"/>
      <c r="AY1260" s="15"/>
      <c r="AZ1260" s="15"/>
      <c r="BA1260" s="15"/>
      <c r="BB1260" s="15"/>
      <c r="BC1260" s="15"/>
      <c r="BD1260" s="15"/>
      <c r="BE1260" s="15"/>
      <c r="BF1260" s="15"/>
      <c r="BG1260" s="15"/>
      <c r="BH1260" s="15"/>
      <c r="BI1260" s="15"/>
      <c r="BJ1260" s="15"/>
      <c r="BK1260" s="15"/>
      <c r="BL1260" s="15"/>
      <c r="BM1260" s="15"/>
      <c r="BN1260" s="15"/>
      <c r="BO1260" s="15"/>
      <c r="BP1260" s="15"/>
      <c r="BQ1260" s="15"/>
      <c r="BR1260" s="15"/>
      <c r="BS1260" s="15"/>
      <c r="BT1260" s="15"/>
      <c r="BU1260" s="15"/>
      <c r="BV1260" s="15"/>
      <c r="BW1260" s="15"/>
      <c r="BX1260" s="15"/>
      <c r="BY1260" s="15"/>
      <c r="BZ1260" s="15"/>
      <c r="CA1260" s="15"/>
      <c r="CB1260" s="15"/>
    </row>
    <row r="1261" spans="1:80" ht="12.75" hidden="1" customHeight="1">
      <c r="A1261" s="20">
        <f ca="1">IFERROR(__xludf.DUMMYFUNCTION("""COMPUTED_VALUE"""),2017)</f>
        <v>2017</v>
      </c>
      <c r="B1261" s="45">
        <f ca="1">IFERROR(__xludf.DUMMYFUNCTION("""COMPUTED_VALUE"""),43538)</f>
        <v>43538</v>
      </c>
      <c r="C1261" s="46"/>
      <c r="D1261" s="47" t="str">
        <f ca="1">IFERROR(__xludf.DUMMYFUNCTION("""COMPUTED_VALUE"""),"Water Pipit")</f>
        <v>Water Pipit</v>
      </c>
      <c r="E1261" s="52">
        <f ca="1">IFERROR(__xludf.DUMMYFUNCTION("""COMPUTED_VALUE"""),1)</f>
        <v>1</v>
      </c>
      <c r="F1261" s="25"/>
      <c r="G1261" s="48" t="str">
        <f ca="1">IFERROR(__xludf.DUMMYFUNCTION("""COMPUTED_VALUE"""),"Neston Sewage Works")</f>
        <v>Neston Sewage Works</v>
      </c>
      <c r="H1261" s="22">
        <f ca="1">IFERROR(__xludf.DUMMYFUNCTION("""COMPUTED_VALUE"""),42758)</f>
        <v>42758</v>
      </c>
      <c r="I1261" s="22">
        <f ca="1">IFERROR(__xludf.DUMMYFUNCTION("""COMPUTED_VALUE"""),42793)</f>
        <v>42793</v>
      </c>
      <c r="J1261" s="24" t="str">
        <f ca="1">IFERROR(__xludf.DUMMYFUNCTION("""COMPUTED_VALUE"""),"Birdtrack")</f>
        <v>Birdtrack</v>
      </c>
      <c r="K1261" s="25" t="str">
        <f ca="1">IFERROR(__xludf.DUMMYFUNCTION("""COMPUTED_VALUE"""),"Jones, G")</f>
        <v>Jones, G</v>
      </c>
      <c r="L1261" s="27" t="str">
        <f ca="1">IFERROR(__xludf.DUMMYFUNCTION("""COMPUTED_VALUE"""),"closed")</f>
        <v>closed</v>
      </c>
      <c r="M1261" s="27" t="str">
        <f ca="1">IFERROR(__xludf.DUMMYFUNCTION("""COMPUTED_VALUE"""),"exemption")</f>
        <v>exemption</v>
      </c>
      <c r="N1261" s="25" t="str">
        <f ca="1">IFERROR(__xludf.DUMMYFUNCTION("""COMPUTED_VALUE"""),"accepted")</f>
        <v>accepted</v>
      </c>
      <c r="O1261" s="28"/>
      <c r="P1261" s="25"/>
      <c r="Q1261" s="25"/>
      <c r="R1261" s="25"/>
      <c r="S1261" s="25"/>
      <c r="T1261" s="25"/>
      <c r="U1261" s="25"/>
      <c r="V1261" s="25"/>
      <c r="W1261" s="25"/>
      <c r="X1261" s="25"/>
      <c r="Y1261" s="25"/>
      <c r="Z1261" s="25"/>
      <c r="AA1261" s="25"/>
      <c r="AB1261" s="25"/>
      <c r="AC1261" s="25"/>
      <c r="AD1261" s="25"/>
      <c r="AE1261" s="25"/>
      <c r="AF1261" s="25"/>
      <c r="AG1261" s="25"/>
      <c r="AH1261" s="25"/>
      <c r="AI1261" s="25"/>
      <c r="AJ1261" s="25"/>
      <c r="AK1261" s="25"/>
      <c r="AL1261" s="25"/>
      <c r="AM1261" s="25"/>
      <c r="AN1261" s="25"/>
      <c r="AO1261" s="25"/>
      <c r="AP1261" s="25"/>
      <c r="AQ1261" s="25"/>
      <c r="AR1261" s="25"/>
      <c r="AS1261" s="25"/>
      <c r="AT1261" s="25"/>
      <c r="AU1261" s="25"/>
      <c r="AV1261" s="25"/>
      <c r="AW1261" s="25"/>
      <c r="AX1261" s="25"/>
      <c r="AY1261" s="25"/>
      <c r="AZ1261" s="25"/>
      <c r="BA1261" s="25"/>
      <c r="BB1261" s="25"/>
      <c r="BC1261" s="25"/>
      <c r="BD1261" s="25"/>
      <c r="BE1261" s="25"/>
      <c r="BF1261" s="25"/>
      <c r="BG1261" s="25"/>
      <c r="BH1261" s="25"/>
      <c r="BI1261" s="25"/>
      <c r="BJ1261" s="25"/>
      <c r="BK1261" s="25"/>
      <c r="BL1261" s="25"/>
      <c r="BM1261" s="25"/>
      <c r="BN1261" s="25"/>
      <c r="BO1261" s="25"/>
      <c r="BP1261" s="25"/>
      <c r="BQ1261" s="25"/>
      <c r="BR1261" s="25"/>
      <c r="BS1261" s="25"/>
      <c r="BT1261" s="25"/>
      <c r="BU1261" s="25"/>
      <c r="BV1261" s="25"/>
      <c r="BW1261" s="25"/>
      <c r="BX1261" s="25"/>
      <c r="BY1261" s="25"/>
      <c r="BZ1261" s="25"/>
      <c r="CA1261" s="25"/>
      <c r="CB1261" s="25"/>
    </row>
    <row r="1262" spans="1:80" ht="12.75" hidden="1" customHeight="1">
      <c r="A1262" s="10">
        <f ca="1">IFERROR(__xludf.DUMMYFUNCTION("""COMPUTED_VALUE"""),2017)</f>
        <v>2017</v>
      </c>
      <c r="B1262" s="50">
        <f ca="1">IFERROR(__xludf.DUMMYFUNCTION("""COMPUTED_VALUE"""),43645)</f>
        <v>43645</v>
      </c>
      <c r="C1262" s="41">
        <f ca="1">IFERROR(__xludf.DUMMYFUNCTION("""COMPUTED_VALUE"""),43633)</f>
        <v>43633</v>
      </c>
      <c r="D1262" s="42" t="str">
        <f ca="1">IFERROR(__xludf.DUMMYFUNCTION("""COMPUTED_VALUE"""),"Water Pipit")</f>
        <v>Water Pipit</v>
      </c>
      <c r="E1262" s="53"/>
      <c r="F1262" s="15"/>
      <c r="G1262" s="44" t="str">
        <f ca="1">IFERROR(__xludf.DUMMYFUNCTION("""COMPUTED_VALUE"""),"Heswall Shore")</f>
        <v>Heswall Shore</v>
      </c>
      <c r="H1262" s="12">
        <f ca="1">IFERROR(__xludf.DUMMYFUNCTION("""COMPUTED_VALUE"""),42831)</f>
        <v>42831</v>
      </c>
      <c r="I1262" s="13"/>
      <c r="J1262" s="14" t="str">
        <f ca="1">IFERROR(__xludf.DUMMYFUNCTION("""COMPUTED_VALUE"""),"Dee Estuary Website")</f>
        <v>Dee Estuary Website</v>
      </c>
      <c r="K1262" s="15" t="str">
        <f ca="1">IFERROR(__xludf.DUMMYFUNCTION("""COMPUTED_VALUE"""),"Hinde, S")</f>
        <v>Hinde, S</v>
      </c>
      <c r="L1262" s="17" t="str">
        <f ca="1">IFERROR(__xludf.DUMMYFUNCTION("""COMPUTED_VALUE"""),"closed")</f>
        <v>closed</v>
      </c>
      <c r="M1262" s="17" t="str">
        <f ca="1">IFERROR(__xludf.DUMMYFUNCTION("""COMPUTED_VALUE"""),"1st U")</f>
        <v>1st U</v>
      </c>
      <c r="N1262" s="15" t="str">
        <f ca="1">IFERROR(__xludf.DUMMYFUNCTION("""COMPUTED_VALUE"""),"accepted")</f>
        <v>accepted</v>
      </c>
      <c r="O1262" s="18"/>
      <c r="P1262" s="15"/>
      <c r="Q1262" s="15"/>
      <c r="R1262" s="15"/>
      <c r="S1262" s="15"/>
      <c r="T1262" s="15"/>
      <c r="U1262" s="15"/>
      <c r="V1262" s="15"/>
      <c r="W1262" s="15"/>
      <c r="X1262" s="15"/>
      <c r="Y1262" s="15"/>
      <c r="Z1262" s="15"/>
      <c r="AA1262" s="15"/>
      <c r="AB1262" s="15"/>
      <c r="AC1262" s="15"/>
      <c r="AD1262" s="15"/>
      <c r="AE1262" s="15"/>
      <c r="AF1262" s="15"/>
      <c r="AG1262" s="15"/>
      <c r="AH1262" s="15"/>
      <c r="AI1262" s="15"/>
      <c r="AJ1262" s="15"/>
      <c r="AK1262" s="15"/>
      <c r="AL1262" s="15"/>
      <c r="AM1262" s="15"/>
      <c r="AN1262" s="15"/>
      <c r="AO1262" s="15"/>
      <c r="AP1262" s="15"/>
      <c r="AQ1262" s="15"/>
      <c r="AR1262" s="15"/>
      <c r="AS1262" s="15"/>
      <c r="AT1262" s="15"/>
      <c r="AU1262" s="15"/>
      <c r="AV1262" s="15"/>
      <c r="AW1262" s="15"/>
      <c r="AX1262" s="15"/>
      <c r="AY1262" s="15"/>
      <c r="AZ1262" s="15"/>
      <c r="BA1262" s="15"/>
      <c r="BB1262" s="15"/>
      <c r="BC1262" s="15"/>
      <c r="BD1262" s="15"/>
      <c r="BE1262" s="15"/>
      <c r="BF1262" s="15"/>
      <c r="BG1262" s="15"/>
      <c r="BH1262" s="15"/>
      <c r="BI1262" s="15"/>
      <c r="BJ1262" s="15"/>
      <c r="BK1262" s="15"/>
      <c r="BL1262" s="15"/>
      <c r="BM1262" s="15"/>
      <c r="BN1262" s="15"/>
      <c r="BO1262" s="15"/>
      <c r="BP1262" s="15"/>
      <c r="BQ1262" s="15"/>
      <c r="BR1262" s="15"/>
      <c r="BS1262" s="15"/>
      <c r="BT1262" s="15"/>
      <c r="BU1262" s="15"/>
      <c r="BV1262" s="15"/>
      <c r="BW1262" s="15"/>
      <c r="BX1262" s="15"/>
      <c r="BY1262" s="15"/>
      <c r="BZ1262" s="15"/>
      <c r="CA1262" s="15"/>
      <c r="CB1262" s="15"/>
    </row>
    <row r="1263" spans="1:80" ht="12.75" hidden="1" customHeight="1">
      <c r="A1263" s="20">
        <f ca="1">IFERROR(__xludf.DUMMYFUNCTION("""COMPUTED_VALUE"""),2017)</f>
        <v>2017</v>
      </c>
      <c r="B1263" s="45">
        <f ca="1">IFERROR(__xludf.DUMMYFUNCTION("""COMPUTED_VALUE"""),43374)</f>
        <v>43374</v>
      </c>
      <c r="C1263" s="46"/>
      <c r="D1263" s="47" t="str">
        <f ca="1">IFERROR(__xludf.DUMMYFUNCTION("""COMPUTED_VALUE"""),"Water Pipit")</f>
        <v>Water Pipit</v>
      </c>
      <c r="E1263" s="52">
        <f ca="1">IFERROR(__xludf.DUMMYFUNCTION("""COMPUTED_VALUE"""),3)</f>
        <v>3</v>
      </c>
      <c r="F1263" s="25"/>
      <c r="G1263" s="48" t="str">
        <f ca="1">IFERROR(__xludf.DUMMYFUNCTION("""COMPUTED_VALUE"""),"Hale Shore")</f>
        <v>Hale Shore</v>
      </c>
      <c r="H1263" s="22">
        <f ca="1">IFERROR(__xludf.DUMMYFUNCTION("""COMPUTED_VALUE"""),43057)</f>
        <v>43057</v>
      </c>
      <c r="I1263" s="22" t="str">
        <f ca="1">IFERROR(__xludf.DUMMYFUNCTION("""COMPUTED_VALUE"""),"year end")</f>
        <v>year end</v>
      </c>
      <c r="J1263" s="24" t="str">
        <f ca="1">IFERROR(__xludf.DUMMYFUNCTION("""COMPUTED_VALUE"""),"Cockbain, R")</f>
        <v>Cockbain, R</v>
      </c>
      <c r="K1263" s="25" t="str">
        <f ca="1">IFERROR(__xludf.DUMMYFUNCTION("""COMPUTED_VALUE"""),"Cockbain, R")</f>
        <v>Cockbain, R</v>
      </c>
      <c r="L1263" s="27" t="str">
        <f ca="1">IFERROR(__xludf.DUMMYFUNCTION("""COMPUTED_VALUE"""),"closed")</f>
        <v>closed</v>
      </c>
      <c r="M1263" s="27" t="str">
        <f ca="1">IFERROR(__xludf.DUMMYFUNCTION("""COMPUTED_VALUE"""),"1st U")</f>
        <v>1st U</v>
      </c>
      <c r="N1263" s="25" t="str">
        <f ca="1">IFERROR(__xludf.DUMMYFUNCTION("""COMPUTED_VALUE"""),"accepted")</f>
        <v>accepted</v>
      </c>
      <c r="O1263" s="28"/>
      <c r="P1263" s="25"/>
      <c r="Q1263" s="25"/>
      <c r="R1263" s="25"/>
      <c r="S1263" s="25"/>
      <c r="T1263" s="25"/>
      <c r="U1263" s="25"/>
      <c r="V1263" s="25"/>
      <c r="W1263" s="25"/>
      <c r="X1263" s="25"/>
      <c r="Y1263" s="25"/>
      <c r="Z1263" s="25"/>
      <c r="AA1263" s="25"/>
      <c r="AB1263" s="25"/>
      <c r="AC1263" s="25"/>
      <c r="AD1263" s="25"/>
      <c r="AE1263" s="25"/>
      <c r="AF1263" s="25"/>
      <c r="AG1263" s="25"/>
      <c r="AH1263" s="25"/>
      <c r="AI1263" s="25"/>
      <c r="AJ1263" s="25"/>
      <c r="AK1263" s="25"/>
      <c r="AL1263" s="25"/>
      <c r="AM1263" s="25"/>
      <c r="AN1263" s="25"/>
      <c r="AO1263" s="25"/>
      <c r="AP1263" s="25"/>
      <c r="AQ1263" s="25"/>
      <c r="AR1263" s="25"/>
      <c r="AS1263" s="25"/>
      <c r="AT1263" s="25"/>
      <c r="AU1263" s="25"/>
      <c r="AV1263" s="25"/>
      <c r="AW1263" s="25"/>
      <c r="AX1263" s="25"/>
      <c r="AY1263" s="25"/>
      <c r="AZ1263" s="25"/>
      <c r="BA1263" s="25"/>
      <c r="BB1263" s="25"/>
      <c r="BC1263" s="25"/>
      <c r="BD1263" s="25"/>
      <c r="BE1263" s="25"/>
      <c r="BF1263" s="25"/>
      <c r="BG1263" s="25"/>
      <c r="BH1263" s="25"/>
      <c r="BI1263" s="25"/>
      <c r="BJ1263" s="25"/>
      <c r="BK1263" s="25"/>
      <c r="BL1263" s="25"/>
      <c r="BM1263" s="25"/>
      <c r="BN1263" s="25"/>
      <c r="BO1263" s="25"/>
      <c r="BP1263" s="25"/>
      <c r="BQ1263" s="25"/>
      <c r="BR1263" s="25"/>
      <c r="BS1263" s="25"/>
      <c r="BT1263" s="25"/>
      <c r="BU1263" s="25"/>
      <c r="BV1263" s="25"/>
      <c r="BW1263" s="25"/>
      <c r="BX1263" s="25"/>
      <c r="BY1263" s="25"/>
      <c r="BZ1263" s="25"/>
      <c r="CA1263" s="25"/>
      <c r="CB1263" s="25"/>
    </row>
    <row r="1264" spans="1:80" ht="12.75" hidden="1" customHeight="1">
      <c r="A1264" s="10">
        <f ca="1">IFERROR(__xludf.DUMMYFUNCTION("""COMPUTED_VALUE"""),2017)</f>
        <v>2017</v>
      </c>
      <c r="B1264" s="50">
        <f ca="1">IFERROR(__xludf.DUMMYFUNCTION("""COMPUTED_VALUE"""),43645)</f>
        <v>43645</v>
      </c>
      <c r="C1264" s="41">
        <f ca="1">IFERROR(__xludf.DUMMYFUNCTION("""COMPUTED_VALUE"""),43633)</f>
        <v>43633</v>
      </c>
      <c r="D1264" s="42" t="str">
        <f ca="1">IFERROR(__xludf.DUMMYFUNCTION("""COMPUTED_VALUE"""),"Turtle Dove")</f>
        <v>Turtle Dove</v>
      </c>
      <c r="E1264" s="53">
        <f ca="1">IFERROR(__xludf.DUMMYFUNCTION("""COMPUTED_VALUE"""),1)</f>
        <v>1</v>
      </c>
      <c r="F1264" s="15" t="str">
        <f ca="1">IFERROR(__xludf.DUMMYFUNCTION("""COMPUTED_VALUE"""),"male")</f>
        <v>male</v>
      </c>
      <c r="G1264" s="44" t="str">
        <f ca="1">IFERROR(__xludf.DUMMYFUNCTION("""COMPUTED_VALUE"""),"Red Rocks, Hoylake")</f>
        <v>Red Rocks, Hoylake</v>
      </c>
      <c r="H1264" s="12">
        <f ca="1">IFERROR(__xludf.DUMMYFUNCTION("""COMPUTED_VALUE"""),42877)</f>
        <v>42877</v>
      </c>
      <c r="I1264" s="12">
        <f ca="1">IFERROR(__xludf.DUMMYFUNCTION("""COMPUTED_VALUE"""),42879)</f>
        <v>42879</v>
      </c>
      <c r="J1264" s="14" t="str">
        <f ca="1">IFERROR(__xludf.DUMMYFUNCTION("""COMPUTED_VALUE"""),"Turner, JE")</f>
        <v>Turner, JE</v>
      </c>
      <c r="K1264" s="15"/>
      <c r="L1264" s="17" t="str">
        <f ca="1">IFERROR(__xludf.DUMMYFUNCTION("""COMPUTED_VALUE"""),"closed")</f>
        <v>closed</v>
      </c>
      <c r="M1264" s="17" t="str">
        <f ca="1">IFERROR(__xludf.DUMMYFUNCTION("""COMPUTED_VALUE"""),"1st U")</f>
        <v>1st U</v>
      </c>
      <c r="N1264" s="15" t="str">
        <f ca="1">IFERROR(__xludf.DUMMYFUNCTION("""COMPUTED_VALUE"""),"Accepted")</f>
        <v>Accepted</v>
      </c>
      <c r="O1264" s="18"/>
      <c r="P1264" s="15"/>
      <c r="Q1264" s="15"/>
      <c r="R1264" s="15"/>
      <c r="S1264" s="15"/>
      <c r="T1264" s="15"/>
      <c r="U1264" s="15"/>
      <c r="V1264" s="15"/>
      <c r="W1264" s="15"/>
      <c r="X1264" s="15"/>
      <c r="Y1264" s="15"/>
      <c r="Z1264" s="15"/>
      <c r="AA1264" s="15"/>
      <c r="AB1264" s="15"/>
      <c r="AC1264" s="15"/>
      <c r="AD1264" s="15"/>
      <c r="AE1264" s="15"/>
      <c r="AF1264" s="15"/>
      <c r="AG1264" s="15"/>
      <c r="AH1264" s="15"/>
      <c r="AI1264" s="15"/>
      <c r="AJ1264" s="15"/>
      <c r="AK1264" s="15"/>
      <c r="AL1264" s="15"/>
      <c r="AM1264" s="15"/>
      <c r="AN1264" s="15"/>
      <c r="AO1264" s="15"/>
      <c r="AP1264" s="15"/>
      <c r="AQ1264" s="15"/>
      <c r="AR1264" s="15"/>
      <c r="AS1264" s="15"/>
      <c r="AT1264" s="15"/>
      <c r="AU1264" s="15"/>
      <c r="AV1264" s="15"/>
      <c r="AW1264" s="15"/>
      <c r="AX1264" s="15"/>
      <c r="AY1264" s="15"/>
      <c r="AZ1264" s="15"/>
      <c r="BA1264" s="15"/>
      <c r="BB1264" s="15"/>
      <c r="BC1264" s="15"/>
      <c r="BD1264" s="15"/>
      <c r="BE1264" s="15"/>
      <c r="BF1264" s="15"/>
      <c r="BG1264" s="15"/>
      <c r="BH1264" s="15"/>
      <c r="BI1264" s="15"/>
      <c r="BJ1264" s="15"/>
      <c r="BK1264" s="15"/>
      <c r="BL1264" s="15"/>
      <c r="BM1264" s="15"/>
      <c r="BN1264" s="15"/>
      <c r="BO1264" s="15"/>
      <c r="BP1264" s="15"/>
      <c r="BQ1264" s="15"/>
      <c r="BR1264" s="15"/>
      <c r="BS1264" s="15"/>
      <c r="BT1264" s="15"/>
      <c r="BU1264" s="15"/>
      <c r="BV1264" s="15"/>
      <c r="BW1264" s="15"/>
      <c r="BX1264" s="15"/>
      <c r="BY1264" s="15"/>
      <c r="BZ1264" s="15"/>
      <c r="CA1264" s="15"/>
      <c r="CB1264" s="15"/>
    </row>
    <row r="1265" spans="1:80" ht="12.75" hidden="1" customHeight="1">
      <c r="A1265" s="20">
        <f ca="1">IFERROR(__xludf.DUMMYFUNCTION("""COMPUTED_VALUE"""),2017)</f>
        <v>2017</v>
      </c>
      <c r="B1265" s="45">
        <f ca="1">IFERROR(__xludf.DUMMYFUNCTION("""COMPUTED_VALUE"""),43538)</f>
        <v>43538</v>
      </c>
      <c r="C1265" s="46"/>
      <c r="D1265" s="47" t="str">
        <f ca="1">IFERROR(__xludf.DUMMYFUNCTION("""COMPUTED_VALUE"""),"Wood Warbler")</f>
        <v>Wood Warbler</v>
      </c>
      <c r="E1265" s="52">
        <f ca="1">IFERROR(__xludf.DUMMYFUNCTION("""COMPUTED_VALUE"""),1)</f>
        <v>1</v>
      </c>
      <c r="F1265" s="25"/>
      <c r="G1265" s="48" t="str">
        <f ca="1">IFERROR(__xludf.DUMMYFUNCTION("""COMPUTED_VALUE"""),"Hilbre")</f>
        <v>Hilbre</v>
      </c>
      <c r="H1265" s="22">
        <f ca="1">IFERROR(__xludf.DUMMYFUNCTION("""COMPUTED_VALUE"""),42855)</f>
        <v>42855</v>
      </c>
      <c r="I1265" s="23"/>
      <c r="J1265" s="24" t="str">
        <f ca="1">IFERROR(__xludf.DUMMYFUNCTION("""COMPUTED_VALUE"""),"not submitted - assed by online photo")</f>
        <v>not submitted - assed by online photo</v>
      </c>
      <c r="K1265" s="25"/>
      <c r="L1265" s="27" t="str">
        <f ca="1">IFERROR(__xludf.DUMMYFUNCTION("""COMPUTED_VALUE"""),"closed")</f>
        <v>closed</v>
      </c>
      <c r="M1265" s="27" t="str">
        <f ca="1">IFERROR(__xludf.DUMMYFUNCTION("""COMPUTED_VALUE"""),"photo")</f>
        <v>photo</v>
      </c>
      <c r="N1265" s="25" t="str">
        <f ca="1">IFERROR(__xludf.DUMMYFUNCTION("""COMPUTED_VALUE"""),"accepted")</f>
        <v>accepted</v>
      </c>
      <c r="O1265" s="28"/>
      <c r="P1265" s="25"/>
      <c r="Q1265" s="25"/>
      <c r="R1265" s="25"/>
      <c r="S1265" s="25"/>
      <c r="T1265" s="25"/>
      <c r="U1265" s="25"/>
      <c r="V1265" s="25"/>
      <c r="W1265" s="25"/>
      <c r="X1265" s="25"/>
      <c r="Y1265" s="25"/>
      <c r="Z1265" s="25"/>
      <c r="AA1265" s="25"/>
      <c r="AB1265" s="25"/>
      <c r="AC1265" s="25"/>
      <c r="AD1265" s="25"/>
      <c r="AE1265" s="25"/>
      <c r="AF1265" s="25"/>
      <c r="AG1265" s="25"/>
      <c r="AH1265" s="25"/>
      <c r="AI1265" s="25"/>
      <c r="AJ1265" s="25"/>
      <c r="AK1265" s="25"/>
      <c r="AL1265" s="25"/>
      <c r="AM1265" s="25"/>
      <c r="AN1265" s="25"/>
      <c r="AO1265" s="25"/>
      <c r="AP1265" s="25"/>
      <c r="AQ1265" s="25"/>
      <c r="AR1265" s="25"/>
      <c r="AS1265" s="25"/>
      <c r="AT1265" s="25"/>
      <c r="AU1265" s="25"/>
      <c r="AV1265" s="25"/>
      <c r="AW1265" s="25"/>
      <c r="AX1265" s="25"/>
      <c r="AY1265" s="25"/>
      <c r="AZ1265" s="25"/>
      <c r="BA1265" s="25"/>
      <c r="BB1265" s="25"/>
      <c r="BC1265" s="25"/>
      <c r="BD1265" s="25"/>
      <c r="BE1265" s="25"/>
      <c r="BF1265" s="25"/>
      <c r="BG1265" s="25"/>
      <c r="BH1265" s="25"/>
      <c r="BI1265" s="25"/>
      <c r="BJ1265" s="25"/>
      <c r="BK1265" s="25"/>
      <c r="BL1265" s="25"/>
      <c r="BM1265" s="25"/>
      <c r="BN1265" s="25"/>
      <c r="BO1265" s="25"/>
      <c r="BP1265" s="25"/>
      <c r="BQ1265" s="25"/>
      <c r="BR1265" s="25"/>
      <c r="BS1265" s="25"/>
      <c r="BT1265" s="25"/>
      <c r="BU1265" s="25"/>
      <c r="BV1265" s="25"/>
      <c r="BW1265" s="25"/>
      <c r="BX1265" s="25"/>
      <c r="BY1265" s="25"/>
      <c r="BZ1265" s="25"/>
      <c r="CA1265" s="25"/>
      <c r="CB1265" s="25"/>
    </row>
    <row r="1266" spans="1:80" ht="12.75" hidden="1" customHeight="1">
      <c r="A1266" s="10">
        <f ca="1">IFERROR(__xludf.DUMMYFUNCTION("""COMPUTED_VALUE"""),2017)</f>
        <v>2017</v>
      </c>
      <c r="B1266" s="50">
        <f ca="1">IFERROR(__xludf.DUMMYFUNCTION("""COMPUTED_VALUE"""),43645)</f>
        <v>43645</v>
      </c>
      <c r="C1266" s="41"/>
      <c r="D1266" s="42" t="str">
        <f ca="1">IFERROR(__xludf.DUMMYFUNCTION("""COMPUTED_VALUE"""),"Spotted Crake")</f>
        <v>Spotted Crake</v>
      </c>
      <c r="E1266" s="53">
        <f ca="1">IFERROR(__xludf.DUMMYFUNCTION("""COMPUTED_VALUE"""),1)</f>
        <v>1</v>
      </c>
      <c r="F1266" s="15" t="str">
        <f ca="1">IFERROR(__xludf.DUMMYFUNCTION("""COMPUTED_VALUE"""),"m")</f>
        <v>m</v>
      </c>
      <c r="G1266" s="44" t="str">
        <f ca="1">IFERROR(__xludf.DUMMYFUNCTION("""COMPUTED_VALUE"""),"Red Rocks, Hoylake")</f>
        <v>Red Rocks, Hoylake</v>
      </c>
      <c r="H1266" s="12">
        <f ca="1">IFERROR(__xludf.DUMMYFUNCTION("""COMPUTED_VALUE"""),42855)</f>
        <v>42855</v>
      </c>
      <c r="I1266" s="12">
        <f ca="1">IFERROR(__xludf.DUMMYFUNCTION("""COMPUTED_VALUE"""),42856)</f>
        <v>42856</v>
      </c>
      <c r="J1266" s="14" t="str">
        <f ca="1">IFERROR(__xludf.DUMMYFUNCTION("""COMPUTED_VALUE"""),"turner, JE")</f>
        <v>turner, JE</v>
      </c>
      <c r="K1266" s="15" t="str">
        <f ca="1">IFERROR(__xludf.DUMMYFUNCTION("""COMPUTED_VALUE"""),"same")</f>
        <v>same</v>
      </c>
      <c r="L1266" s="17" t="str">
        <f ca="1">IFERROR(__xludf.DUMMYFUNCTION("""COMPUTED_VALUE"""),"closed")</f>
        <v>closed</v>
      </c>
      <c r="M1266" s="17" t="str">
        <f ca="1">IFERROR(__xludf.DUMMYFUNCTION("""COMPUTED_VALUE"""),"1st U")</f>
        <v>1st U</v>
      </c>
      <c r="N1266" s="15" t="str">
        <f ca="1">IFERROR(__xludf.DUMMYFUNCTION("""COMPUTED_VALUE"""),"accepted")</f>
        <v>accepted</v>
      </c>
      <c r="O1266" s="18"/>
      <c r="P1266" s="15"/>
      <c r="Q1266" s="15"/>
      <c r="R1266" s="15"/>
      <c r="S1266" s="15"/>
      <c r="T1266" s="15"/>
      <c r="U1266" s="15"/>
      <c r="V1266" s="15"/>
      <c r="W1266" s="15"/>
      <c r="X1266" s="15"/>
      <c r="Y1266" s="15"/>
      <c r="Z1266" s="15"/>
      <c r="AA1266" s="15"/>
      <c r="AB1266" s="15"/>
      <c r="AC1266" s="15"/>
      <c r="AD1266" s="15"/>
      <c r="AE1266" s="15"/>
      <c r="AF1266" s="15"/>
      <c r="AG1266" s="15"/>
      <c r="AH1266" s="15"/>
      <c r="AI1266" s="15"/>
      <c r="AJ1266" s="15"/>
      <c r="AK1266" s="15"/>
      <c r="AL1266" s="15"/>
      <c r="AM1266" s="15"/>
      <c r="AN1266" s="15"/>
      <c r="AO1266" s="15"/>
      <c r="AP1266" s="15"/>
      <c r="AQ1266" s="15"/>
      <c r="AR1266" s="15"/>
      <c r="AS1266" s="15"/>
      <c r="AT1266" s="15"/>
      <c r="AU1266" s="15"/>
      <c r="AV1266" s="15"/>
      <c r="AW1266" s="15"/>
      <c r="AX1266" s="15"/>
      <c r="AY1266" s="15"/>
      <c r="AZ1266" s="15"/>
      <c r="BA1266" s="15"/>
      <c r="BB1266" s="15"/>
      <c r="BC1266" s="15"/>
      <c r="BD1266" s="15"/>
      <c r="BE1266" s="15"/>
      <c r="BF1266" s="15"/>
      <c r="BG1266" s="15"/>
      <c r="BH1266" s="15"/>
      <c r="BI1266" s="15"/>
      <c r="BJ1266" s="15"/>
      <c r="BK1266" s="15"/>
      <c r="BL1266" s="15"/>
      <c r="BM1266" s="15"/>
      <c r="BN1266" s="15"/>
      <c r="BO1266" s="15"/>
      <c r="BP1266" s="15"/>
      <c r="BQ1266" s="15"/>
      <c r="BR1266" s="15"/>
      <c r="BS1266" s="15"/>
      <c r="BT1266" s="15"/>
      <c r="BU1266" s="15"/>
      <c r="BV1266" s="15"/>
      <c r="BW1266" s="15"/>
      <c r="BX1266" s="15"/>
      <c r="BY1266" s="15"/>
      <c r="BZ1266" s="15"/>
      <c r="CA1266" s="15"/>
      <c r="CB1266" s="15"/>
    </row>
    <row r="1267" spans="1:80" ht="12.75" hidden="1" customHeight="1">
      <c r="A1267" s="20">
        <f ca="1">IFERROR(__xludf.DUMMYFUNCTION("""COMPUTED_VALUE"""),2017)</f>
        <v>2017</v>
      </c>
      <c r="B1267" s="45">
        <f ca="1">IFERROR(__xludf.DUMMYFUNCTION("""COMPUTED_VALUE"""),43374)</f>
        <v>43374</v>
      </c>
      <c r="C1267" s="46"/>
      <c r="D1267" s="47" t="str">
        <f ca="1">IFERROR(__xludf.DUMMYFUNCTION("""COMPUTED_VALUE"""),"Stone Curlew")</f>
        <v>Stone Curlew</v>
      </c>
      <c r="E1267" s="52">
        <f ca="1">IFERROR(__xludf.DUMMYFUNCTION("""COMPUTED_VALUE"""),1)</f>
        <v>1</v>
      </c>
      <c r="F1267" s="25"/>
      <c r="G1267" s="48" t="str">
        <f ca="1">IFERROR(__xludf.DUMMYFUNCTION("""COMPUTED_VALUE"""),"Hale Marsh")</f>
        <v>Hale Marsh</v>
      </c>
      <c r="H1267" s="22">
        <f ca="1">IFERROR(__xludf.DUMMYFUNCTION("""COMPUTED_VALUE"""),42941)</f>
        <v>42941</v>
      </c>
      <c r="I1267" s="23"/>
      <c r="J1267" s="24" t="str">
        <f ca="1">IFERROR(__xludf.DUMMYFUNCTION("""COMPUTED_VALUE"""),"Cockbain, R")</f>
        <v>Cockbain, R</v>
      </c>
      <c r="K1267" s="25" t="str">
        <f ca="1">IFERROR(__xludf.DUMMYFUNCTION("""COMPUTED_VALUE"""),"Roberts,M")</f>
        <v>Roberts,M</v>
      </c>
      <c r="L1267" s="27" t="str">
        <f ca="1">IFERROR(__xludf.DUMMYFUNCTION("""COMPUTED_VALUE"""),"closed")</f>
        <v>closed</v>
      </c>
      <c r="M1267" s="27" t="str">
        <f ca="1">IFERROR(__xludf.DUMMYFUNCTION("""COMPUTED_VALUE"""),"1st U")</f>
        <v>1st U</v>
      </c>
      <c r="N1267" s="25" t="str">
        <f ca="1">IFERROR(__xludf.DUMMYFUNCTION("""COMPUTED_VALUE"""),"accepted")</f>
        <v>accepted</v>
      </c>
      <c r="O1267" s="28"/>
      <c r="P1267" s="25"/>
      <c r="Q1267" s="25"/>
      <c r="R1267" s="25"/>
      <c r="S1267" s="25"/>
      <c r="T1267" s="25"/>
      <c r="U1267" s="25"/>
      <c r="V1267" s="25"/>
      <c r="W1267" s="25"/>
      <c r="X1267" s="25"/>
      <c r="Y1267" s="25"/>
      <c r="Z1267" s="25"/>
      <c r="AA1267" s="25"/>
      <c r="AB1267" s="25"/>
      <c r="AC1267" s="25"/>
      <c r="AD1267" s="25"/>
      <c r="AE1267" s="25"/>
      <c r="AF1267" s="25"/>
      <c r="AG1267" s="25"/>
      <c r="AH1267" s="25"/>
      <c r="AI1267" s="25"/>
      <c r="AJ1267" s="25"/>
      <c r="AK1267" s="25"/>
      <c r="AL1267" s="25"/>
      <c r="AM1267" s="25"/>
      <c r="AN1267" s="25"/>
      <c r="AO1267" s="25"/>
      <c r="AP1267" s="25"/>
      <c r="AQ1267" s="25"/>
      <c r="AR1267" s="25"/>
      <c r="AS1267" s="25"/>
      <c r="AT1267" s="25"/>
      <c r="AU1267" s="25"/>
      <c r="AV1267" s="25"/>
      <c r="AW1267" s="25"/>
      <c r="AX1267" s="25"/>
      <c r="AY1267" s="25"/>
      <c r="AZ1267" s="25"/>
      <c r="BA1267" s="25"/>
      <c r="BB1267" s="25"/>
      <c r="BC1267" s="25"/>
      <c r="BD1267" s="25"/>
      <c r="BE1267" s="25"/>
      <c r="BF1267" s="25"/>
      <c r="BG1267" s="25"/>
      <c r="BH1267" s="25"/>
      <c r="BI1267" s="25"/>
      <c r="BJ1267" s="25"/>
      <c r="BK1267" s="25"/>
      <c r="BL1267" s="25"/>
      <c r="BM1267" s="25"/>
      <c r="BN1267" s="25"/>
      <c r="BO1267" s="25"/>
      <c r="BP1267" s="25"/>
      <c r="BQ1267" s="25"/>
      <c r="BR1267" s="25"/>
      <c r="BS1267" s="25"/>
      <c r="BT1267" s="25"/>
      <c r="BU1267" s="25"/>
      <c r="BV1267" s="25"/>
      <c r="BW1267" s="25"/>
      <c r="BX1267" s="25"/>
      <c r="BY1267" s="25"/>
      <c r="BZ1267" s="25"/>
      <c r="CA1267" s="25"/>
      <c r="CB1267" s="25"/>
    </row>
    <row r="1268" spans="1:80" ht="12.75" hidden="1" customHeight="1">
      <c r="A1268" s="10">
        <f ca="1">IFERROR(__xludf.DUMMYFUNCTION("""COMPUTED_VALUE"""),2017)</f>
        <v>2017</v>
      </c>
      <c r="B1268" s="50">
        <f ca="1">IFERROR(__xludf.DUMMYFUNCTION("""COMPUTED_VALUE"""),44572)</f>
        <v>44572</v>
      </c>
      <c r="C1268" s="41"/>
      <c r="D1268" s="42" t="str">
        <f ca="1">IFERROR(__xludf.DUMMYFUNCTION("""COMPUTED_VALUE"""),"Dotterel")</f>
        <v>Dotterel</v>
      </c>
      <c r="E1268" s="53">
        <f ca="1">IFERROR(__xludf.DUMMYFUNCTION("""COMPUTED_VALUE"""),2)</f>
        <v>2</v>
      </c>
      <c r="F1268" s="15"/>
      <c r="G1268" s="44" t="str">
        <f ca="1">IFERROR(__xludf.DUMMYFUNCTION("""COMPUTED_VALUE"""),"Danebower")</f>
        <v>Danebower</v>
      </c>
      <c r="H1268" s="12">
        <f ca="1">IFERROR(__xludf.DUMMYFUNCTION("""COMPUTED_VALUE"""),42860)</f>
        <v>42860</v>
      </c>
      <c r="I1268" s="12">
        <f ca="1">IFERROR(__xludf.DUMMYFUNCTION("""COMPUTED_VALUE"""),42863)</f>
        <v>42863</v>
      </c>
      <c r="J1268" s="14" t="str">
        <f ca="1">IFERROR(__xludf.DUMMYFUNCTION("""COMPUTED_VALUE"""),"Barber, S&amp;G")</f>
        <v>Barber, S&amp;G</v>
      </c>
      <c r="K1268" s="15" t="str">
        <f ca="1">IFERROR(__xludf.DUMMYFUNCTION("""COMPUTED_VALUE"""),"tbd")</f>
        <v>tbd</v>
      </c>
      <c r="L1268" s="17" t="str">
        <f ca="1">IFERROR(__xludf.DUMMYFUNCTION("""COMPUTED_VALUE"""),"closed")</f>
        <v>closed</v>
      </c>
      <c r="M1268" s="17" t="str">
        <f ca="1">IFERROR(__xludf.DUMMYFUNCTION("""COMPUTED_VALUE"""),"photo")</f>
        <v>photo</v>
      </c>
      <c r="N1268" s="15" t="str">
        <f ca="1">IFERROR(__xludf.DUMMYFUNCTION("""COMPUTED_VALUE"""),"accepted ")</f>
        <v xml:space="preserve">accepted </v>
      </c>
      <c r="O1268" s="18"/>
      <c r="P1268" s="15"/>
      <c r="Q1268" s="15"/>
      <c r="R1268" s="15"/>
      <c r="S1268" s="15"/>
      <c r="T1268" s="15"/>
      <c r="U1268" s="15"/>
      <c r="V1268" s="15"/>
      <c r="W1268" s="15"/>
      <c r="X1268" s="15"/>
      <c r="Y1268" s="15"/>
      <c r="Z1268" s="15"/>
      <c r="AA1268" s="15"/>
      <c r="AB1268" s="15"/>
      <c r="AC1268" s="15"/>
      <c r="AD1268" s="15"/>
      <c r="AE1268" s="15"/>
      <c r="AF1268" s="15"/>
      <c r="AG1268" s="15"/>
      <c r="AH1268" s="15"/>
      <c r="AI1268" s="15"/>
      <c r="AJ1268" s="15"/>
      <c r="AK1268" s="15"/>
      <c r="AL1268" s="15"/>
      <c r="AM1268" s="15"/>
      <c r="AN1268" s="15"/>
      <c r="AO1268" s="15"/>
      <c r="AP1268" s="15"/>
      <c r="AQ1268" s="15"/>
      <c r="AR1268" s="15"/>
      <c r="AS1268" s="15"/>
      <c r="AT1268" s="15"/>
      <c r="AU1268" s="15"/>
      <c r="AV1268" s="15"/>
      <c r="AW1268" s="15"/>
      <c r="AX1268" s="15"/>
      <c r="AY1268" s="15"/>
      <c r="AZ1268" s="15"/>
      <c r="BA1268" s="15"/>
      <c r="BB1268" s="15"/>
      <c r="BC1268" s="15"/>
      <c r="BD1268" s="15"/>
      <c r="BE1268" s="15"/>
      <c r="BF1268" s="15"/>
      <c r="BG1268" s="15"/>
      <c r="BH1268" s="15"/>
      <c r="BI1268" s="15"/>
      <c r="BJ1268" s="15"/>
      <c r="BK1268" s="15"/>
      <c r="BL1268" s="15"/>
      <c r="BM1268" s="15"/>
      <c r="BN1268" s="15"/>
      <c r="BO1268" s="15"/>
      <c r="BP1268" s="15"/>
      <c r="BQ1268" s="15"/>
      <c r="BR1268" s="15"/>
      <c r="BS1268" s="15"/>
      <c r="BT1268" s="15"/>
      <c r="BU1268" s="15"/>
      <c r="BV1268" s="15"/>
      <c r="BW1268" s="15"/>
      <c r="BX1268" s="15"/>
      <c r="BY1268" s="15"/>
      <c r="BZ1268" s="15"/>
      <c r="CA1268" s="15"/>
      <c r="CB1268" s="15"/>
    </row>
    <row r="1269" spans="1:80" ht="12.75" hidden="1" customHeight="1">
      <c r="A1269" s="20">
        <f ca="1">IFERROR(__xludf.DUMMYFUNCTION("""COMPUTED_VALUE"""),2017)</f>
        <v>2017</v>
      </c>
      <c r="B1269" s="45">
        <f ca="1">IFERROR(__xludf.DUMMYFUNCTION("""COMPUTED_VALUE"""),44568)</f>
        <v>44568</v>
      </c>
      <c r="C1269" s="46"/>
      <c r="D1269" s="47" t="str">
        <f ca="1">IFERROR(__xludf.DUMMYFUNCTION("""COMPUTED_VALUE"""),"Broad-billed Sandpiper")</f>
        <v>Broad-billed Sandpiper</v>
      </c>
      <c r="E1269" s="52"/>
      <c r="F1269" s="25"/>
      <c r="G1269" s="48" t="str">
        <f ca="1">IFERROR(__xludf.DUMMYFUNCTION("""COMPUTED_VALUE"""),"Hale Shore")</f>
        <v>Hale Shore</v>
      </c>
      <c r="H1269" s="22">
        <f ca="1">IFERROR(__xludf.DUMMYFUNCTION("""COMPUTED_VALUE"""),42867)</f>
        <v>42867</v>
      </c>
      <c r="I1269" s="22">
        <f ca="1">IFERROR(__xludf.DUMMYFUNCTION("""COMPUTED_VALUE"""),42870)</f>
        <v>42870</v>
      </c>
      <c r="J1269" s="24"/>
      <c r="K1269" s="25"/>
      <c r="L1269" s="27" t="str">
        <f ca="1">IFERROR(__xludf.DUMMYFUNCTION("""COMPUTED_VALUE"""),"closed")</f>
        <v>closed</v>
      </c>
      <c r="M1269" s="27"/>
      <c r="N1269" s="25" t="str">
        <f ca="1">IFERROR(__xludf.DUMMYFUNCTION("""COMPUTED_VALUE"""),"BBRC-OK")</f>
        <v>BBRC-OK</v>
      </c>
      <c r="O1269" s="28" t="str">
        <f ca="1">IFERROR(__xludf.DUMMYFUNCTION("""COMPUTED_VALUE"""),"Meols, Hoylake, 15th to 20th May, photo.")</f>
        <v>Meols, Hoylake, 15th to 20th May, photo.</v>
      </c>
      <c r="P1269" s="25"/>
      <c r="Q1269" s="25"/>
      <c r="R1269" s="25"/>
      <c r="S1269" s="25"/>
      <c r="T1269" s="25"/>
      <c r="U1269" s="25"/>
      <c r="V1269" s="25"/>
      <c r="W1269" s="25"/>
      <c r="X1269" s="25"/>
      <c r="Y1269" s="25"/>
      <c r="Z1269" s="25"/>
      <c r="AA1269" s="25"/>
      <c r="AB1269" s="25"/>
      <c r="AC1269" s="25"/>
      <c r="AD1269" s="25"/>
      <c r="AE1269" s="25"/>
      <c r="AF1269" s="25"/>
      <c r="AG1269" s="25"/>
      <c r="AH1269" s="25"/>
      <c r="AI1269" s="25"/>
      <c r="AJ1269" s="25"/>
      <c r="AK1269" s="25"/>
      <c r="AL1269" s="25"/>
      <c r="AM1269" s="25"/>
      <c r="AN1269" s="25"/>
      <c r="AO1269" s="25"/>
      <c r="AP1269" s="25"/>
      <c r="AQ1269" s="25"/>
      <c r="AR1269" s="25"/>
      <c r="AS1269" s="25"/>
      <c r="AT1269" s="25"/>
      <c r="AU1269" s="25"/>
      <c r="AV1269" s="25"/>
      <c r="AW1269" s="25"/>
      <c r="AX1269" s="25"/>
      <c r="AY1269" s="25"/>
      <c r="AZ1269" s="25"/>
      <c r="BA1269" s="25"/>
      <c r="BB1269" s="25"/>
      <c r="BC1269" s="25"/>
      <c r="BD1269" s="25"/>
      <c r="BE1269" s="25"/>
      <c r="BF1269" s="25"/>
      <c r="BG1269" s="25"/>
      <c r="BH1269" s="25"/>
      <c r="BI1269" s="25"/>
      <c r="BJ1269" s="25"/>
      <c r="BK1269" s="25"/>
      <c r="BL1269" s="25"/>
      <c r="BM1269" s="25"/>
      <c r="BN1269" s="25"/>
      <c r="BO1269" s="25"/>
      <c r="BP1269" s="25"/>
      <c r="BQ1269" s="25"/>
      <c r="BR1269" s="25"/>
      <c r="BS1269" s="25"/>
      <c r="BT1269" s="25"/>
      <c r="BU1269" s="25"/>
      <c r="BV1269" s="25"/>
      <c r="BW1269" s="25"/>
      <c r="BX1269" s="25"/>
      <c r="BY1269" s="25"/>
      <c r="BZ1269" s="25"/>
      <c r="CA1269" s="25"/>
      <c r="CB1269" s="25"/>
    </row>
    <row r="1270" spans="1:80" ht="12.75" hidden="1" customHeight="1">
      <c r="A1270" s="10">
        <f ca="1">IFERROR(__xludf.DUMMYFUNCTION("""COMPUTED_VALUE"""),2017)</f>
        <v>2017</v>
      </c>
      <c r="B1270" s="50">
        <f ca="1">IFERROR(__xludf.DUMMYFUNCTION("""COMPUTED_VALUE"""),43374)</f>
        <v>43374</v>
      </c>
      <c r="C1270" s="41"/>
      <c r="D1270" s="42" t="str">
        <f ca="1">IFERROR(__xludf.DUMMYFUNCTION("""COMPUTED_VALUE"""),"Buff-breasted Sandpiper")</f>
        <v>Buff-breasted Sandpiper</v>
      </c>
      <c r="E1270" s="53">
        <f ca="1">IFERROR(__xludf.DUMMYFUNCTION("""COMPUTED_VALUE"""),1)</f>
        <v>1</v>
      </c>
      <c r="F1270" s="15" t="str">
        <f ca="1">IFERROR(__xludf.DUMMYFUNCTION("""COMPUTED_VALUE"""),"ad")</f>
        <v>ad</v>
      </c>
      <c r="G1270" s="44" t="str">
        <f ca="1">IFERROR(__xludf.DUMMYFUNCTION("""COMPUTED_VALUE"""),"Burton Mere Wetlands RSPB")</f>
        <v>Burton Mere Wetlands RSPB</v>
      </c>
      <c r="H1270" s="12">
        <f ca="1">IFERROR(__xludf.DUMMYFUNCTION("""COMPUTED_VALUE"""),42874)</f>
        <v>42874</v>
      </c>
      <c r="I1270" s="12">
        <f ca="1">IFERROR(__xludf.DUMMYFUNCTION("""COMPUTED_VALUE"""),42876)</f>
        <v>42876</v>
      </c>
      <c r="J1270" s="14" t="str">
        <f ca="1">IFERROR(__xludf.DUMMYFUNCTION("""COMPUTED_VALUE"""),"Wells, CE")</f>
        <v>Wells, CE</v>
      </c>
      <c r="K1270" s="15" t="str">
        <f ca="1">IFERROR(__xludf.DUMMYFUNCTION("""COMPUTED_VALUE"""),"Wells, C")</f>
        <v>Wells, C</v>
      </c>
      <c r="L1270" s="17" t="str">
        <f ca="1">IFERROR(__xludf.DUMMYFUNCTION("""COMPUTED_VALUE"""),"closed")</f>
        <v>closed</v>
      </c>
      <c r="M1270" s="17" t="str">
        <f ca="1">IFERROR(__xludf.DUMMYFUNCTION("""COMPUTED_VALUE"""),"1st U")</f>
        <v>1st U</v>
      </c>
      <c r="N1270" s="15" t="str">
        <f ca="1">IFERROR(__xludf.DUMMYFUNCTION("""COMPUTED_VALUE"""),"accepted")</f>
        <v>accepted</v>
      </c>
      <c r="O1270" s="18"/>
      <c r="P1270" s="15"/>
      <c r="Q1270" s="15"/>
      <c r="R1270" s="15"/>
      <c r="S1270" s="15"/>
      <c r="T1270" s="15"/>
      <c r="U1270" s="15"/>
      <c r="V1270" s="15"/>
      <c r="W1270" s="15"/>
      <c r="X1270" s="15"/>
      <c r="Y1270" s="15"/>
      <c r="Z1270" s="15"/>
      <c r="AA1270" s="15"/>
      <c r="AB1270" s="15"/>
      <c r="AC1270" s="15"/>
      <c r="AD1270" s="15"/>
      <c r="AE1270" s="15"/>
      <c r="AF1270" s="15"/>
      <c r="AG1270" s="15"/>
      <c r="AH1270" s="15"/>
      <c r="AI1270" s="15"/>
      <c r="AJ1270" s="15"/>
      <c r="AK1270" s="15"/>
      <c r="AL1270" s="15"/>
      <c r="AM1270" s="15"/>
      <c r="AN1270" s="15"/>
      <c r="AO1270" s="15"/>
      <c r="AP1270" s="15"/>
      <c r="AQ1270" s="15"/>
      <c r="AR1270" s="15"/>
      <c r="AS1270" s="15"/>
      <c r="AT1270" s="15"/>
      <c r="AU1270" s="15"/>
      <c r="AV1270" s="15"/>
      <c r="AW1270" s="15"/>
      <c r="AX1270" s="15"/>
      <c r="AY1270" s="15"/>
      <c r="AZ1270" s="15"/>
      <c r="BA1270" s="15"/>
      <c r="BB1270" s="15"/>
      <c r="BC1270" s="15"/>
      <c r="BD1270" s="15"/>
      <c r="BE1270" s="15"/>
      <c r="BF1270" s="15"/>
      <c r="BG1270" s="15"/>
      <c r="BH1270" s="15"/>
      <c r="BI1270" s="15"/>
      <c r="BJ1270" s="15"/>
      <c r="BK1270" s="15"/>
      <c r="BL1270" s="15"/>
      <c r="BM1270" s="15"/>
      <c r="BN1270" s="15"/>
      <c r="BO1270" s="15"/>
      <c r="BP1270" s="15"/>
      <c r="BQ1270" s="15"/>
      <c r="BR1270" s="15"/>
      <c r="BS1270" s="15"/>
      <c r="BT1270" s="15"/>
      <c r="BU1270" s="15"/>
      <c r="BV1270" s="15"/>
      <c r="BW1270" s="15"/>
      <c r="BX1270" s="15"/>
      <c r="BY1270" s="15"/>
      <c r="BZ1270" s="15"/>
      <c r="CA1270" s="15"/>
      <c r="CB1270" s="15"/>
    </row>
    <row r="1271" spans="1:80" ht="12.75" hidden="1" customHeight="1">
      <c r="A1271" s="20">
        <f ca="1">IFERROR(__xludf.DUMMYFUNCTION("""COMPUTED_VALUE"""),2017)</f>
        <v>2017</v>
      </c>
      <c r="B1271" s="45">
        <f ca="1">IFERROR(__xludf.DUMMYFUNCTION("""COMPUTED_VALUE"""),43374)</f>
        <v>43374</v>
      </c>
      <c r="C1271" s="46"/>
      <c r="D1271" s="47" t="str">
        <f ca="1">IFERROR(__xludf.DUMMYFUNCTION("""COMPUTED_VALUE"""),"Pectoral Sandpiper")</f>
        <v>Pectoral Sandpiper</v>
      </c>
      <c r="E1271" s="52">
        <f ca="1">IFERROR(__xludf.DUMMYFUNCTION("""COMPUTED_VALUE"""),1)</f>
        <v>1</v>
      </c>
      <c r="F1271" s="25"/>
      <c r="G1271" s="48" t="str">
        <f ca="1">IFERROR(__xludf.DUMMYFUNCTION("""COMPUTED_VALUE"""),"Burton Mere Wetlands RSPB")</f>
        <v>Burton Mere Wetlands RSPB</v>
      </c>
      <c r="H1271" s="22">
        <f ca="1">IFERROR(__xludf.DUMMYFUNCTION("""COMPUTED_VALUE"""),42976)</f>
        <v>42976</v>
      </c>
      <c r="I1271" s="22">
        <f ca="1">IFERROR(__xludf.DUMMYFUNCTION("""COMPUTED_VALUE"""),42984)</f>
        <v>42984</v>
      </c>
      <c r="J1271" s="24" t="str">
        <f ca="1">IFERROR(__xludf.DUMMYFUNCTION("""COMPUTED_VALUE"""),"Adderley,R")</f>
        <v>Adderley,R</v>
      </c>
      <c r="K1271" s="25" t="str">
        <f ca="1">IFERROR(__xludf.DUMMYFUNCTION("""COMPUTED_VALUE"""),"Adderley,R")</f>
        <v>Adderley,R</v>
      </c>
      <c r="L1271" s="27" t="str">
        <f ca="1">IFERROR(__xludf.DUMMYFUNCTION("""COMPUTED_VALUE"""),"closed")</f>
        <v>closed</v>
      </c>
      <c r="M1271" s="27" t="str">
        <f ca="1">IFERROR(__xludf.DUMMYFUNCTION("""COMPUTED_VALUE"""),"1st U")</f>
        <v>1st U</v>
      </c>
      <c r="N1271" s="25" t="str">
        <f ca="1">IFERROR(__xludf.DUMMYFUNCTION("""COMPUTED_VALUE"""),"accepted")</f>
        <v>accepted</v>
      </c>
      <c r="O1271" s="28"/>
      <c r="P1271" s="25"/>
      <c r="Q1271" s="25"/>
      <c r="R1271" s="25"/>
      <c r="S1271" s="25"/>
      <c r="T1271" s="25"/>
      <c r="U1271" s="25"/>
      <c r="V1271" s="25"/>
      <c r="W1271" s="25"/>
      <c r="X1271" s="25"/>
      <c r="Y1271" s="25"/>
      <c r="Z1271" s="25"/>
      <c r="AA1271" s="25"/>
      <c r="AB1271" s="25"/>
      <c r="AC1271" s="25"/>
      <c r="AD1271" s="25"/>
      <c r="AE1271" s="25"/>
      <c r="AF1271" s="25"/>
      <c r="AG1271" s="25"/>
      <c r="AH1271" s="25"/>
      <c r="AI1271" s="25"/>
      <c r="AJ1271" s="25"/>
      <c r="AK1271" s="25"/>
      <c r="AL1271" s="25"/>
      <c r="AM1271" s="25"/>
      <c r="AN1271" s="25"/>
      <c r="AO1271" s="25"/>
      <c r="AP1271" s="25"/>
      <c r="AQ1271" s="25"/>
      <c r="AR1271" s="25"/>
      <c r="AS1271" s="25"/>
      <c r="AT1271" s="25"/>
      <c r="AU1271" s="25"/>
      <c r="AV1271" s="25"/>
      <c r="AW1271" s="25"/>
      <c r="AX1271" s="25"/>
      <c r="AY1271" s="25"/>
      <c r="AZ1271" s="25"/>
      <c r="BA1271" s="25"/>
      <c r="BB1271" s="25"/>
      <c r="BC1271" s="25"/>
      <c r="BD1271" s="25"/>
      <c r="BE1271" s="25"/>
      <c r="BF1271" s="25"/>
      <c r="BG1271" s="25"/>
      <c r="BH1271" s="25"/>
      <c r="BI1271" s="25"/>
      <c r="BJ1271" s="25"/>
      <c r="BK1271" s="25"/>
      <c r="BL1271" s="25"/>
      <c r="BM1271" s="25"/>
      <c r="BN1271" s="25"/>
      <c r="BO1271" s="25"/>
      <c r="BP1271" s="25"/>
      <c r="BQ1271" s="25"/>
      <c r="BR1271" s="25"/>
      <c r="BS1271" s="25"/>
      <c r="BT1271" s="25"/>
      <c r="BU1271" s="25"/>
      <c r="BV1271" s="25"/>
      <c r="BW1271" s="25"/>
      <c r="BX1271" s="25"/>
      <c r="BY1271" s="25"/>
      <c r="BZ1271" s="25"/>
      <c r="CA1271" s="25"/>
      <c r="CB1271" s="25"/>
    </row>
    <row r="1272" spans="1:80" ht="12.75" hidden="1" customHeight="1">
      <c r="A1272" s="10">
        <f ca="1">IFERROR(__xludf.DUMMYFUNCTION("""COMPUTED_VALUE"""),2017)</f>
        <v>2017</v>
      </c>
      <c r="B1272" s="50">
        <f ca="1">IFERROR(__xludf.DUMMYFUNCTION("""COMPUTED_VALUE"""),43538)</f>
        <v>43538</v>
      </c>
      <c r="C1272" s="41"/>
      <c r="D1272" s="42" t="str">
        <f ca="1">IFERROR(__xludf.DUMMYFUNCTION("""COMPUTED_VALUE"""),"Red-necked Phalarope")</f>
        <v>Red-necked Phalarope</v>
      </c>
      <c r="E1272" s="53">
        <f ca="1">IFERROR(__xludf.DUMMYFUNCTION("""COMPUTED_VALUE"""),1)</f>
        <v>1</v>
      </c>
      <c r="F1272" s="15"/>
      <c r="G1272" s="44" t="str">
        <f ca="1">IFERROR(__xludf.DUMMYFUNCTION("""COMPUTED_VALUE"""),"Frodsham Marsh")</f>
        <v>Frodsham Marsh</v>
      </c>
      <c r="H1272" s="12">
        <f ca="1">IFERROR(__xludf.DUMMYFUNCTION("""COMPUTED_VALUE"""),42990)</f>
        <v>42990</v>
      </c>
      <c r="I1272" s="12">
        <f ca="1">IFERROR(__xludf.DUMMYFUNCTION("""COMPUTED_VALUE"""),42993)</f>
        <v>42993</v>
      </c>
      <c r="J1272" s="14" t="str">
        <f ca="1">IFERROR(__xludf.DUMMYFUNCTION("""COMPUTED_VALUE"""),"County Recorder")</f>
        <v>County Recorder</v>
      </c>
      <c r="K1272" s="15"/>
      <c r="L1272" s="17" t="str">
        <f ca="1">IFERROR(__xludf.DUMMYFUNCTION("""COMPUTED_VALUE"""),"closed")</f>
        <v>closed</v>
      </c>
      <c r="M1272" s="17" t="str">
        <f ca="1">IFERROR(__xludf.DUMMYFUNCTION("""COMPUTED_VALUE"""),"photo")</f>
        <v>photo</v>
      </c>
      <c r="N1272" s="15" t="str">
        <f ca="1">IFERROR(__xludf.DUMMYFUNCTION("""COMPUTED_VALUE"""),"Accepted w/o circ")</f>
        <v>Accepted w/o circ</v>
      </c>
      <c r="O1272" s="18"/>
      <c r="P1272" s="15"/>
      <c r="Q1272" s="15"/>
      <c r="R1272" s="15"/>
      <c r="S1272" s="15"/>
      <c r="T1272" s="15"/>
      <c r="U1272" s="15"/>
      <c r="V1272" s="15"/>
      <c r="W1272" s="15"/>
      <c r="X1272" s="15"/>
      <c r="Y1272" s="15"/>
      <c r="Z1272" s="15"/>
      <c r="AA1272" s="15"/>
      <c r="AB1272" s="15"/>
      <c r="AC1272" s="15"/>
      <c r="AD1272" s="15"/>
      <c r="AE1272" s="15"/>
      <c r="AF1272" s="15"/>
      <c r="AG1272" s="15"/>
      <c r="AH1272" s="15"/>
      <c r="AI1272" s="15"/>
      <c r="AJ1272" s="15"/>
      <c r="AK1272" s="15"/>
      <c r="AL1272" s="15"/>
      <c r="AM1272" s="15"/>
      <c r="AN1272" s="15"/>
      <c r="AO1272" s="15"/>
      <c r="AP1272" s="15"/>
      <c r="AQ1272" s="15"/>
      <c r="AR1272" s="15"/>
      <c r="AS1272" s="15"/>
      <c r="AT1272" s="15"/>
      <c r="AU1272" s="15"/>
      <c r="AV1272" s="15"/>
      <c r="AW1272" s="15"/>
      <c r="AX1272" s="15"/>
      <c r="AY1272" s="15"/>
      <c r="AZ1272" s="15"/>
      <c r="BA1272" s="15"/>
      <c r="BB1272" s="15"/>
      <c r="BC1272" s="15"/>
      <c r="BD1272" s="15"/>
      <c r="BE1272" s="15"/>
      <c r="BF1272" s="15"/>
      <c r="BG1272" s="15"/>
      <c r="BH1272" s="15"/>
      <c r="BI1272" s="15"/>
      <c r="BJ1272" s="15"/>
      <c r="BK1272" s="15"/>
      <c r="BL1272" s="15"/>
      <c r="BM1272" s="15"/>
      <c r="BN1272" s="15"/>
      <c r="BO1272" s="15"/>
      <c r="BP1272" s="15"/>
      <c r="BQ1272" s="15"/>
      <c r="BR1272" s="15"/>
      <c r="BS1272" s="15"/>
      <c r="BT1272" s="15"/>
      <c r="BU1272" s="15"/>
      <c r="BV1272" s="15"/>
      <c r="BW1272" s="15"/>
      <c r="BX1272" s="15"/>
      <c r="BY1272" s="15"/>
      <c r="BZ1272" s="15"/>
      <c r="CA1272" s="15"/>
      <c r="CB1272" s="15"/>
    </row>
    <row r="1273" spans="1:80" ht="12.75" hidden="1" customHeight="1">
      <c r="A1273" s="20">
        <f ca="1">IFERROR(__xludf.DUMMYFUNCTION("""COMPUTED_VALUE"""),2017)</f>
        <v>2017</v>
      </c>
      <c r="B1273" s="45">
        <f ca="1">IFERROR(__xludf.DUMMYFUNCTION("""COMPUTED_VALUE"""),43538)</f>
        <v>43538</v>
      </c>
      <c r="C1273" s="46"/>
      <c r="D1273" s="47" t="str">
        <f ca="1">IFERROR(__xludf.DUMMYFUNCTION("""COMPUTED_VALUE"""),"Grey Phalarope")</f>
        <v>Grey Phalarope</v>
      </c>
      <c r="E1273" s="52">
        <f ca="1">IFERROR(__xludf.DUMMYFUNCTION("""COMPUTED_VALUE"""),43497)</f>
        <v>43497</v>
      </c>
      <c r="F1273" s="25" t="str">
        <f ca="1">IFERROR(__xludf.DUMMYFUNCTION("""COMPUTED_VALUE"""),"1st w")</f>
        <v>1st w</v>
      </c>
      <c r="G1273" s="48" t="str">
        <f ca="1">IFERROR(__xludf.DUMMYFUNCTION("""COMPUTED_VALUE"""),"New Brighton")</f>
        <v>New Brighton</v>
      </c>
      <c r="H1273" s="22">
        <f ca="1">IFERROR(__xludf.DUMMYFUNCTION("""COMPUTED_VALUE"""),42989)</f>
        <v>42989</v>
      </c>
      <c r="I1273" s="22">
        <f ca="1">IFERROR(__xludf.DUMMYFUNCTION("""COMPUTED_VALUE"""),42992)</f>
        <v>42992</v>
      </c>
      <c r="J1273" s="24" t="str">
        <f ca="1">IFERROR(__xludf.DUMMYFUNCTION("""COMPUTED_VALUE"""),"online photo no formal submission")</f>
        <v>online photo no formal submission</v>
      </c>
      <c r="K1273" s="25"/>
      <c r="L1273" s="27" t="str">
        <f ca="1">IFERROR(__xludf.DUMMYFUNCTION("""COMPUTED_VALUE"""),"closed")</f>
        <v>closed</v>
      </c>
      <c r="M1273" s="27"/>
      <c r="N1273" s="25" t="str">
        <f ca="1">IFERROR(__xludf.DUMMYFUNCTION("""COMPUTED_VALUE"""),"accepted")</f>
        <v>accepted</v>
      </c>
      <c r="O1273" s="28"/>
      <c r="P1273" s="25"/>
      <c r="Q1273" s="25"/>
      <c r="R1273" s="25"/>
      <c r="S1273" s="25"/>
      <c r="T1273" s="25"/>
      <c r="U1273" s="25"/>
      <c r="V1273" s="25"/>
      <c r="W1273" s="25"/>
      <c r="X1273" s="25"/>
      <c r="Y1273" s="25"/>
      <c r="Z1273" s="25"/>
      <c r="AA1273" s="25"/>
      <c r="AB1273" s="25"/>
      <c r="AC1273" s="25"/>
      <c r="AD1273" s="25"/>
      <c r="AE1273" s="25"/>
      <c r="AF1273" s="25"/>
      <c r="AG1273" s="25"/>
      <c r="AH1273" s="25"/>
      <c r="AI1273" s="25"/>
      <c r="AJ1273" s="25"/>
      <c r="AK1273" s="25"/>
      <c r="AL1273" s="25"/>
      <c r="AM1273" s="25"/>
      <c r="AN1273" s="25"/>
      <c r="AO1273" s="25"/>
      <c r="AP1273" s="25"/>
      <c r="AQ1273" s="25"/>
      <c r="AR1273" s="25"/>
      <c r="AS1273" s="25"/>
      <c r="AT1273" s="25"/>
      <c r="AU1273" s="25"/>
      <c r="AV1273" s="25"/>
      <c r="AW1273" s="25"/>
      <c r="AX1273" s="25"/>
      <c r="AY1273" s="25"/>
      <c r="AZ1273" s="25"/>
      <c r="BA1273" s="25"/>
      <c r="BB1273" s="25"/>
      <c r="BC1273" s="25"/>
      <c r="BD1273" s="25"/>
      <c r="BE1273" s="25"/>
      <c r="BF1273" s="25"/>
      <c r="BG1273" s="25"/>
      <c r="BH1273" s="25"/>
      <c r="BI1273" s="25"/>
      <c r="BJ1273" s="25"/>
      <c r="BK1273" s="25"/>
      <c r="BL1273" s="25"/>
      <c r="BM1273" s="25"/>
      <c r="BN1273" s="25"/>
      <c r="BO1273" s="25"/>
      <c r="BP1273" s="25"/>
      <c r="BQ1273" s="25"/>
      <c r="BR1273" s="25"/>
      <c r="BS1273" s="25"/>
      <c r="BT1273" s="25"/>
      <c r="BU1273" s="25"/>
      <c r="BV1273" s="25"/>
      <c r="BW1273" s="25"/>
      <c r="BX1273" s="25"/>
      <c r="BY1273" s="25"/>
      <c r="BZ1273" s="25"/>
      <c r="CA1273" s="25"/>
      <c r="CB1273" s="25"/>
    </row>
    <row r="1274" spans="1:80" ht="12.75" hidden="1" customHeight="1">
      <c r="A1274" s="10">
        <f ca="1">IFERROR(__xludf.DUMMYFUNCTION("""COMPUTED_VALUE"""),2017)</f>
        <v>2017</v>
      </c>
      <c r="B1274" s="50">
        <f ca="1">IFERROR(__xludf.DUMMYFUNCTION("""COMPUTED_VALUE"""),43645)</f>
        <v>43645</v>
      </c>
      <c r="C1274" s="41"/>
      <c r="D1274" s="42" t="str">
        <f ca="1">IFERROR(__xludf.DUMMYFUNCTION("""COMPUTED_VALUE"""),"Grey Phalarope")</f>
        <v>Grey Phalarope</v>
      </c>
      <c r="E1274" s="53">
        <f ca="1">IFERROR(__xludf.DUMMYFUNCTION("""COMPUTED_VALUE"""),1)</f>
        <v>1</v>
      </c>
      <c r="F1274" s="15"/>
      <c r="G1274" s="44" t="str">
        <f ca="1">IFERROR(__xludf.DUMMYFUNCTION("""COMPUTED_VALUE"""),"Hoylake")</f>
        <v>Hoylake</v>
      </c>
      <c r="H1274" s="12">
        <f ca="1">IFERROR(__xludf.DUMMYFUNCTION("""COMPUTED_VALUE"""),42991)</f>
        <v>42991</v>
      </c>
      <c r="I1274" s="13"/>
      <c r="J1274" s="14" t="str">
        <f ca="1">IFERROR(__xludf.DUMMYFUNCTION("""COMPUTED_VALUE"""),"turner, JE")</f>
        <v>turner, JE</v>
      </c>
      <c r="K1274" s="15"/>
      <c r="L1274" s="17" t="str">
        <f ca="1">IFERROR(__xludf.DUMMYFUNCTION("""COMPUTED_VALUE"""),"closed")</f>
        <v>closed</v>
      </c>
      <c r="M1274" s="17" t="str">
        <f ca="1">IFERROR(__xludf.DUMMYFUNCTION("""COMPUTED_VALUE"""),"1st U")</f>
        <v>1st U</v>
      </c>
      <c r="N1274" s="15" t="str">
        <f ca="1">IFERROR(__xludf.DUMMYFUNCTION("""COMPUTED_VALUE"""),"Accepted")</f>
        <v>Accepted</v>
      </c>
      <c r="O1274" s="18"/>
      <c r="P1274" s="15"/>
      <c r="Q1274" s="15"/>
      <c r="R1274" s="15"/>
      <c r="S1274" s="15"/>
      <c r="T1274" s="15"/>
      <c r="U1274" s="15"/>
      <c r="V1274" s="15"/>
      <c r="W1274" s="15"/>
      <c r="X1274" s="15"/>
      <c r="Y1274" s="15"/>
      <c r="Z1274" s="15"/>
      <c r="AA1274" s="15"/>
      <c r="AB1274" s="15"/>
      <c r="AC1274" s="15"/>
      <c r="AD1274" s="15"/>
      <c r="AE1274" s="15"/>
      <c r="AF1274" s="15"/>
      <c r="AG1274" s="15"/>
      <c r="AH1274" s="15"/>
      <c r="AI1274" s="15"/>
      <c r="AJ1274" s="15"/>
      <c r="AK1274" s="15"/>
      <c r="AL1274" s="15"/>
      <c r="AM1274" s="15"/>
      <c r="AN1274" s="15"/>
      <c r="AO1274" s="15"/>
      <c r="AP1274" s="15"/>
      <c r="AQ1274" s="15"/>
      <c r="AR1274" s="15"/>
      <c r="AS1274" s="15"/>
      <c r="AT1274" s="15"/>
      <c r="AU1274" s="15"/>
      <c r="AV1274" s="15"/>
      <c r="AW1274" s="15"/>
      <c r="AX1274" s="15"/>
      <c r="AY1274" s="15"/>
      <c r="AZ1274" s="15"/>
      <c r="BA1274" s="15"/>
      <c r="BB1274" s="15"/>
      <c r="BC1274" s="15"/>
      <c r="BD1274" s="15"/>
      <c r="BE1274" s="15"/>
      <c r="BF1274" s="15"/>
      <c r="BG1274" s="15"/>
      <c r="BH1274" s="15"/>
      <c r="BI1274" s="15"/>
      <c r="BJ1274" s="15"/>
      <c r="BK1274" s="15"/>
      <c r="BL1274" s="15"/>
      <c r="BM1274" s="15"/>
      <c r="BN1274" s="15"/>
      <c r="BO1274" s="15"/>
      <c r="BP1274" s="15"/>
      <c r="BQ1274" s="15"/>
      <c r="BR1274" s="15"/>
      <c r="BS1274" s="15"/>
      <c r="BT1274" s="15"/>
      <c r="BU1274" s="15"/>
      <c r="BV1274" s="15"/>
      <c r="BW1274" s="15"/>
      <c r="BX1274" s="15"/>
      <c r="BY1274" s="15"/>
      <c r="BZ1274" s="15"/>
      <c r="CA1274" s="15"/>
      <c r="CB1274" s="15"/>
    </row>
    <row r="1275" spans="1:80" ht="12.75" hidden="1" customHeight="1">
      <c r="A1275" s="20">
        <f ca="1">IFERROR(__xludf.DUMMYFUNCTION("""COMPUTED_VALUE"""),2017)</f>
        <v>2017</v>
      </c>
      <c r="B1275" s="45">
        <f ca="1">IFERROR(__xludf.DUMMYFUNCTION("""COMPUTED_VALUE"""),43538)</f>
        <v>43538</v>
      </c>
      <c r="C1275" s="46"/>
      <c r="D1275" s="47" t="str">
        <f ca="1">IFERROR(__xludf.DUMMYFUNCTION("""COMPUTED_VALUE"""),"Grey Phalarope")</f>
        <v>Grey Phalarope</v>
      </c>
      <c r="E1275" s="52">
        <f ca="1">IFERROR(__xludf.DUMMYFUNCTION("""COMPUTED_VALUE"""),3)</f>
        <v>3</v>
      </c>
      <c r="F1275" s="25"/>
      <c r="G1275" s="48" t="str">
        <f ca="1">IFERROR(__xludf.DUMMYFUNCTION("""COMPUTED_VALUE"""),"Hoylake")</f>
        <v>Hoylake</v>
      </c>
      <c r="H1275" s="22">
        <f ca="1">IFERROR(__xludf.DUMMYFUNCTION("""COMPUTED_VALUE"""),42992)</f>
        <v>42992</v>
      </c>
      <c r="I1275" s="23"/>
      <c r="J1275" s="24" t="str">
        <f ca="1">IFERROR(__xludf.DUMMYFUNCTION("""COMPUTED_VALUE"""),"turner, JE")</f>
        <v>turner, JE</v>
      </c>
      <c r="K1275" s="25"/>
      <c r="L1275" s="27" t="str">
        <f ca="1">IFERROR(__xludf.DUMMYFUNCTION("""COMPUTED_VALUE"""),"closed")</f>
        <v>closed</v>
      </c>
      <c r="M1275" s="27" t="str">
        <f ca="1">IFERROR(__xludf.DUMMYFUNCTION("""COMPUTED_VALUE"""),"1st U")</f>
        <v>1st U</v>
      </c>
      <c r="N1275" s="25" t="str">
        <f ca="1">IFERROR(__xludf.DUMMYFUNCTION("""COMPUTED_VALUE"""),"Accepted")</f>
        <v>Accepted</v>
      </c>
      <c r="O1275" s="28"/>
      <c r="P1275" s="25"/>
      <c r="Q1275" s="25"/>
      <c r="R1275" s="25"/>
      <c r="S1275" s="25"/>
      <c r="T1275" s="25"/>
      <c r="U1275" s="25"/>
      <c r="V1275" s="25"/>
      <c r="W1275" s="25"/>
      <c r="X1275" s="25"/>
      <c r="Y1275" s="25"/>
      <c r="Z1275" s="25"/>
      <c r="AA1275" s="25"/>
      <c r="AB1275" s="25"/>
      <c r="AC1275" s="25"/>
      <c r="AD1275" s="25"/>
      <c r="AE1275" s="25"/>
      <c r="AF1275" s="25"/>
      <c r="AG1275" s="25"/>
      <c r="AH1275" s="25"/>
      <c r="AI1275" s="25"/>
      <c r="AJ1275" s="25"/>
      <c r="AK1275" s="25"/>
      <c r="AL1275" s="25"/>
      <c r="AM1275" s="25"/>
      <c r="AN1275" s="25"/>
      <c r="AO1275" s="25"/>
      <c r="AP1275" s="25"/>
      <c r="AQ1275" s="25"/>
      <c r="AR1275" s="25"/>
      <c r="AS1275" s="25"/>
      <c r="AT1275" s="25"/>
      <c r="AU1275" s="25"/>
      <c r="AV1275" s="25"/>
      <c r="AW1275" s="25"/>
      <c r="AX1275" s="25"/>
      <c r="AY1275" s="25"/>
      <c r="AZ1275" s="25"/>
      <c r="BA1275" s="25"/>
      <c r="BB1275" s="25"/>
      <c r="BC1275" s="25"/>
      <c r="BD1275" s="25"/>
      <c r="BE1275" s="25"/>
      <c r="BF1275" s="25"/>
      <c r="BG1275" s="25"/>
      <c r="BH1275" s="25"/>
      <c r="BI1275" s="25"/>
      <c r="BJ1275" s="25"/>
      <c r="BK1275" s="25"/>
      <c r="BL1275" s="25"/>
      <c r="BM1275" s="25"/>
      <c r="BN1275" s="25"/>
      <c r="BO1275" s="25"/>
      <c r="BP1275" s="25"/>
      <c r="BQ1275" s="25"/>
      <c r="BR1275" s="25"/>
      <c r="BS1275" s="25"/>
      <c r="BT1275" s="25"/>
      <c r="BU1275" s="25"/>
      <c r="BV1275" s="25"/>
      <c r="BW1275" s="25"/>
      <c r="BX1275" s="25"/>
      <c r="BY1275" s="25"/>
      <c r="BZ1275" s="25"/>
      <c r="CA1275" s="25"/>
      <c r="CB1275" s="25"/>
    </row>
    <row r="1276" spans="1:80" ht="12.75" hidden="1" customHeight="1">
      <c r="A1276" s="10">
        <f ca="1">IFERROR(__xludf.DUMMYFUNCTION("""COMPUTED_VALUE"""),2017)</f>
        <v>2017</v>
      </c>
      <c r="B1276" s="50">
        <f ca="1">IFERROR(__xludf.DUMMYFUNCTION("""COMPUTED_VALUE"""),43538)</f>
        <v>43538</v>
      </c>
      <c r="C1276" s="41"/>
      <c r="D1276" s="42" t="str">
        <f ca="1">IFERROR(__xludf.DUMMYFUNCTION("""COMPUTED_VALUE"""),"Grey Phalarope")</f>
        <v>Grey Phalarope</v>
      </c>
      <c r="E1276" s="53">
        <f ca="1">IFERROR(__xludf.DUMMYFUNCTION("""COMPUTED_VALUE"""),1)</f>
        <v>1</v>
      </c>
      <c r="F1276" s="15"/>
      <c r="G1276" s="44" t="str">
        <f ca="1">IFERROR(__xludf.DUMMYFUNCTION("""COMPUTED_VALUE"""),"Hoylake")</f>
        <v>Hoylake</v>
      </c>
      <c r="H1276" s="12">
        <f ca="1">IFERROR(__xludf.DUMMYFUNCTION("""COMPUTED_VALUE"""),43010)</f>
        <v>43010</v>
      </c>
      <c r="I1276" s="13"/>
      <c r="J1276" s="14" t="str">
        <f ca="1">IFERROR(__xludf.DUMMYFUNCTION("""COMPUTED_VALUE"""),"turner, JE")</f>
        <v>turner, JE</v>
      </c>
      <c r="K1276" s="15"/>
      <c r="L1276" s="17" t="str">
        <f ca="1">IFERROR(__xludf.DUMMYFUNCTION("""COMPUTED_VALUE"""),"closed")</f>
        <v>closed</v>
      </c>
      <c r="M1276" s="17" t="str">
        <f ca="1">IFERROR(__xludf.DUMMYFUNCTION("""COMPUTED_VALUE"""),"1st U")</f>
        <v>1st U</v>
      </c>
      <c r="N1276" s="15" t="str">
        <f ca="1">IFERROR(__xludf.DUMMYFUNCTION("""COMPUTED_VALUE"""),"Accepted")</f>
        <v>Accepted</v>
      </c>
      <c r="O1276" s="18"/>
      <c r="P1276" s="15"/>
      <c r="Q1276" s="15"/>
      <c r="R1276" s="15"/>
      <c r="S1276" s="15"/>
      <c r="T1276" s="15"/>
      <c r="U1276" s="15"/>
      <c r="V1276" s="15"/>
      <c r="W1276" s="15"/>
      <c r="X1276" s="15"/>
      <c r="Y1276" s="15"/>
      <c r="Z1276" s="15"/>
      <c r="AA1276" s="15"/>
      <c r="AB1276" s="15"/>
      <c r="AC1276" s="15"/>
      <c r="AD1276" s="15"/>
      <c r="AE1276" s="15"/>
      <c r="AF1276" s="15"/>
      <c r="AG1276" s="15"/>
      <c r="AH1276" s="15"/>
      <c r="AI1276" s="15"/>
      <c r="AJ1276" s="15"/>
      <c r="AK1276" s="15"/>
      <c r="AL1276" s="15"/>
      <c r="AM1276" s="15"/>
      <c r="AN1276" s="15"/>
      <c r="AO1276" s="15"/>
      <c r="AP1276" s="15"/>
      <c r="AQ1276" s="15"/>
      <c r="AR1276" s="15"/>
      <c r="AS1276" s="15"/>
      <c r="AT1276" s="15"/>
      <c r="AU1276" s="15"/>
      <c r="AV1276" s="15"/>
      <c r="AW1276" s="15"/>
      <c r="AX1276" s="15"/>
      <c r="AY1276" s="15"/>
      <c r="AZ1276" s="15"/>
      <c r="BA1276" s="15"/>
      <c r="BB1276" s="15"/>
      <c r="BC1276" s="15"/>
      <c r="BD1276" s="15"/>
      <c r="BE1276" s="15"/>
      <c r="BF1276" s="15"/>
      <c r="BG1276" s="15"/>
      <c r="BH1276" s="15"/>
      <c r="BI1276" s="15"/>
      <c r="BJ1276" s="15"/>
      <c r="BK1276" s="15"/>
      <c r="BL1276" s="15"/>
      <c r="BM1276" s="15"/>
      <c r="BN1276" s="15"/>
      <c r="BO1276" s="15"/>
      <c r="BP1276" s="15"/>
      <c r="BQ1276" s="15"/>
      <c r="BR1276" s="15"/>
      <c r="BS1276" s="15"/>
      <c r="BT1276" s="15"/>
      <c r="BU1276" s="15"/>
      <c r="BV1276" s="15"/>
      <c r="BW1276" s="15"/>
      <c r="BX1276" s="15"/>
      <c r="BY1276" s="15"/>
      <c r="BZ1276" s="15"/>
      <c r="CA1276" s="15"/>
      <c r="CB1276" s="15"/>
    </row>
    <row r="1277" spans="1:80" ht="12.75" hidden="1" customHeight="1">
      <c r="A1277" s="20">
        <f ca="1">IFERROR(__xludf.DUMMYFUNCTION("""COMPUTED_VALUE"""),2017)</f>
        <v>2017</v>
      </c>
      <c r="B1277" s="45">
        <f ca="1">IFERROR(__xludf.DUMMYFUNCTION("""COMPUTED_VALUE"""),43538)</f>
        <v>43538</v>
      </c>
      <c r="C1277" s="46"/>
      <c r="D1277" s="47" t="str">
        <f ca="1">IFERROR(__xludf.DUMMYFUNCTION("""COMPUTED_VALUE"""),"Grey Phalarope")</f>
        <v>Grey Phalarope</v>
      </c>
      <c r="E1277" s="52">
        <f ca="1">IFERROR(__xludf.DUMMYFUNCTION("""COMPUTED_VALUE"""),1)</f>
        <v>1</v>
      </c>
      <c r="F1277" s="25"/>
      <c r="G1277" s="48" t="str">
        <f ca="1">IFERROR(__xludf.DUMMYFUNCTION("""COMPUTED_VALUE"""),"Hoylake")</f>
        <v>Hoylake</v>
      </c>
      <c r="H1277" s="22">
        <f ca="1">IFERROR(__xludf.DUMMYFUNCTION("""COMPUTED_VALUE"""),43025)</f>
        <v>43025</v>
      </c>
      <c r="I1277" s="23"/>
      <c r="J1277" s="24" t="str">
        <f ca="1">IFERROR(__xludf.DUMMYFUNCTION("""COMPUTED_VALUE"""),"turner, JE")</f>
        <v>turner, JE</v>
      </c>
      <c r="K1277" s="25"/>
      <c r="L1277" s="27" t="str">
        <f ca="1">IFERROR(__xludf.DUMMYFUNCTION("""COMPUTED_VALUE"""),"closed")</f>
        <v>closed</v>
      </c>
      <c r="M1277" s="27" t="str">
        <f ca="1">IFERROR(__xludf.DUMMYFUNCTION("""COMPUTED_VALUE"""),"1st U")</f>
        <v>1st U</v>
      </c>
      <c r="N1277" s="25" t="str">
        <f ca="1">IFERROR(__xludf.DUMMYFUNCTION("""COMPUTED_VALUE"""),"Accepted")</f>
        <v>Accepted</v>
      </c>
      <c r="O1277" s="28"/>
      <c r="P1277" s="25"/>
      <c r="Q1277" s="25"/>
      <c r="R1277" s="25"/>
      <c r="S1277" s="25"/>
      <c r="T1277" s="25"/>
      <c r="U1277" s="25"/>
      <c r="V1277" s="25"/>
      <c r="W1277" s="25"/>
      <c r="X1277" s="25"/>
      <c r="Y1277" s="25"/>
      <c r="Z1277" s="25"/>
      <c r="AA1277" s="25"/>
      <c r="AB1277" s="25"/>
      <c r="AC1277" s="25"/>
      <c r="AD1277" s="25"/>
      <c r="AE1277" s="25"/>
      <c r="AF1277" s="25"/>
      <c r="AG1277" s="25"/>
      <c r="AH1277" s="25"/>
      <c r="AI1277" s="25"/>
      <c r="AJ1277" s="25"/>
      <c r="AK1277" s="25"/>
      <c r="AL1277" s="25"/>
      <c r="AM1277" s="25"/>
      <c r="AN1277" s="25"/>
      <c r="AO1277" s="25"/>
      <c r="AP1277" s="25"/>
      <c r="AQ1277" s="25"/>
      <c r="AR1277" s="25"/>
      <c r="AS1277" s="25"/>
      <c r="AT1277" s="25"/>
      <c r="AU1277" s="25"/>
      <c r="AV1277" s="25"/>
      <c r="AW1277" s="25"/>
      <c r="AX1277" s="25"/>
      <c r="AY1277" s="25"/>
      <c r="AZ1277" s="25"/>
      <c r="BA1277" s="25"/>
      <c r="BB1277" s="25"/>
      <c r="BC1277" s="25"/>
      <c r="BD1277" s="25"/>
      <c r="BE1277" s="25"/>
      <c r="BF1277" s="25"/>
      <c r="BG1277" s="25"/>
      <c r="BH1277" s="25"/>
      <c r="BI1277" s="25"/>
      <c r="BJ1277" s="25"/>
      <c r="BK1277" s="25"/>
      <c r="BL1277" s="25"/>
      <c r="BM1277" s="25"/>
      <c r="BN1277" s="25"/>
      <c r="BO1277" s="25"/>
      <c r="BP1277" s="25"/>
      <c r="BQ1277" s="25"/>
      <c r="BR1277" s="25"/>
      <c r="BS1277" s="25"/>
      <c r="BT1277" s="25"/>
      <c r="BU1277" s="25"/>
      <c r="BV1277" s="25"/>
      <c r="BW1277" s="25"/>
      <c r="BX1277" s="25"/>
      <c r="BY1277" s="25"/>
      <c r="BZ1277" s="25"/>
      <c r="CA1277" s="25"/>
      <c r="CB1277" s="25"/>
    </row>
    <row r="1278" spans="1:80" ht="12.75" hidden="1" customHeight="1">
      <c r="A1278" s="10">
        <f ca="1">IFERROR(__xludf.DUMMYFUNCTION("""COMPUTED_VALUE"""),2017)</f>
        <v>2017</v>
      </c>
      <c r="B1278" s="50">
        <f ca="1">IFERROR(__xludf.DUMMYFUNCTION("""COMPUTED_VALUE"""),43643)</f>
        <v>43643</v>
      </c>
      <c r="C1278" s="41"/>
      <c r="D1278" s="42" t="str">
        <f ca="1">IFERROR(__xludf.DUMMYFUNCTION("""COMPUTED_VALUE"""),"Sabine's Gull")</f>
        <v>Sabine's Gull</v>
      </c>
      <c r="E1278" s="53">
        <f ca="1">IFERROR(__xludf.DUMMYFUNCTION("""COMPUTED_VALUE"""),3)</f>
        <v>3</v>
      </c>
      <c r="F1278" s="15" t="str">
        <f ca="1">IFERROR(__xludf.DUMMYFUNCTION("""COMPUTED_VALUE"""),"juvs")</f>
        <v>juvs</v>
      </c>
      <c r="G1278" s="44" t="str">
        <f ca="1">IFERROR(__xludf.DUMMYFUNCTION("""COMPUTED_VALUE"""),"Hoylake  ")</f>
        <v xml:space="preserve">Hoylake  </v>
      </c>
      <c r="H1278" s="12">
        <f ca="1">IFERROR(__xludf.DUMMYFUNCTION("""COMPUTED_VALUE"""),42989)</f>
        <v>42989</v>
      </c>
      <c r="I1278" s="13"/>
      <c r="J1278" s="14" t="str">
        <f ca="1">IFERROR(__xludf.DUMMYFUNCTION("""COMPUTED_VALUE"""),"Turner, JE")</f>
        <v>Turner, JE</v>
      </c>
      <c r="K1278" s="15" t="str">
        <f ca="1">IFERROR(__xludf.DUMMYFUNCTION("""COMPUTED_VALUE"""),"Turner, JE")</f>
        <v>Turner, JE</v>
      </c>
      <c r="L1278" s="17" t="str">
        <f ca="1">IFERROR(__xludf.DUMMYFUNCTION("""COMPUTED_VALUE"""),"closed")</f>
        <v>closed</v>
      </c>
      <c r="M1278" s="17" t="str">
        <f ca="1">IFERROR(__xludf.DUMMYFUNCTION("""COMPUTED_VALUE"""),"1st U")</f>
        <v>1st U</v>
      </c>
      <c r="N1278" s="15" t="str">
        <f ca="1">IFERROR(__xludf.DUMMYFUNCTION("""COMPUTED_VALUE"""),"accepted")</f>
        <v>accepted</v>
      </c>
      <c r="O1278" s="18"/>
      <c r="P1278" s="15"/>
      <c r="Q1278" s="15"/>
      <c r="R1278" s="15"/>
      <c r="S1278" s="15"/>
      <c r="T1278" s="15"/>
      <c r="U1278" s="15"/>
      <c r="V1278" s="15"/>
      <c r="W1278" s="15"/>
      <c r="X1278" s="15"/>
      <c r="Y1278" s="15"/>
      <c r="Z1278" s="15"/>
      <c r="AA1278" s="15"/>
      <c r="AB1278" s="15"/>
      <c r="AC1278" s="15"/>
      <c r="AD1278" s="15"/>
      <c r="AE1278" s="15"/>
      <c r="AF1278" s="15"/>
      <c r="AG1278" s="15"/>
      <c r="AH1278" s="15"/>
      <c r="AI1278" s="15"/>
      <c r="AJ1278" s="15"/>
      <c r="AK1278" s="15"/>
      <c r="AL1278" s="15"/>
      <c r="AM1278" s="15"/>
      <c r="AN1278" s="15"/>
      <c r="AO1278" s="15"/>
      <c r="AP1278" s="15"/>
      <c r="AQ1278" s="15"/>
      <c r="AR1278" s="15"/>
      <c r="AS1278" s="15"/>
      <c r="AT1278" s="15"/>
      <c r="AU1278" s="15"/>
      <c r="AV1278" s="15"/>
      <c r="AW1278" s="15"/>
      <c r="AX1278" s="15"/>
      <c r="AY1278" s="15"/>
      <c r="AZ1278" s="15"/>
      <c r="BA1278" s="15"/>
      <c r="BB1278" s="15"/>
      <c r="BC1278" s="15"/>
      <c r="BD1278" s="15"/>
      <c r="BE1278" s="15"/>
      <c r="BF1278" s="15"/>
      <c r="BG1278" s="15"/>
      <c r="BH1278" s="15"/>
      <c r="BI1278" s="15"/>
      <c r="BJ1278" s="15"/>
      <c r="BK1278" s="15"/>
      <c r="BL1278" s="15"/>
      <c r="BM1278" s="15"/>
      <c r="BN1278" s="15"/>
      <c r="BO1278" s="15"/>
      <c r="BP1278" s="15"/>
      <c r="BQ1278" s="15"/>
      <c r="BR1278" s="15"/>
      <c r="BS1278" s="15"/>
      <c r="BT1278" s="15"/>
      <c r="BU1278" s="15"/>
      <c r="BV1278" s="15"/>
      <c r="BW1278" s="15"/>
      <c r="BX1278" s="15"/>
      <c r="BY1278" s="15"/>
      <c r="BZ1278" s="15"/>
      <c r="CA1278" s="15"/>
      <c r="CB1278" s="15"/>
    </row>
    <row r="1279" spans="1:80" ht="12.75" hidden="1" customHeight="1">
      <c r="A1279" s="20">
        <f ca="1">IFERROR(__xludf.DUMMYFUNCTION("""COMPUTED_VALUE"""),2017)</f>
        <v>2017</v>
      </c>
      <c r="B1279" s="45">
        <f ca="1">IFERROR(__xludf.DUMMYFUNCTION("""COMPUTED_VALUE"""),43538)</f>
        <v>43538</v>
      </c>
      <c r="C1279" s="46"/>
      <c r="D1279" s="47" t="str">
        <f ca="1">IFERROR(__xludf.DUMMYFUNCTION("""COMPUTED_VALUE"""),"Sabine's Gull")</f>
        <v>Sabine's Gull</v>
      </c>
      <c r="E1279" s="52"/>
      <c r="F1279" s="25"/>
      <c r="G1279" s="48" t="str">
        <f ca="1">IFERROR(__xludf.DUMMYFUNCTION("""COMPUTED_VALUE"""),"Hilbre")</f>
        <v>Hilbre</v>
      </c>
      <c r="H1279" s="22">
        <f ca="1">IFERROR(__xludf.DUMMYFUNCTION("""COMPUTED_VALUE"""),42992)</f>
        <v>42992</v>
      </c>
      <c r="I1279" s="23"/>
      <c r="J1279" s="24" t="str">
        <f ca="1">IFERROR(__xludf.DUMMYFUNCTION("""COMPUTED_VALUE"""),"Hilbre Bird Observatory")</f>
        <v>Hilbre Bird Observatory</v>
      </c>
      <c r="K1279" s="25"/>
      <c r="L1279" s="27" t="str">
        <f ca="1">IFERROR(__xludf.DUMMYFUNCTION("""COMPUTED_VALUE"""),"closed")</f>
        <v>closed</v>
      </c>
      <c r="M1279" s="27" t="str">
        <f ca="1">IFERROR(__xludf.DUMMYFUNCTION("""COMPUTED_VALUE"""),"proxy")</f>
        <v>proxy</v>
      </c>
      <c r="N1279" s="25" t="str">
        <f ca="1">IFERROR(__xludf.DUMMYFUNCTION("""COMPUTED_VALUE"""),"accepted")</f>
        <v>accepted</v>
      </c>
      <c r="O1279" s="28"/>
      <c r="P1279" s="25"/>
      <c r="Q1279" s="25"/>
      <c r="R1279" s="25"/>
      <c r="S1279" s="25"/>
      <c r="T1279" s="25"/>
      <c r="U1279" s="25"/>
      <c r="V1279" s="25"/>
      <c r="W1279" s="25"/>
      <c r="X1279" s="25"/>
      <c r="Y1279" s="25"/>
      <c r="Z1279" s="25"/>
      <c r="AA1279" s="25"/>
      <c r="AB1279" s="25"/>
      <c r="AC1279" s="25"/>
      <c r="AD1279" s="25"/>
      <c r="AE1279" s="25"/>
      <c r="AF1279" s="25"/>
      <c r="AG1279" s="25"/>
      <c r="AH1279" s="25"/>
      <c r="AI1279" s="25"/>
      <c r="AJ1279" s="25"/>
      <c r="AK1279" s="25"/>
      <c r="AL1279" s="25"/>
      <c r="AM1279" s="25"/>
      <c r="AN1279" s="25"/>
      <c r="AO1279" s="25"/>
      <c r="AP1279" s="25"/>
      <c r="AQ1279" s="25"/>
      <c r="AR1279" s="25"/>
      <c r="AS1279" s="25"/>
      <c r="AT1279" s="25"/>
      <c r="AU1279" s="25"/>
      <c r="AV1279" s="25"/>
      <c r="AW1279" s="25"/>
      <c r="AX1279" s="25"/>
      <c r="AY1279" s="25"/>
      <c r="AZ1279" s="25"/>
      <c r="BA1279" s="25"/>
      <c r="BB1279" s="25"/>
      <c r="BC1279" s="25"/>
      <c r="BD1279" s="25"/>
      <c r="BE1279" s="25"/>
      <c r="BF1279" s="25"/>
      <c r="BG1279" s="25"/>
      <c r="BH1279" s="25"/>
      <c r="BI1279" s="25"/>
      <c r="BJ1279" s="25"/>
      <c r="BK1279" s="25"/>
      <c r="BL1279" s="25"/>
      <c r="BM1279" s="25"/>
      <c r="BN1279" s="25"/>
      <c r="BO1279" s="25"/>
      <c r="BP1279" s="25"/>
      <c r="BQ1279" s="25"/>
      <c r="BR1279" s="25"/>
      <c r="BS1279" s="25"/>
      <c r="BT1279" s="25"/>
      <c r="BU1279" s="25"/>
      <c r="BV1279" s="25"/>
      <c r="BW1279" s="25"/>
      <c r="BX1279" s="25"/>
      <c r="BY1279" s="25"/>
      <c r="BZ1279" s="25"/>
      <c r="CA1279" s="25"/>
      <c r="CB1279" s="25"/>
    </row>
    <row r="1280" spans="1:80" ht="12.75" hidden="1" customHeight="1">
      <c r="A1280" s="10">
        <f ca="1">IFERROR(__xludf.DUMMYFUNCTION("""COMPUTED_VALUE"""),2017)</f>
        <v>2017</v>
      </c>
      <c r="B1280" s="50">
        <f ca="1">IFERROR(__xludf.DUMMYFUNCTION("""COMPUTED_VALUE"""),43643)</f>
        <v>43643</v>
      </c>
      <c r="C1280" s="41"/>
      <c r="D1280" s="42" t="str">
        <f ca="1">IFERROR(__xludf.DUMMYFUNCTION("""COMPUTED_VALUE"""),"Sabine's Gull")</f>
        <v>Sabine's Gull</v>
      </c>
      <c r="E1280" s="53">
        <f ca="1">IFERROR(__xludf.DUMMYFUNCTION("""COMPUTED_VALUE"""),3)</f>
        <v>3</v>
      </c>
      <c r="F1280" s="15" t="str">
        <f ca="1">IFERROR(__xludf.DUMMYFUNCTION("""COMPUTED_VALUE"""),"juvs")</f>
        <v>juvs</v>
      </c>
      <c r="G1280" s="44" t="str">
        <f ca="1">IFERROR(__xludf.DUMMYFUNCTION("""COMPUTED_VALUE"""),"Hoylake  ")</f>
        <v xml:space="preserve">Hoylake  </v>
      </c>
      <c r="H1280" s="12">
        <f ca="1">IFERROR(__xludf.DUMMYFUNCTION("""COMPUTED_VALUE"""),42992)</f>
        <v>42992</v>
      </c>
      <c r="I1280" s="13"/>
      <c r="J1280" s="14" t="str">
        <f ca="1">IFERROR(__xludf.DUMMYFUNCTION("""COMPUTED_VALUE"""),"Turner, JE")</f>
        <v>Turner, JE</v>
      </c>
      <c r="K1280" s="15" t="str">
        <f ca="1">IFERROR(__xludf.DUMMYFUNCTION("""COMPUTED_VALUE"""),"Turner, JE")</f>
        <v>Turner, JE</v>
      </c>
      <c r="L1280" s="17" t="str">
        <f ca="1">IFERROR(__xludf.DUMMYFUNCTION("""COMPUTED_VALUE"""),"closed")</f>
        <v>closed</v>
      </c>
      <c r="M1280" s="17" t="str">
        <f ca="1">IFERROR(__xludf.DUMMYFUNCTION("""COMPUTED_VALUE"""),"1st U")</f>
        <v>1st U</v>
      </c>
      <c r="N1280" s="15" t="str">
        <f ca="1">IFERROR(__xludf.DUMMYFUNCTION("""COMPUTED_VALUE"""),"accepted")</f>
        <v>accepted</v>
      </c>
      <c r="O1280" s="18"/>
      <c r="P1280" s="15"/>
      <c r="Q1280" s="15"/>
      <c r="R1280" s="15"/>
      <c r="S1280" s="15"/>
      <c r="T1280" s="15"/>
      <c r="U1280" s="15"/>
      <c r="V1280" s="15"/>
      <c r="W1280" s="15"/>
      <c r="X1280" s="15"/>
      <c r="Y1280" s="15"/>
      <c r="Z1280" s="15"/>
      <c r="AA1280" s="15"/>
      <c r="AB1280" s="15"/>
      <c r="AC1280" s="15"/>
      <c r="AD1280" s="15"/>
      <c r="AE1280" s="15"/>
      <c r="AF1280" s="15"/>
      <c r="AG1280" s="15"/>
      <c r="AH1280" s="15"/>
      <c r="AI1280" s="15"/>
      <c r="AJ1280" s="15"/>
      <c r="AK1280" s="15"/>
      <c r="AL1280" s="15"/>
      <c r="AM1280" s="15"/>
      <c r="AN1280" s="15"/>
      <c r="AO1280" s="15"/>
      <c r="AP1280" s="15"/>
      <c r="AQ1280" s="15"/>
      <c r="AR1280" s="15"/>
      <c r="AS1280" s="15"/>
      <c r="AT1280" s="15"/>
      <c r="AU1280" s="15"/>
      <c r="AV1280" s="15"/>
      <c r="AW1280" s="15"/>
      <c r="AX1280" s="15"/>
      <c r="AY1280" s="15"/>
      <c r="AZ1280" s="15"/>
      <c r="BA1280" s="15"/>
      <c r="BB1280" s="15"/>
      <c r="BC1280" s="15"/>
      <c r="BD1280" s="15"/>
      <c r="BE1280" s="15"/>
      <c r="BF1280" s="15"/>
      <c r="BG1280" s="15"/>
      <c r="BH1280" s="15"/>
      <c r="BI1280" s="15"/>
      <c r="BJ1280" s="15"/>
      <c r="BK1280" s="15"/>
      <c r="BL1280" s="15"/>
      <c r="BM1280" s="15"/>
      <c r="BN1280" s="15"/>
      <c r="BO1280" s="15"/>
      <c r="BP1280" s="15"/>
      <c r="BQ1280" s="15"/>
      <c r="BR1280" s="15"/>
      <c r="BS1280" s="15"/>
      <c r="BT1280" s="15"/>
      <c r="BU1280" s="15"/>
      <c r="BV1280" s="15"/>
      <c r="BW1280" s="15"/>
      <c r="BX1280" s="15"/>
      <c r="BY1280" s="15"/>
      <c r="BZ1280" s="15"/>
      <c r="CA1280" s="15"/>
      <c r="CB1280" s="15"/>
    </row>
    <row r="1281" spans="1:80" ht="12.75" hidden="1" customHeight="1">
      <c r="A1281" s="20">
        <f ca="1">IFERROR(__xludf.DUMMYFUNCTION("""COMPUTED_VALUE"""),2017)</f>
        <v>2017</v>
      </c>
      <c r="B1281" s="45">
        <f ca="1">IFERROR(__xludf.DUMMYFUNCTION("""COMPUTED_VALUE"""),43643)</f>
        <v>43643</v>
      </c>
      <c r="C1281" s="46"/>
      <c r="D1281" s="47" t="str">
        <f ca="1">IFERROR(__xludf.DUMMYFUNCTION("""COMPUTED_VALUE"""),"Sabine's Gull")</f>
        <v>Sabine's Gull</v>
      </c>
      <c r="E1281" s="52">
        <f ca="1">IFERROR(__xludf.DUMMYFUNCTION("""COMPUTED_VALUE"""),2)</f>
        <v>2</v>
      </c>
      <c r="F1281" s="25" t="str">
        <f ca="1">IFERROR(__xludf.DUMMYFUNCTION("""COMPUTED_VALUE"""),"juvs")</f>
        <v>juvs</v>
      </c>
      <c r="G1281" s="48" t="str">
        <f ca="1">IFERROR(__xludf.DUMMYFUNCTION("""COMPUTED_VALUE"""),"Hoylake  ")</f>
        <v xml:space="preserve">Hoylake  </v>
      </c>
      <c r="H1281" s="22">
        <f ca="1">IFERROR(__xludf.DUMMYFUNCTION("""COMPUTED_VALUE"""),43011)</f>
        <v>43011</v>
      </c>
      <c r="I1281" s="23"/>
      <c r="J1281" s="24" t="str">
        <f ca="1">IFERROR(__xludf.DUMMYFUNCTION("""COMPUTED_VALUE"""),"Turner, JE")</f>
        <v>Turner, JE</v>
      </c>
      <c r="K1281" s="25" t="str">
        <f ca="1">IFERROR(__xludf.DUMMYFUNCTION("""COMPUTED_VALUE"""),"Turner, JE")</f>
        <v>Turner, JE</v>
      </c>
      <c r="L1281" s="27" t="str">
        <f ca="1">IFERROR(__xludf.DUMMYFUNCTION("""COMPUTED_VALUE"""),"closed")</f>
        <v>closed</v>
      </c>
      <c r="M1281" s="27" t="str">
        <f ca="1">IFERROR(__xludf.DUMMYFUNCTION("""COMPUTED_VALUE"""),"1st U")</f>
        <v>1st U</v>
      </c>
      <c r="N1281" s="25" t="str">
        <f ca="1">IFERROR(__xludf.DUMMYFUNCTION("""COMPUTED_VALUE"""),"accepted")</f>
        <v>accepted</v>
      </c>
      <c r="O1281" s="28"/>
      <c r="P1281" s="25"/>
      <c r="Q1281" s="25"/>
      <c r="R1281" s="25"/>
      <c r="S1281" s="25"/>
      <c r="T1281" s="25"/>
      <c r="U1281" s="25"/>
      <c r="V1281" s="25"/>
      <c r="W1281" s="25"/>
      <c r="X1281" s="25"/>
      <c r="Y1281" s="25"/>
      <c r="Z1281" s="25"/>
      <c r="AA1281" s="25"/>
      <c r="AB1281" s="25"/>
      <c r="AC1281" s="25"/>
      <c r="AD1281" s="25"/>
      <c r="AE1281" s="25"/>
      <c r="AF1281" s="25"/>
      <c r="AG1281" s="25"/>
      <c r="AH1281" s="25"/>
      <c r="AI1281" s="25"/>
      <c r="AJ1281" s="25"/>
      <c r="AK1281" s="25"/>
      <c r="AL1281" s="25"/>
      <c r="AM1281" s="25"/>
      <c r="AN1281" s="25"/>
      <c r="AO1281" s="25"/>
      <c r="AP1281" s="25"/>
      <c r="AQ1281" s="25"/>
      <c r="AR1281" s="25"/>
      <c r="AS1281" s="25"/>
      <c r="AT1281" s="25"/>
      <c r="AU1281" s="25"/>
      <c r="AV1281" s="25"/>
      <c r="AW1281" s="25"/>
      <c r="AX1281" s="25"/>
      <c r="AY1281" s="25"/>
      <c r="AZ1281" s="25"/>
      <c r="BA1281" s="25"/>
      <c r="BB1281" s="25"/>
      <c r="BC1281" s="25"/>
      <c r="BD1281" s="25"/>
      <c r="BE1281" s="25"/>
      <c r="BF1281" s="25"/>
      <c r="BG1281" s="25"/>
      <c r="BH1281" s="25"/>
      <c r="BI1281" s="25"/>
      <c r="BJ1281" s="25"/>
      <c r="BK1281" s="25"/>
      <c r="BL1281" s="25"/>
      <c r="BM1281" s="25"/>
      <c r="BN1281" s="25"/>
      <c r="BO1281" s="25"/>
      <c r="BP1281" s="25"/>
      <c r="BQ1281" s="25"/>
      <c r="BR1281" s="25"/>
      <c r="BS1281" s="25"/>
      <c r="BT1281" s="25"/>
      <c r="BU1281" s="25"/>
      <c r="BV1281" s="25"/>
      <c r="BW1281" s="25"/>
      <c r="BX1281" s="25"/>
      <c r="BY1281" s="25"/>
      <c r="BZ1281" s="25"/>
      <c r="CA1281" s="25"/>
      <c r="CB1281" s="25"/>
    </row>
    <row r="1282" spans="1:80" ht="12.75" hidden="1" customHeight="1">
      <c r="A1282" s="10">
        <f ca="1">IFERROR(__xludf.DUMMYFUNCTION("""COMPUTED_VALUE"""),2017)</f>
        <v>2017</v>
      </c>
      <c r="B1282" s="50">
        <f ca="1">IFERROR(__xludf.DUMMYFUNCTION("""COMPUTED_VALUE"""),43538)</f>
        <v>43538</v>
      </c>
      <c r="C1282" s="41"/>
      <c r="D1282" s="42" t="str">
        <f ca="1">IFERROR(__xludf.DUMMYFUNCTION("""COMPUTED_VALUE"""),"Caspian Gull")</f>
        <v>Caspian Gull</v>
      </c>
      <c r="E1282" s="53"/>
      <c r="F1282" s="15"/>
      <c r="G1282" s="44" t="str">
        <f ca="1">IFERROR(__xludf.DUMMYFUNCTION("""COMPUTED_VALUE"""),"Richmond Bank")</f>
        <v>Richmond Bank</v>
      </c>
      <c r="H1282" s="12">
        <f ca="1">IFERROR(__xludf.DUMMYFUNCTION("""COMPUTED_VALUE"""),42738)</f>
        <v>42738</v>
      </c>
      <c r="I1282" s="13"/>
      <c r="J1282" s="14" t="str">
        <f ca="1">IFERROR(__xludf.DUMMYFUNCTION("""COMPUTED_VALUE"""),"Mckerchar, I")</f>
        <v>Mckerchar, I</v>
      </c>
      <c r="K1282" s="15"/>
      <c r="L1282" s="17" t="str">
        <f ca="1">IFERROR(__xludf.DUMMYFUNCTION("""COMPUTED_VALUE"""),"closed")</f>
        <v>closed</v>
      </c>
      <c r="M1282" s="17" t="str">
        <f ca="1">IFERROR(__xludf.DUMMYFUNCTION("""COMPUTED_VALUE"""),"panel")</f>
        <v>panel</v>
      </c>
      <c r="N1282" s="15" t="str">
        <f ca="1">IFERROR(__xludf.DUMMYFUNCTION("""COMPUTED_VALUE"""),"accepted")</f>
        <v>accepted</v>
      </c>
      <c r="O1282" s="18"/>
      <c r="P1282" s="15"/>
      <c r="Q1282" s="15"/>
      <c r="R1282" s="15"/>
      <c r="S1282" s="15"/>
      <c r="T1282" s="15"/>
      <c r="U1282" s="15"/>
      <c r="V1282" s="15"/>
      <c r="W1282" s="15"/>
      <c r="X1282" s="15"/>
      <c r="Y1282" s="15"/>
      <c r="Z1282" s="15"/>
      <c r="AA1282" s="15"/>
      <c r="AB1282" s="15"/>
      <c r="AC1282" s="15"/>
      <c r="AD1282" s="15"/>
      <c r="AE1282" s="15"/>
      <c r="AF1282" s="15"/>
      <c r="AG1282" s="15"/>
      <c r="AH1282" s="15"/>
      <c r="AI1282" s="15"/>
      <c r="AJ1282" s="15"/>
      <c r="AK1282" s="15"/>
      <c r="AL1282" s="15"/>
      <c r="AM1282" s="15"/>
      <c r="AN1282" s="15"/>
      <c r="AO1282" s="15"/>
      <c r="AP1282" s="15"/>
      <c r="AQ1282" s="15"/>
      <c r="AR1282" s="15"/>
      <c r="AS1282" s="15"/>
      <c r="AT1282" s="15"/>
      <c r="AU1282" s="15"/>
      <c r="AV1282" s="15"/>
      <c r="AW1282" s="15"/>
      <c r="AX1282" s="15"/>
      <c r="AY1282" s="15"/>
      <c r="AZ1282" s="15"/>
      <c r="BA1282" s="15"/>
      <c r="BB1282" s="15"/>
      <c r="BC1282" s="15"/>
      <c r="BD1282" s="15"/>
      <c r="BE1282" s="15"/>
      <c r="BF1282" s="15"/>
      <c r="BG1282" s="15"/>
      <c r="BH1282" s="15"/>
      <c r="BI1282" s="15"/>
      <c r="BJ1282" s="15"/>
      <c r="BK1282" s="15"/>
      <c r="BL1282" s="15"/>
      <c r="BM1282" s="15"/>
      <c r="BN1282" s="15"/>
      <c r="BO1282" s="15"/>
      <c r="BP1282" s="15"/>
      <c r="BQ1282" s="15"/>
      <c r="BR1282" s="15"/>
      <c r="BS1282" s="15"/>
      <c r="BT1282" s="15"/>
      <c r="BU1282" s="15"/>
      <c r="BV1282" s="15"/>
      <c r="BW1282" s="15"/>
      <c r="BX1282" s="15"/>
      <c r="BY1282" s="15"/>
      <c r="BZ1282" s="15"/>
      <c r="CA1282" s="15"/>
      <c r="CB1282" s="15"/>
    </row>
    <row r="1283" spans="1:80" ht="12.75" hidden="1" customHeight="1">
      <c r="A1283" s="20">
        <f ca="1">IFERROR(__xludf.DUMMYFUNCTION("""COMPUTED_VALUE"""),2017)</f>
        <v>2017</v>
      </c>
      <c r="B1283" s="45">
        <f ca="1">IFERROR(__xludf.DUMMYFUNCTION("""COMPUTED_VALUE"""),43538)</f>
        <v>43538</v>
      </c>
      <c r="C1283" s="46"/>
      <c r="D1283" s="47" t="str">
        <f ca="1">IFERROR(__xludf.DUMMYFUNCTION("""COMPUTED_VALUE"""),"Caspian Gull")</f>
        <v>Caspian Gull</v>
      </c>
      <c r="E1283" s="52">
        <f ca="1">IFERROR(__xludf.DUMMYFUNCTION("""COMPUTED_VALUE"""),1)</f>
        <v>1</v>
      </c>
      <c r="F1283" s="25" t="str">
        <f ca="1">IFERROR(__xludf.DUMMYFUNCTION("""COMPUTED_VALUE"""),"ad")</f>
        <v>ad</v>
      </c>
      <c r="G1283" s="48" t="str">
        <f ca="1">IFERROR(__xludf.DUMMYFUNCTION("""COMPUTED_VALUE"""),"Gowy Meadows CWT")</f>
        <v>Gowy Meadows CWT</v>
      </c>
      <c r="H1283" s="22">
        <f ca="1">IFERROR(__xludf.DUMMYFUNCTION("""COMPUTED_VALUE"""),42758)</f>
        <v>42758</v>
      </c>
      <c r="I1283" s="23" t="str">
        <f ca="1">IFERROR(__xludf.DUMMYFUNCTION("""COMPUTED_VALUE"""),"and 21/2/17")</f>
        <v>and 21/2/17</v>
      </c>
      <c r="J1283" s="24"/>
      <c r="K1283" s="25"/>
      <c r="L1283" s="27" t="str">
        <f ca="1">IFERROR(__xludf.DUMMYFUNCTION("""COMPUTED_VALUE"""),"closed")</f>
        <v>closed</v>
      </c>
      <c r="M1283" s="27" t="str">
        <f ca="1">IFERROR(__xludf.DUMMYFUNCTION("""COMPUTED_VALUE"""),"panel")</f>
        <v>panel</v>
      </c>
      <c r="N1283" s="25" t="str">
        <f ca="1">IFERROR(__xludf.DUMMYFUNCTION("""COMPUTED_VALUE"""),"accepted")</f>
        <v>accepted</v>
      </c>
      <c r="O1283" s="28"/>
      <c r="P1283" s="25"/>
      <c r="Q1283" s="25"/>
      <c r="R1283" s="25"/>
      <c r="S1283" s="25"/>
      <c r="T1283" s="25"/>
      <c r="U1283" s="25"/>
      <c r="V1283" s="25"/>
      <c r="W1283" s="25"/>
      <c r="X1283" s="25"/>
      <c r="Y1283" s="25"/>
      <c r="Z1283" s="25"/>
      <c r="AA1283" s="25"/>
      <c r="AB1283" s="25"/>
      <c r="AC1283" s="25"/>
      <c r="AD1283" s="25"/>
      <c r="AE1283" s="25"/>
      <c r="AF1283" s="25"/>
      <c r="AG1283" s="25"/>
      <c r="AH1283" s="25"/>
      <c r="AI1283" s="25"/>
      <c r="AJ1283" s="25"/>
      <c r="AK1283" s="25"/>
      <c r="AL1283" s="25"/>
      <c r="AM1283" s="25"/>
      <c r="AN1283" s="25"/>
      <c r="AO1283" s="25"/>
      <c r="AP1283" s="25"/>
      <c r="AQ1283" s="25"/>
      <c r="AR1283" s="25"/>
      <c r="AS1283" s="25"/>
      <c r="AT1283" s="25"/>
      <c r="AU1283" s="25"/>
      <c r="AV1283" s="25"/>
      <c r="AW1283" s="25"/>
      <c r="AX1283" s="25"/>
      <c r="AY1283" s="25"/>
      <c r="AZ1283" s="25"/>
      <c r="BA1283" s="25"/>
      <c r="BB1283" s="25"/>
      <c r="BC1283" s="25"/>
      <c r="BD1283" s="25"/>
      <c r="BE1283" s="25"/>
      <c r="BF1283" s="25"/>
      <c r="BG1283" s="25"/>
      <c r="BH1283" s="25"/>
      <c r="BI1283" s="25"/>
      <c r="BJ1283" s="25"/>
      <c r="BK1283" s="25"/>
      <c r="BL1283" s="25"/>
      <c r="BM1283" s="25"/>
      <c r="BN1283" s="25"/>
      <c r="BO1283" s="25"/>
      <c r="BP1283" s="25"/>
      <c r="BQ1283" s="25"/>
      <c r="BR1283" s="25"/>
      <c r="BS1283" s="25"/>
      <c r="BT1283" s="25"/>
      <c r="BU1283" s="25"/>
      <c r="BV1283" s="25"/>
      <c r="BW1283" s="25"/>
      <c r="BX1283" s="25"/>
      <c r="BY1283" s="25"/>
      <c r="BZ1283" s="25"/>
      <c r="CA1283" s="25"/>
      <c r="CB1283" s="25"/>
    </row>
    <row r="1284" spans="1:80" ht="12.75" hidden="1" customHeight="1">
      <c r="A1284" s="10">
        <f ca="1">IFERROR(__xludf.DUMMYFUNCTION("""COMPUTED_VALUE"""),2017)</f>
        <v>2017</v>
      </c>
      <c r="B1284" s="50">
        <f ca="1">IFERROR(__xludf.DUMMYFUNCTION("""COMPUTED_VALUE"""),43538)</f>
        <v>43538</v>
      </c>
      <c r="C1284" s="41"/>
      <c r="D1284" s="42" t="str">
        <f ca="1">IFERROR(__xludf.DUMMYFUNCTION("""COMPUTED_VALUE"""),"Caspian Gull")</f>
        <v>Caspian Gull</v>
      </c>
      <c r="E1284" s="53">
        <f ca="1">IFERROR(__xludf.DUMMYFUNCTION("""COMPUTED_VALUE"""),1)</f>
        <v>1</v>
      </c>
      <c r="F1284" s="15" t="str">
        <f ca="1">IFERROR(__xludf.DUMMYFUNCTION("""COMPUTED_VALUE"""),"1st w")</f>
        <v>1st w</v>
      </c>
      <c r="G1284" s="44" t="str">
        <f ca="1">IFERROR(__xludf.DUMMYFUNCTION("""COMPUTED_VALUE"""),"Gowy Meadows CWT")</f>
        <v>Gowy Meadows CWT</v>
      </c>
      <c r="H1284" s="12">
        <f ca="1">IFERROR(__xludf.DUMMYFUNCTION("""COMPUTED_VALUE"""),42783)</f>
        <v>42783</v>
      </c>
      <c r="I1284" s="13"/>
      <c r="J1284" s="14"/>
      <c r="K1284" s="15"/>
      <c r="L1284" s="17" t="str">
        <f ca="1">IFERROR(__xludf.DUMMYFUNCTION("""COMPUTED_VALUE"""),"closed")</f>
        <v>closed</v>
      </c>
      <c r="M1284" s="17" t="str">
        <f ca="1">IFERROR(__xludf.DUMMYFUNCTION("""COMPUTED_VALUE"""),"panel")</f>
        <v>panel</v>
      </c>
      <c r="N1284" s="15" t="str">
        <f ca="1">IFERROR(__xludf.DUMMYFUNCTION("""COMPUTED_VALUE"""),"accepted")</f>
        <v>accepted</v>
      </c>
      <c r="O1284" s="18"/>
      <c r="P1284" s="15"/>
      <c r="Q1284" s="15"/>
      <c r="R1284" s="15"/>
      <c r="S1284" s="15"/>
      <c r="T1284" s="15"/>
      <c r="U1284" s="15"/>
      <c r="V1284" s="15"/>
      <c r="W1284" s="15"/>
      <c r="X1284" s="15"/>
      <c r="Y1284" s="15"/>
      <c r="Z1284" s="15"/>
      <c r="AA1284" s="15"/>
      <c r="AB1284" s="15"/>
      <c r="AC1284" s="15"/>
      <c r="AD1284" s="15"/>
      <c r="AE1284" s="15"/>
      <c r="AF1284" s="15"/>
      <c r="AG1284" s="15"/>
      <c r="AH1284" s="15"/>
      <c r="AI1284" s="15"/>
      <c r="AJ1284" s="15"/>
      <c r="AK1284" s="15"/>
      <c r="AL1284" s="15"/>
      <c r="AM1284" s="15"/>
      <c r="AN1284" s="15"/>
      <c r="AO1284" s="15"/>
      <c r="AP1284" s="15"/>
      <c r="AQ1284" s="15"/>
      <c r="AR1284" s="15"/>
      <c r="AS1284" s="15"/>
      <c r="AT1284" s="15"/>
      <c r="AU1284" s="15"/>
      <c r="AV1284" s="15"/>
      <c r="AW1284" s="15"/>
      <c r="AX1284" s="15"/>
      <c r="AY1284" s="15"/>
      <c r="AZ1284" s="15"/>
      <c r="BA1284" s="15"/>
      <c r="BB1284" s="15"/>
      <c r="BC1284" s="15"/>
      <c r="BD1284" s="15"/>
      <c r="BE1284" s="15"/>
      <c r="BF1284" s="15"/>
      <c r="BG1284" s="15"/>
      <c r="BH1284" s="15"/>
      <c r="BI1284" s="15"/>
      <c r="BJ1284" s="15"/>
      <c r="BK1284" s="15"/>
      <c r="BL1284" s="15"/>
      <c r="BM1284" s="15"/>
      <c r="BN1284" s="15"/>
      <c r="BO1284" s="15"/>
      <c r="BP1284" s="15"/>
      <c r="BQ1284" s="15"/>
      <c r="BR1284" s="15"/>
      <c r="BS1284" s="15"/>
      <c r="BT1284" s="15"/>
      <c r="BU1284" s="15"/>
      <c r="BV1284" s="15"/>
      <c r="BW1284" s="15"/>
      <c r="BX1284" s="15"/>
      <c r="BY1284" s="15"/>
      <c r="BZ1284" s="15"/>
      <c r="CA1284" s="15"/>
      <c r="CB1284" s="15"/>
    </row>
    <row r="1285" spans="1:80" ht="12.75" hidden="1" customHeight="1">
      <c r="A1285" s="20">
        <f ca="1">IFERROR(__xludf.DUMMYFUNCTION("""COMPUTED_VALUE"""),2017)</f>
        <v>2017</v>
      </c>
      <c r="B1285" s="45">
        <f ca="1">IFERROR(__xludf.DUMMYFUNCTION("""COMPUTED_VALUE"""),43132)</f>
        <v>43132</v>
      </c>
      <c r="C1285" s="46"/>
      <c r="D1285" s="47" t="str">
        <f ca="1">IFERROR(__xludf.DUMMYFUNCTION("""COMPUTED_VALUE"""),"Caspian Gull")</f>
        <v>Caspian Gull</v>
      </c>
      <c r="E1285" s="52">
        <f ca="1">IFERROR(__xludf.DUMMYFUNCTION("""COMPUTED_VALUE"""),1)</f>
        <v>1</v>
      </c>
      <c r="F1285" s="25" t="str">
        <f ca="1">IFERROR(__xludf.DUMMYFUNCTION("""COMPUTED_VALUE"""),"2nd Cal")</f>
        <v>2nd Cal</v>
      </c>
      <c r="G1285" s="48" t="str">
        <f ca="1">IFERROR(__xludf.DUMMYFUNCTION("""COMPUTED_VALUE"""),"Neumann's Flash Northwich")</f>
        <v>Neumann's Flash Northwich</v>
      </c>
      <c r="H1285" s="22">
        <f ca="1">IFERROR(__xludf.DUMMYFUNCTION("""COMPUTED_VALUE"""),42796)</f>
        <v>42796</v>
      </c>
      <c r="I1285" s="23"/>
      <c r="J1285" s="24" t="str">
        <f ca="1">IFERROR(__xludf.DUMMYFUNCTION("""COMPUTED_VALUE"""),"Baker, G")</f>
        <v>Baker, G</v>
      </c>
      <c r="K1285" s="25" t="str">
        <f ca="1">IFERROR(__xludf.DUMMYFUNCTION("""COMPUTED_VALUE"""),"Baker, G")</f>
        <v>Baker, G</v>
      </c>
      <c r="L1285" s="27" t="str">
        <f ca="1">IFERROR(__xludf.DUMMYFUNCTION("""COMPUTED_VALUE"""),"closed")</f>
        <v>closed</v>
      </c>
      <c r="M1285" s="27" t="str">
        <f ca="1">IFERROR(__xludf.DUMMYFUNCTION("""COMPUTED_VALUE"""),"1st U")</f>
        <v>1st U</v>
      </c>
      <c r="N1285" s="25" t="str">
        <f ca="1">IFERROR(__xludf.DUMMYFUNCTION("""COMPUTED_VALUE"""),"accepted")</f>
        <v>accepted</v>
      </c>
      <c r="O1285" s="28"/>
      <c r="P1285" s="25"/>
      <c r="Q1285" s="25"/>
      <c r="R1285" s="25"/>
      <c r="S1285" s="25"/>
      <c r="T1285" s="25"/>
      <c r="U1285" s="25"/>
      <c r="V1285" s="25"/>
      <c r="W1285" s="25"/>
      <c r="X1285" s="25"/>
      <c r="Y1285" s="25"/>
      <c r="Z1285" s="25"/>
      <c r="AA1285" s="25"/>
      <c r="AB1285" s="25"/>
      <c r="AC1285" s="25"/>
      <c r="AD1285" s="25"/>
      <c r="AE1285" s="25"/>
      <c r="AF1285" s="25"/>
      <c r="AG1285" s="25"/>
      <c r="AH1285" s="25"/>
      <c r="AI1285" s="25"/>
      <c r="AJ1285" s="25"/>
      <c r="AK1285" s="25"/>
      <c r="AL1285" s="25"/>
      <c r="AM1285" s="25"/>
      <c r="AN1285" s="25"/>
      <c r="AO1285" s="25"/>
      <c r="AP1285" s="25"/>
      <c r="AQ1285" s="25"/>
      <c r="AR1285" s="25"/>
      <c r="AS1285" s="25"/>
      <c r="AT1285" s="25"/>
      <c r="AU1285" s="25"/>
      <c r="AV1285" s="25"/>
      <c r="AW1285" s="25"/>
      <c r="AX1285" s="25"/>
      <c r="AY1285" s="25"/>
      <c r="AZ1285" s="25"/>
      <c r="BA1285" s="25"/>
      <c r="BB1285" s="25"/>
      <c r="BC1285" s="25"/>
      <c r="BD1285" s="25"/>
      <c r="BE1285" s="25"/>
      <c r="BF1285" s="25"/>
      <c r="BG1285" s="25"/>
      <c r="BH1285" s="25"/>
      <c r="BI1285" s="25"/>
      <c r="BJ1285" s="25"/>
      <c r="BK1285" s="25"/>
      <c r="BL1285" s="25"/>
      <c r="BM1285" s="25"/>
      <c r="BN1285" s="25"/>
      <c r="BO1285" s="25"/>
      <c r="BP1285" s="25"/>
      <c r="BQ1285" s="25"/>
      <c r="BR1285" s="25"/>
      <c r="BS1285" s="25"/>
      <c r="BT1285" s="25"/>
      <c r="BU1285" s="25"/>
      <c r="BV1285" s="25"/>
      <c r="BW1285" s="25"/>
      <c r="BX1285" s="25"/>
      <c r="BY1285" s="25"/>
      <c r="BZ1285" s="25"/>
      <c r="CA1285" s="25"/>
      <c r="CB1285" s="25"/>
    </row>
    <row r="1286" spans="1:80" ht="12.75" hidden="1" customHeight="1">
      <c r="A1286" s="10">
        <f ca="1">IFERROR(__xludf.DUMMYFUNCTION("""COMPUTED_VALUE"""),2017)</f>
        <v>2017</v>
      </c>
      <c r="B1286" s="50">
        <f ca="1">IFERROR(__xludf.DUMMYFUNCTION("""COMPUTED_VALUE"""),43538)</f>
        <v>43538</v>
      </c>
      <c r="C1286" s="41"/>
      <c r="D1286" s="42" t="str">
        <f ca="1">IFERROR(__xludf.DUMMYFUNCTION("""COMPUTED_VALUE"""),"Caspian Gull")</f>
        <v>Caspian Gull</v>
      </c>
      <c r="E1286" s="53"/>
      <c r="F1286" s="15"/>
      <c r="G1286" s="44" t="str">
        <f ca="1">IFERROR(__xludf.DUMMYFUNCTION("""COMPUTED_VALUE"""),"Sandbach Flashes")</f>
        <v>Sandbach Flashes</v>
      </c>
      <c r="H1286" s="12">
        <f ca="1">IFERROR(__xludf.DUMMYFUNCTION("""COMPUTED_VALUE"""),42972)</f>
        <v>42972</v>
      </c>
      <c r="I1286" s="13"/>
      <c r="J1286" s="14" t="str">
        <f ca="1">IFERROR(__xludf.DUMMYFUNCTION("""COMPUTED_VALUE"""),"SECOS")</f>
        <v>SECOS</v>
      </c>
      <c r="K1286" s="15"/>
      <c r="L1286" s="17" t="str">
        <f ca="1">IFERROR(__xludf.DUMMYFUNCTION("""COMPUTED_VALUE"""),"closed")</f>
        <v>closed</v>
      </c>
      <c r="M1286" s="17" t="str">
        <f ca="1">IFERROR(__xludf.DUMMYFUNCTION("""COMPUTED_VALUE"""),"ring")</f>
        <v>ring</v>
      </c>
      <c r="N1286" s="15" t="str">
        <f ca="1">IFERROR(__xludf.DUMMYFUNCTION("""COMPUTED_VALUE"""),"accepted")</f>
        <v>accepted</v>
      </c>
      <c r="O1286" s="18" t="str">
        <f ca="1">IFERROR(__xludf.DUMMYFUNCTION("""COMPUTED_VALUE"""),"ring read")</f>
        <v>ring read</v>
      </c>
      <c r="P1286" s="15"/>
      <c r="Q1286" s="15"/>
      <c r="R1286" s="15"/>
      <c r="S1286" s="15"/>
      <c r="T1286" s="15"/>
      <c r="U1286" s="15"/>
      <c r="V1286" s="15"/>
      <c r="W1286" s="15"/>
      <c r="X1286" s="15"/>
      <c r="Y1286" s="15"/>
      <c r="Z1286" s="15"/>
      <c r="AA1286" s="15"/>
      <c r="AB1286" s="15"/>
      <c r="AC1286" s="15"/>
      <c r="AD1286" s="15"/>
      <c r="AE1286" s="15"/>
      <c r="AF1286" s="15"/>
      <c r="AG1286" s="15"/>
      <c r="AH1286" s="15"/>
      <c r="AI1286" s="15"/>
      <c r="AJ1286" s="15"/>
      <c r="AK1286" s="15"/>
      <c r="AL1286" s="15"/>
      <c r="AM1286" s="15"/>
      <c r="AN1286" s="15"/>
      <c r="AO1286" s="15"/>
      <c r="AP1286" s="15"/>
      <c r="AQ1286" s="15"/>
      <c r="AR1286" s="15"/>
      <c r="AS1286" s="15"/>
      <c r="AT1286" s="15"/>
      <c r="AU1286" s="15"/>
      <c r="AV1286" s="15"/>
      <c r="AW1286" s="15"/>
      <c r="AX1286" s="15"/>
      <c r="AY1286" s="15"/>
      <c r="AZ1286" s="15"/>
      <c r="BA1286" s="15"/>
      <c r="BB1286" s="15"/>
      <c r="BC1286" s="15"/>
      <c r="BD1286" s="15"/>
      <c r="BE1286" s="15"/>
      <c r="BF1286" s="15"/>
      <c r="BG1286" s="15"/>
      <c r="BH1286" s="15"/>
      <c r="BI1286" s="15"/>
      <c r="BJ1286" s="15"/>
      <c r="BK1286" s="15"/>
      <c r="BL1286" s="15"/>
      <c r="BM1286" s="15"/>
      <c r="BN1286" s="15"/>
      <c r="BO1286" s="15"/>
      <c r="BP1286" s="15"/>
      <c r="BQ1286" s="15"/>
      <c r="BR1286" s="15"/>
      <c r="BS1286" s="15"/>
      <c r="BT1286" s="15"/>
      <c r="BU1286" s="15"/>
      <c r="BV1286" s="15"/>
      <c r="BW1286" s="15"/>
      <c r="BX1286" s="15"/>
      <c r="BY1286" s="15"/>
      <c r="BZ1286" s="15"/>
      <c r="CA1286" s="15"/>
      <c r="CB1286" s="15"/>
    </row>
    <row r="1287" spans="1:80" ht="12.75" hidden="1" customHeight="1">
      <c r="A1287" s="20">
        <f ca="1">IFERROR(__xludf.DUMMYFUNCTION("""COMPUTED_VALUE"""),2017)</f>
        <v>2017</v>
      </c>
      <c r="B1287" s="45">
        <f ca="1">IFERROR(__xludf.DUMMYFUNCTION("""COMPUTED_VALUE"""),43538)</f>
        <v>43538</v>
      </c>
      <c r="C1287" s="46"/>
      <c r="D1287" s="47" t="str">
        <f ca="1">IFERROR(__xludf.DUMMYFUNCTION("""COMPUTED_VALUE"""),"Long-tailed Skua")</f>
        <v>Long-tailed Skua</v>
      </c>
      <c r="E1287" s="52">
        <f ca="1">IFERROR(__xludf.DUMMYFUNCTION("""COMPUTED_VALUE"""),1)</f>
        <v>1</v>
      </c>
      <c r="F1287" s="25"/>
      <c r="G1287" s="48" t="str">
        <f ca="1">IFERROR(__xludf.DUMMYFUNCTION("""COMPUTED_VALUE"""),"Hilbre")</f>
        <v>Hilbre</v>
      </c>
      <c r="H1287" s="22">
        <f ca="1">IFERROR(__xludf.DUMMYFUNCTION("""COMPUTED_VALUE"""),42992)</f>
        <v>42992</v>
      </c>
      <c r="I1287" s="23"/>
      <c r="J1287" s="24" t="str">
        <f ca="1">IFERROR(__xludf.DUMMYFUNCTION("""COMPUTED_VALUE"""),"Hilbre Bird Observatory")</f>
        <v>Hilbre Bird Observatory</v>
      </c>
      <c r="K1287" s="25"/>
      <c r="L1287" s="27" t="str">
        <f ca="1">IFERROR(__xludf.DUMMYFUNCTION("""COMPUTED_VALUE"""),"closed")</f>
        <v>closed</v>
      </c>
      <c r="M1287" s="27" t="str">
        <f ca="1">IFERROR(__xludf.DUMMYFUNCTION("""COMPUTED_VALUE"""),"photo online")</f>
        <v>photo online</v>
      </c>
      <c r="N1287" s="25" t="str">
        <f ca="1">IFERROR(__xludf.DUMMYFUNCTION("""COMPUTED_VALUE"""),"accepted")</f>
        <v>accepted</v>
      </c>
      <c r="O1287" s="28"/>
      <c r="P1287" s="25"/>
      <c r="Q1287" s="25"/>
      <c r="R1287" s="25"/>
      <c r="S1287" s="25"/>
      <c r="T1287" s="25"/>
      <c r="U1287" s="25"/>
      <c r="V1287" s="25"/>
      <c r="W1287" s="25"/>
      <c r="X1287" s="25"/>
      <c r="Y1287" s="25"/>
      <c r="Z1287" s="25"/>
      <c r="AA1287" s="25"/>
      <c r="AB1287" s="25"/>
      <c r="AC1287" s="25"/>
      <c r="AD1287" s="25"/>
      <c r="AE1287" s="25"/>
      <c r="AF1287" s="25"/>
      <c r="AG1287" s="25"/>
      <c r="AH1287" s="25"/>
      <c r="AI1287" s="25"/>
      <c r="AJ1287" s="25"/>
      <c r="AK1287" s="25"/>
      <c r="AL1287" s="25"/>
      <c r="AM1287" s="25"/>
      <c r="AN1287" s="25"/>
      <c r="AO1287" s="25"/>
      <c r="AP1287" s="25"/>
      <c r="AQ1287" s="25"/>
      <c r="AR1287" s="25"/>
      <c r="AS1287" s="25"/>
      <c r="AT1287" s="25"/>
      <c r="AU1287" s="25"/>
      <c r="AV1287" s="25"/>
      <c r="AW1287" s="25"/>
      <c r="AX1287" s="25"/>
      <c r="AY1287" s="25"/>
      <c r="AZ1287" s="25"/>
      <c r="BA1287" s="25"/>
      <c r="BB1287" s="25"/>
      <c r="BC1287" s="25"/>
      <c r="BD1287" s="25"/>
      <c r="BE1287" s="25"/>
      <c r="BF1287" s="25"/>
      <c r="BG1287" s="25"/>
      <c r="BH1287" s="25"/>
      <c r="BI1287" s="25"/>
      <c r="BJ1287" s="25"/>
      <c r="BK1287" s="25"/>
      <c r="BL1287" s="25"/>
      <c r="BM1287" s="25"/>
      <c r="BN1287" s="25"/>
      <c r="BO1287" s="25"/>
      <c r="BP1287" s="25"/>
      <c r="BQ1287" s="25"/>
      <c r="BR1287" s="25"/>
      <c r="BS1287" s="25"/>
      <c r="BT1287" s="25"/>
      <c r="BU1287" s="25"/>
      <c r="BV1287" s="25"/>
      <c r="BW1287" s="25"/>
      <c r="BX1287" s="25"/>
      <c r="BY1287" s="25"/>
      <c r="BZ1287" s="25"/>
      <c r="CA1287" s="25"/>
      <c r="CB1287" s="25"/>
    </row>
    <row r="1288" spans="1:80" ht="12.75" hidden="1" customHeight="1">
      <c r="A1288" s="10">
        <f ca="1">IFERROR(__xludf.DUMMYFUNCTION("""COMPUTED_VALUE"""),2017)</f>
        <v>2017</v>
      </c>
      <c r="B1288" s="50">
        <f ca="1">IFERROR(__xludf.DUMMYFUNCTION("""COMPUTED_VALUE"""),43374)</f>
        <v>43374</v>
      </c>
      <c r="C1288" s="41">
        <f ca="1">IFERROR(__xludf.DUMMYFUNCTION("""COMPUTED_VALUE"""),43361)</f>
        <v>43361</v>
      </c>
      <c r="D1288" s="42" t="str">
        <f ca="1">IFERROR(__xludf.DUMMYFUNCTION("""COMPUTED_VALUE"""),"Great Northern Diver")</f>
        <v>Great Northern Diver</v>
      </c>
      <c r="E1288" s="53">
        <f ca="1">IFERROR(__xludf.DUMMYFUNCTION("""COMPUTED_VALUE"""),2)</f>
        <v>2</v>
      </c>
      <c r="F1288" s="15" t="str">
        <f ca="1">IFERROR(__xludf.DUMMYFUNCTION("""COMPUTED_VALUE"""),"ad and juv")</f>
        <v>ad and juv</v>
      </c>
      <c r="G1288" s="44" t="str">
        <f ca="1">IFERROR(__xludf.DUMMYFUNCTION("""COMPUTED_VALUE"""),"Hoylake  ")</f>
        <v xml:space="preserve">Hoylake  </v>
      </c>
      <c r="H1288" s="12">
        <f ca="1">IFERROR(__xludf.DUMMYFUNCTION("""COMPUTED_VALUE"""),43010)</f>
        <v>43010</v>
      </c>
      <c r="I1288" s="13"/>
      <c r="J1288" s="14" t="str">
        <f ca="1">IFERROR(__xludf.DUMMYFUNCTION("""COMPUTED_VALUE"""),"Turner, JE")</f>
        <v>Turner, JE</v>
      </c>
      <c r="K1288" s="15" t="str">
        <f ca="1">IFERROR(__xludf.DUMMYFUNCTION("""COMPUTED_VALUE"""),"Turner, JE")</f>
        <v>Turner, JE</v>
      </c>
      <c r="L1288" s="17" t="str">
        <f ca="1">IFERROR(__xludf.DUMMYFUNCTION("""COMPUTED_VALUE"""),"closed")</f>
        <v>closed</v>
      </c>
      <c r="M1288" s="17" t="str">
        <f ca="1">IFERROR(__xludf.DUMMYFUNCTION("""COMPUTED_VALUE"""),"1st U")</f>
        <v>1st U</v>
      </c>
      <c r="N1288" s="15" t="str">
        <f ca="1">IFERROR(__xludf.DUMMYFUNCTION("""COMPUTED_VALUE"""),"accepted")</f>
        <v>accepted</v>
      </c>
      <c r="O1288" s="18" t="str">
        <f ca="1">IFERROR(__xludf.DUMMYFUNCTION("""COMPUTED_VALUE"""),"Ad sum plum and imm w over the tide edge. Photos of both (just)")</f>
        <v>Ad sum plum and imm w over the tide edge. Photos of both (just)</v>
      </c>
      <c r="P1288" s="15"/>
      <c r="Q1288" s="15"/>
      <c r="R1288" s="15"/>
      <c r="S1288" s="15"/>
      <c r="T1288" s="15"/>
      <c r="U1288" s="15"/>
      <c r="V1288" s="15"/>
      <c r="W1288" s="15"/>
      <c r="X1288" s="15"/>
      <c r="Y1288" s="15"/>
      <c r="Z1288" s="15"/>
      <c r="AA1288" s="15"/>
      <c r="AB1288" s="15"/>
      <c r="AC1288" s="15"/>
      <c r="AD1288" s="15"/>
      <c r="AE1288" s="15"/>
      <c r="AF1288" s="15"/>
      <c r="AG1288" s="15"/>
      <c r="AH1288" s="15"/>
      <c r="AI1288" s="15"/>
      <c r="AJ1288" s="15"/>
      <c r="AK1288" s="15"/>
      <c r="AL1288" s="15"/>
      <c r="AM1288" s="15"/>
      <c r="AN1288" s="15"/>
      <c r="AO1288" s="15"/>
      <c r="AP1288" s="15"/>
      <c r="AQ1288" s="15"/>
      <c r="AR1288" s="15"/>
      <c r="AS1288" s="15"/>
      <c r="AT1288" s="15"/>
      <c r="AU1288" s="15"/>
      <c r="AV1288" s="15"/>
      <c r="AW1288" s="15"/>
      <c r="AX1288" s="15"/>
      <c r="AY1288" s="15"/>
      <c r="AZ1288" s="15"/>
      <c r="BA1288" s="15"/>
      <c r="BB1288" s="15"/>
      <c r="BC1288" s="15"/>
      <c r="BD1288" s="15"/>
      <c r="BE1288" s="15"/>
      <c r="BF1288" s="15"/>
      <c r="BG1288" s="15"/>
      <c r="BH1288" s="15"/>
      <c r="BI1288" s="15"/>
      <c r="BJ1288" s="15"/>
      <c r="BK1288" s="15"/>
      <c r="BL1288" s="15"/>
      <c r="BM1288" s="15"/>
      <c r="BN1288" s="15"/>
      <c r="BO1288" s="15"/>
      <c r="BP1288" s="15"/>
      <c r="BQ1288" s="15"/>
      <c r="BR1288" s="15"/>
      <c r="BS1288" s="15"/>
      <c r="BT1288" s="15"/>
      <c r="BU1288" s="15"/>
      <c r="BV1288" s="15"/>
      <c r="BW1288" s="15"/>
      <c r="BX1288" s="15"/>
      <c r="BY1288" s="15"/>
      <c r="BZ1288" s="15"/>
      <c r="CA1288" s="15"/>
      <c r="CB1288" s="15"/>
    </row>
    <row r="1289" spans="1:80" ht="12.75" hidden="1" customHeight="1">
      <c r="A1289" s="20">
        <f ca="1">IFERROR(__xludf.DUMMYFUNCTION("""COMPUTED_VALUE"""),2017)</f>
        <v>2017</v>
      </c>
      <c r="B1289" s="45">
        <f ca="1">IFERROR(__xludf.DUMMYFUNCTION("""COMPUTED_VALUE"""),43538)</f>
        <v>43538</v>
      </c>
      <c r="C1289" s="46"/>
      <c r="D1289" s="47" t="str">
        <f ca="1">IFERROR(__xludf.DUMMYFUNCTION("""COMPUTED_VALUE"""),"Cattle Egret")</f>
        <v>Cattle Egret</v>
      </c>
      <c r="E1289" s="52">
        <f ca="1">IFERROR(__xludf.DUMMYFUNCTION("""COMPUTED_VALUE"""),43617)</f>
        <v>43617</v>
      </c>
      <c r="F1289" s="25"/>
      <c r="G1289" s="48" t="str">
        <f ca="1">IFERROR(__xludf.DUMMYFUNCTION("""COMPUTED_VALUE"""),"Burton Mere Ponds, BMW RSPB")</f>
        <v>Burton Mere Ponds, BMW RSPB</v>
      </c>
      <c r="H1289" s="22">
        <f ca="1">IFERROR(__xludf.DUMMYFUNCTION("""COMPUTED_VALUE"""),42817)</f>
        <v>42817</v>
      </c>
      <c r="I1289" s="22">
        <f ca="1">IFERROR(__xludf.DUMMYFUNCTION("""COMPUTED_VALUE"""),43071)</f>
        <v>43071</v>
      </c>
      <c r="J1289" s="24" t="str">
        <f ca="1">IFERROR(__xludf.DUMMYFUNCTION("""COMPUTED_VALUE"""),"online photo no formal submission")</f>
        <v>online photo no formal submission</v>
      </c>
      <c r="K1289" s="25"/>
      <c r="L1289" s="27" t="str">
        <f ca="1">IFERROR(__xludf.DUMMYFUNCTION("""COMPUTED_VALUE"""),"closed")</f>
        <v>closed</v>
      </c>
      <c r="M1289" s="27"/>
      <c r="N1289" s="25" t="str">
        <f ca="1">IFERROR(__xludf.DUMMYFUNCTION("""COMPUTED_VALUE"""),"accepted")</f>
        <v>accepted</v>
      </c>
      <c r="O1289" s="28"/>
      <c r="P1289" s="25"/>
      <c r="Q1289" s="25"/>
      <c r="R1289" s="25"/>
      <c r="S1289" s="25"/>
      <c r="T1289" s="25"/>
      <c r="U1289" s="25"/>
      <c r="V1289" s="25"/>
      <c r="W1289" s="25"/>
      <c r="X1289" s="25"/>
      <c r="Y1289" s="25"/>
      <c r="Z1289" s="25"/>
      <c r="AA1289" s="25"/>
      <c r="AB1289" s="25"/>
      <c r="AC1289" s="25"/>
      <c r="AD1289" s="25"/>
      <c r="AE1289" s="25"/>
      <c r="AF1289" s="25"/>
      <c r="AG1289" s="25"/>
      <c r="AH1289" s="25"/>
      <c r="AI1289" s="25"/>
      <c r="AJ1289" s="25"/>
      <c r="AK1289" s="25"/>
      <c r="AL1289" s="25"/>
      <c r="AM1289" s="25"/>
      <c r="AN1289" s="25"/>
      <c r="AO1289" s="25"/>
      <c r="AP1289" s="25"/>
      <c r="AQ1289" s="25"/>
      <c r="AR1289" s="25"/>
      <c r="AS1289" s="25"/>
      <c r="AT1289" s="25"/>
      <c r="AU1289" s="25"/>
      <c r="AV1289" s="25"/>
      <c r="AW1289" s="25"/>
      <c r="AX1289" s="25"/>
      <c r="AY1289" s="25"/>
      <c r="AZ1289" s="25"/>
      <c r="BA1289" s="25"/>
      <c r="BB1289" s="25"/>
      <c r="BC1289" s="25"/>
      <c r="BD1289" s="25"/>
      <c r="BE1289" s="25"/>
      <c r="BF1289" s="25"/>
      <c r="BG1289" s="25"/>
      <c r="BH1289" s="25"/>
      <c r="BI1289" s="25"/>
      <c r="BJ1289" s="25"/>
      <c r="BK1289" s="25"/>
      <c r="BL1289" s="25"/>
      <c r="BM1289" s="25"/>
      <c r="BN1289" s="25"/>
      <c r="BO1289" s="25"/>
      <c r="BP1289" s="25"/>
      <c r="BQ1289" s="25"/>
      <c r="BR1289" s="25"/>
      <c r="BS1289" s="25"/>
      <c r="BT1289" s="25"/>
      <c r="BU1289" s="25"/>
      <c r="BV1289" s="25"/>
      <c r="BW1289" s="25"/>
      <c r="BX1289" s="25"/>
      <c r="BY1289" s="25"/>
      <c r="BZ1289" s="25"/>
      <c r="CA1289" s="25"/>
      <c r="CB1289" s="25"/>
    </row>
    <row r="1290" spans="1:80" ht="12.75" hidden="1" customHeight="1">
      <c r="A1290" s="10">
        <f ca="1">IFERROR(__xludf.DUMMYFUNCTION("""COMPUTED_VALUE"""),2017)</f>
        <v>2017</v>
      </c>
      <c r="B1290" s="50">
        <f ca="1">IFERROR(__xludf.DUMMYFUNCTION("""COMPUTED_VALUE"""),43728)</f>
        <v>43728</v>
      </c>
      <c r="C1290" s="41">
        <f ca="1">IFERROR(__xludf.DUMMYFUNCTION("""COMPUTED_VALUE"""),43363)</f>
        <v>43363</v>
      </c>
      <c r="D1290" s="42" t="str">
        <f ca="1">IFERROR(__xludf.DUMMYFUNCTION("""COMPUTED_VALUE"""),"Cattle Egret")</f>
        <v>Cattle Egret</v>
      </c>
      <c r="E1290" s="53">
        <f ca="1">IFERROR(__xludf.DUMMYFUNCTION("""COMPUTED_VALUE"""),1)</f>
        <v>1</v>
      </c>
      <c r="F1290" s="15"/>
      <c r="G1290" s="44" t="str">
        <f ca="1">IFERROR(__xludf.DUMMYFUNCTION("""COMPUTED_VALUE"""),"Lower Weaver flood plain")</f>
        <v>Lower Weaver flood plain</v>
      </c>
      <c r="H1290" s="12">
        <f ca="1">IFERROR(__xludf.DUMMYFUNCTION("""COMPUTED_VALUE"""),42882)</f>
        <v>42882</v>
      </c>
      <c r="I1290" s="13"/>
      <c r="J1290" s="14" t="str">
        <f ca="1">IFERROR(__xludf.DUMMYFUNCTION("""COMPUTED_VALUE"""),"O'Sullivan, M")</f>
        <v>O'Sullivan, M</v>
      </c>
      <c r="K1290" s="15" t="str">
        <f ca="1">IFERROR(__xludf.DUMMYFUNCTION("""COMPUTED_VALUE"""),"O'Sullivan, M")</f>
        <v>O'Sullivan, M</v>
      </c>
      <c r="L1290" s="17" t="str">
        <f ca="1">IFERROR(__xludf.DUMMYFUNCTION("""COMPUTED_VALUE"""),"closed")</f>
        <v>closed</v>
      </c>
      <c r="M1290" s="17" t="str">
        <f ca="1">IFERROR(__xludf.DUMMYFUNCTION("""COMPUTED_VALUE"""),"1st U")</f>
        <v>1st U</v>
      </c>
      <c r="N1290" s="15" t="str">
        <f ca="1">IFERROR(__xludf.DUMMYFUNCTION("""COMPUTED_VALUE"""),"accepted")</f>
        <v>accepted</v>
      </c>
      <c r="O1290" s="18"/>
      <c r="P1290" s="15"/>
      <c r="Q1290" s="15"/>
      <c r="R1290" s="15"/>
      <c r="S1290" s="15"/>
      <c r="T1290" s="15"/>
      <c r="U1290" s="15"/>
      <c r="V1290" s="15"/>
      <c r="W1290" s="15"/>
      <c r="X1290" s="15"/>
      <c r="Y1290" s="15"/>
      <c r="Z1290" s="15"/>
      <c r="AA1290" s="15"/>
      <c r="AB1290" s="15"/>
      <c r="AC1290" s="15"/>
      <c r="AD1290" s="15"/>
      <c r="AE1290" s="15"/>
      <c r="AF1290" s="15"/>
      <c r="AG1290" s="15"/>
      <c r="AH1290" s="15"/>
      <c r="AI1290" s="15"/>
      <c r="AJ1290" s="15"/>
      <c r="AK1290" s="15"/>
      <c r="AL1290" s="15"/>
      <c r="AM1290" s="15"/>
      <c r="AN1290" s="15"/>
      <c r="AO1290" s="15"/>
      <c r="AP1290" s="15"/>
      <c r="AQ1290" s="15"/>
      <c r="AR1290" s="15"/>
      <c r="AS1290" s="15"/>
      <c r="AT1290" s="15"/>
      <c r="AU1290" s="15"/>
      <c r="AV1290" s="15"/>
      <c r="AW1290" s="15"/>
      <c r="AX1290" s="15"/>
      <c r="AY1290" s="15"/>
      <c r="AZ1290" s="15"/>
      <c r="BA1290" s="15"/>
      <c r="BB1290" s="15"/>
      <c r="BC1290" s="15"/>
      <c r="BD1290" s="15"/>
      <c r="BE1290" s="15"/>
      <c r="BF1290" s="15"/>
      <c r="BG1290" s="15"/>
      <c r="BH1290" s="15"/>
      <c r="BI1290" s="15"/>
      <c r="BJ1290" s="15"/>
      <c r="BK1290" s="15"/>
      <c r="BL1290" s="15"/>
      <c r="BM1290" s="15"/>
      <c r="BN1290" s="15"/>
      <c r="BO1290" s="15"/>
      <c r="BP1290" s="15"/>
      <c r="BQ1290" s="15"/>
      <c r="BR1290" s="15"/>
      <c r="BS1290" s="15"/>
      <c r="BT1290" s="15"/>
      <c r="BU1290" s="15"/>
      <c r="BV1290" s="15"/>
      <c r="BW1290" s="15"/>
      <c r="BX1290" s="15"/>
      <c r="BY1290" s="15"/>
      <c r="BZ1290" s="15"/>
      <c r="CA1290" s="15"/>
      <c r="CB1290" s="15"/>
    </row>
    <row r="1291" spans="1:80" ht="12.75" hidden="1" customHeight="1">
      <c r="A1291" s="20">
        <f ca="1">IFERROR(__xludf.DUMMYFUNCTION("""COMPUTED_VALUE"""),2017)</f>
        <v>2017</v>
      </c>
      <c r="B1291" s="45">
        <f ca="1">IFERROR(__xludf.DUMMYFUNCTION("""COMPUTED_VALUE"""),43717)</f>
        <v>43717</v>
      </c>
      <c r="C1291" s="46">
        <f ca="1">IFERROR(__xludf.DUMMYFUNCTION("""COMPUTED_VALUE"""),43718)</f>
        <v>43718</v>
      </c>
      <c r="D1291" s="47" t="str">
        <f ca="1">IFERROR(__xludf.DUMMYFUNCTION("""COMPUTED_VALUE"""),"Cattle Egret")</f>
        <v>Cattle Egret</v>
      </c>
      <c r="E1291" s="52">
        <f ca="1">IFERROR(__xludf.DUMMYFUNCTION("""COMPUTED_VALUE"""),1)</f>
        <v>1</v>
      </c>
      <c r="F1291" s="25"/>
      <c r="G1291" s="48" t="str">
        <f ca="1">IFERROR(__xludf.DUMMYFUNCTION("""COMPUTED_VALUE"""),"Sandbach Flashes")</f>
        <v>Sandbach Flashes</v>
      </c>
      <c r="H1291" s="22">
        <f ca="1">IFERROR(__xludf.DUMMYFUNCTION("""COMPUTED_VALUE"""),42963)</f>
        <v>42963</v>
      </c>
      <c r="I1291" s="22">
        <f ca="1">IFERROR(__xludf.DUMMYFUNCTION("""COMPUTED_VALUE"""),42965)</f>
        <v>42965</v>
      </c>
      <c r="J1291" s="24" t="str">
        <f ca="1">IFERROR(__xludf.DUMMYFUNCTION("""COMPUTED_VALUE"""),"Thompson, J")</f>
        <v>Thompson, J</v>
      </c>
      <c r="K1291" s="25" t="str">
        <f ca="1">IFERROR(__xludf.DUMMYFUNCTION("""COMPUTED_VALUE"""),"Goodwin A")</f>
        <v>Goodwin A</v>
      </c>
      <c r="L1291" s="27" t="str">
        <f ca="1">IFERROR(__xludf.DUMMYFUNCTION("""COMPUTED_VALUE"""),"closed")</f>
        <v>closed</v>
      </c>
      <c r="M1291" s="27" t="str">
        <f ca="1">IFERROR(__xludf.DUMMYFUNCTION("""COMPUTED_VALUE"""),"1st U")</f>
        <v>1st U</v>
      </c>
      <c r="N1291" s="25" t="str">
        <f ca="1">IFERROR(__xludf.DUMMYFUNCTION("""COMPUTED_VALUE"""),"accepted")</f>
        <v>accepted</v>
      </c>
      <c r="O1291" s="28"/>
      <c r="P1291" s="25"/>
      <c r="Q1291" s="25"/>
      <c r="R1291" s="25"/>
      <c r="S1291" s="25"/>
      <c r="T1291" s="25"/>
      <c r="U1291" s="25"/>
      <c r="V1291" s="25"/>
      <c r="W1291" s="25"/>
      <c r="X1291" s="25"/>
      <c r="Y1291" s="25"/>
      <c r="Z1291" s="25"/>
      <c r="AA1291" s="25"/>
      <c r="AB1291" s="25"/>
      <c r="AC1291" s="25"/>
      <c r="AD1291" s="25"/>
      <c r="AE1291" s="25"/>
      <c r="AF1291" s="25"/>
      <c r="AG1291" s="25"/>
      <c r="AH1291" s="25"/>
      <c r="AI1291" s="25"/>
      <c r="AJ1291" s="25"/>
      <c r="AK1291" s="25"/>
      <c r="AL1291" s="25"/>
      <c r="AM1291" s="25"/>
      <c r="AN1291" s="25"/>
      <c r="AO1291" s="25"/>
      <c r="AP1291" s="25"/>
      <c r="AQ1291" s="25"/>
      <c r="AR1291" s="25"/>
      <c r="AS1291" s="25"/>
      <c r="AT1291" s="25"/>
      <c r="AU1291" s="25"/>
      <c r="AV1291" s="25"/>
      <c r="AW1291" s="25"/>
      <c r="AX1291" s="25"/>
      <c r="AY1291" s="25"/>
      <c r="AZ1291" s="25"/>
      <c r="BA1291" s="25"/>
      <c r="BB1291" s="25"/>
      <c r="BC1291" s="25"/>
      <c r="BD1291" s="25"/>
      <c r="BE1291" s="25"/>
      <c r="BF1291" s="25"/>
      <c r="BG1291" s="25"/>
      <c r="BH1291" s="25"/>
      <c r="BI1291" s="25"/>
      <c r="BJ1291" s="25"/>
      <c r="BK1291" s="25"/>
      <c r="BL1291" s="25"/>
      <c r="BM1291" s="25"/>
      <c r="BN1291" s="25"/>
      <c r="BO1291" s="25"/>
      <c r="BP1291" s="25"/>
      <c r="BQ1291" s="25"/>
      <c r="BR1291" s="25"/>
      <c r="BS1291" s="25"/>
      <c r="BT1291" s="25"/>
      <c r="BU1291" s="25"/>
      <c r="BV1291" s="25"/>
      <c r="BW1291" s="25"/>
      <c r="BX1291" s="25"/>
      <c r="BY1291" s="25"/>
      <c r="BZ1291" s="25"/>
      <c r="CA1291" s="25"/>
      <c r="CB1291" s="25"/>
    </row>
    <row r="1292" spans="1:80" ht="12.75" hidden="1" customHeight="1">
      <c r="A1292" s="10">
        <f ca="1">IFERROR(__xludf.DUMMYFUNCTION("""COMPUTED_VALUE"""),2017)</f>
        <v>2017</v>
      </c>
      <c r="B1292" s="50">
        <f ca="1">IFERROR(__xludf.DUMMYFUNCTION("""COMPUTED_VALUE"""),43538)</f>
        <v>43538</v>
      </c>
      <c r="C1292" s="41">
        <f ca="1">IFERROR(__xludf.DUMMYFUNCTION("""COMPUTED_VALUE"""),44025)</f>
        <v>44025</v>
      </c>
      <c r="D1292" s="42" t="str">
        <f ca="1">IFERROR(__xludf.DUMMYFUNCTION("""COMPUTED_VALUE"""),"Goshawk")</f>
        <v>Goshawk</v>
      </c>
      <c r="E1292" s="53">
        <f ca="1">IFERROR(__xludf.DUMMYFUNCTION("""COMPUTED_VALUE"""),1)</f>
        <v>1</v>
      </c>
      <c r="F1292" s="15"/>
      <c r="G1292" s="44" t="str">
        <f ca="1">IFERROR(__xludf.DUMMYFUNCTION("""COMPUTED_VALUE"""),"Alsager South")</f>
        <v>Alsager South</v>
      </c>
      <c r="H1292" s="12">
        <f ca="1">IFERROR(__xludf.DUMMYFUNCTION("""COMPUTED_VALUE"""),43000)</f>
        <v>43000</v>
      </c>
      <c r="I1292" s="13"/>
      <c r="J1292" s="14"/>
      <c r="K1292" s="15"/>
      <c r="L1292" s="17" t="str">
        <f ca="1">IFERROR(__xludf.DUMMYFUNCTION("""COMPUTED_VALUE"""),"closed")</f>
        <v>closed</v>
      </c>
      <c r="M1292" s="17" t="str">
        <f ca="1">IFERROR(__xludf.DUMMYFUNCTION("""COMPUTED_VALUE"""),"1st U")</f>
        <v>1st U</v>
      </c>
      <c r="N1292" s="15" t="str">
        <f ca="1">IFERROR(__xludf.DUMMYFUNCTION("""COMPUTED_VALUE"""),"unproven")</f>
        <v>unproven</v>
      </c>
      <c r="O1292" s="18"/>
      <c r="P1292" s="15"/>
      <c r="Q1292" s="15"/>
      <c r="R1292" s="15"/>
      <c r="S1292" s="15"/>
      <c r="T1292" s="15"/>
      <c r="U1292" s="15"/>
      <c r="V1292" s="15"/>
      <c r="W1292" s="15"/>
      <c r="X1292" s="15"/>
      <c r="Y1292" s="15"/>
      <c r="Z1292" s="15"/>
      <c r="AA1292" s="15"/>
      <c r="AB1292" s="15"/>
      <c r="AC1292" s="15"/>
      <c r="AD1292" s="15"/>
      <c r="AE1292" s="15"/>
      <c r="AF1292" s="15"/>
      <c r="AG1292" s="15"/>
      <c r="AH1292" s="15"/>
      <c r="AI1292" s="15"/>
      <c r="AJ1292" s="15"/>
      <c r="AK1292" s="15"/>
      <c r="AL1292" s="15"/>
      <c r="AM1292" s="15"/>
      <c r="AN1292" s="15"/>
      <c r="AO1292" s="15"/>
      <c r="AP1292" s="15"/>
      <c r="AQ1292" s="15"/>
      <c r="AR1292" s="15"/>
      <c r="AS1292" s="15"/>
      <c r="AT1292" s="15"/>
      <c r="AU1292" s="15"/>
      <c r="AV1292" s="15"/>
      <c r="AW1292" s="15"/>
      <c r="AX1292" s="15"/>
      <c r="AY1292" s="15"/>
      <c r="AZ1292" s="15"/>
      <c r="BA1292" s="15"/>
      <c r="BB1292" s="15"/>
      <c r="BC1292" s="15"/>
      <c r="BD1292" s="15"/>
      <c r="BE1292" s="15"/>
      <c r="BF1292" s="15"/>
      <c r="BG1292" s="15"/>
      <c r="BH1292" s="15"/>
      <c r="BI1292" s="15"/>
      <c r="BJ1292" s="15"/>
      <c r="BK1292" s="15"/>
      <c r="BL1292" s="15"/>
      <c r="BM1292" s="15"/>
      <c r="BN1292" s="15"/>
      <c r="BO1292" s="15"/>
      <c r="BP1292" s="15"/>
      <c r="BQ1292" s="15"/>
      <c r="BR1292" s="15"/>
      <c r="BS1292" s="15"/>
      <c r="BT1292" s="15"/>
      <c r="BU1292" s="15"/>
      <c r="BV1292" s="15"/>
      <c r="BW1292" s="15"/>
      <c r="BX1292" s="15"/>
      <c r="BY1292" s="15"/>
      <c r="BZ1292" s="15"/>
      <c r="CA1292" s="15"/>
      <c r="CB1292" s="15"/>
    </row>
    <row r="1293" spans="1:80" ht="12.75" hidden="1" customHeight="1">
      <c r="A1293" s="20">
        <f ca="1">IFERROR(__xludf.DUMMYFUNCTION("""COMPUTED_VALUE"""),2017)</f>
        <v>2017</v>
      </c>
      <c r="B1293" s="45">
        <f ca="1">IFERROR(__xludf.DUMMYFUNCTION("""COMPUTED_VALUE"""),43374)</f>
        <v>43374</v>
      </c>
      <c r="C1293" s="46"/>
      <c r="D1293" s="47" t="str">
        <f ca="1">IFERROR(__xludf.DUMMYFUNCTION("""COMPUTED_VALUE"""),"Hoopoe")</f>
        <v>Hoopoe</v>
      </c>
      <c r="E1293" s="52">
        <f ca="1">IFERROR(__xludf.DUMMYFUNCTION("""COMPUTED_VALUE"""),1)</f>
        <v>1</v>
      </c>
      <c r="F1293" s="25"/>
      <c r="G1293" s="48" t="str">
        <f ca="1">IFERROR(__xludf.DUMMYFUNCTION("""COMPUTED_VALUE"""),"Dutton, Warrington WA4 4LF")</f>
        <v>Dutton, Warrington WA4 4LF</v>
      </c>
      <c r="H1293" s="22">
        <f ca="1">IFERROR(__xludf.DUMMYFUNCTION("""COMPUTED_VALUE"""),42885)</f>
        <v>42885</v>
      </c>
      <c r="I1293" s="22">
        <f ca="1">IFERROR(__xludf.DUMMYFUNCTION("""COMPUTED_VALUE"""),42886)</f>
        <v>42886</v>
      </c>
      <c r="J1293" s="24" t="str">
        <f ca="1">IFERROR(__xludf.DUMMYFUNCTION("""COMPUTED_VALUE"""),"Blamire,S")</f>
        <v>Blamire,S</v>
      </c>
      <c r="K1293" s="25" t="str">
        <f ca="1">IFERROR(__xludf.DUMMYFUNCTION("""COMPUTED_VALUE"""),"Kuties,J")</f>
        <v>Kuties,J</v>
      </c>
      <c r="L1293" s="27" t="str">
        <f ca="1">IFERROR(__xludf.DUMMYFUNCTION("""COMPUTED_VALUE"""),"closed")</f>
        <v>closed</v>
      </c>
      <c r="M1293" s="27" t="str">
        <f ca="1">IFERROR(__xludf.DUMMYFUNCTION("""COMPUTED_VALUE"""),"1st U")</f>
        <v>1st U</v>
      </c>
      <c r="N1293" s="25" t="str">
        <f ca="1">IFERROR(__xludf.DUMMYFUNCTION("""COMPUTED_VALUE"""),"accepted")</f>
        <v>accepted</v>
      </c>
      <c r="O1293" s="28"/>
      <c r="P1293" s="25"/>
      <c r="Q1293" s="25"/>
      <c r="R1293" s="25"/>
      <c r="S1293" s="25"/>
      <c r="T1293" s="25"/>
      <c r="U1293" s="25"/>
      <c r="V1293" s="25"/>
      <c r="W1293" s="25"/>
      <c r="X1293" s="25"/>
      <c r="Y1293" s="25"/>
      <c r="Z1293" s="25"/>
      <c r="AA1293" s="25"/>
      <c r="AB1293" s="25"/>
      <c r="AC1293" s="25"/>
      <c r="AD1293" s="25"/>
      <c r="AE1293" s="25"/>
      <c r="AF1293" s="25"/>
      <c r="AG1293" s="25"/>
      <c r="AH1293" s="25"/>
      <c r="AI1293" s="25"/>
      <c r="AJ1293" s="25"/>
      <c r="AK1293" s="25"/>
      <c r="AL1293" s="25"/>
      <c r="AM1293" s="25"/>
      <c r="AN1293" s="25"/>
      <c r="AO1293" s="25"/>
      <c r="AP1293" s="25"/>
      <c r="AQ1293" s="25"/>
      <c r="AR1293" s="25"/>
      <c r="AS1293" s="25"/>
      <c r="AT1293" s="25"/>
      <c r="AU1293" s="25"/>
      <c r="AV1293" s="25"/>
      <c r="AW1293" s="25"/>
      <c r="AX1293" s="25"/>
      <c r="AY1293" s="25"/>
      <c r="AZ1293" s="25"/>
      <c r="BA1293" s="25"/>
      <c r="BB1293" s="25"/>
      <c r="BC1293" s="25"/>
      <c r="BD1293" s="25"/>
      <c r="BE1293" s="25"/>
      <c r="BF1293" s="25"/>
      <c r="BG1293" s="25"/>
      <c r="BH1293" s="25"/>
      <c r="BI1293" s="25"/>
      <c r="BJ1293" s="25"/>
      <c r="BK1293" s="25"/>
      <c r="BL1293" s="25"/>
      <c r="BM1293" s="25"/>
      <c r="BN1293" s="25"/>
      <c r="BO1293" s="25"/>
      <c r="BP1293" s="25"/>
      <c r="BQ1293" s="25"/>
      <c r="BR1293" s="25"/>
      <c r="BS1293" s="25"/>
      <c r="BT1293" s="25"/>
      <c r="BU1293" s="25"/>
      <c r="BV1293" s="25"/>
      <c r="BW1293" s="25"/>
      <c r="BX1293" s="25"/>
      <c r="BY1293" s="25"/>
      <c r="BZ1293" s="25"/>
      <c r="CA1293" s="25"/>
      <c r="CB1293" s="25"/>
    </row>
    <row r="1294" spans="1:80" ht="12.75" hidden="1" customHeight="1">
      <c r="A1294" s="10">
        <f ca="1">IFERROR(__xludf.DUMMYFUNCTION("""COMPUTED_VALUE"""),2017)</f>
        <v>2017</v>
      </c>
      <c r="B1294" s="50">
        <f ca="1">IFERROR(__xludf.DUMMYFUNCTION("""COMPUTED_VALUE"""),43949)</f>
        <v>43949</v>
      </c>
      <c r="C1294" s="41">
        <f ca="1">IFERROR(__xludf.DUMMYFUNCTION("""COMPUTED_VALUE"""),43890)</f>
        <v>43890</v>
      </c>
      <c r="D1294" s="42" t="str">
        <f ca="1">IFERROR(__xludf.DUMMYFUNCTION("""COMPUTED_VALUE"""),"Red-backed Shrike")</f>
        <v>Red-backed Shrike</v>
      </c>
      <c r="E1294" s="53">
        <f ca="1">IFERROR(__xludf.DUMMYFUNCTION("""COMPUTED_VALUE"""),1)</f>
        <v>1</v>
      </c>
      <c r="F1294" s="15"/>
      <c r="G1294" s="44" t="str">
        <f ca="1">IFERROR(__xludf.DUMMYFUNCTION("""COMPUTED_VALUE"""),"Brereton Green")</f>
        <v>Brereton Green</v>
      </c>
      <c r="H1294" s="12">
        <f ca="1">IFERROR(__xludf.DUMMYFUNCTION("""COMPUTED_VALUE"""),42993)</f>
        <v>42993</v>
      </c>
      <c r="I1294" s="13"/>
      <c r="J1294" s="14" t="str">
        <f ca="1">IFERROR(__xludf.DUMMYFUNCTION("""COMPUTED_VALUE"""),"Hill, George")</f>
        <v>Hill, George</v>
      </c>
      <c r="K1294" s="15"/>
      <c r="L1294" s="17" t="str">
        <f ca="1">IFERROR(__xludf.DUMMYFUNCTION("""COMPUTED_VALUE"""),"closed")</f>
        <v>closed</v>
      </c>
      <c r="M1294" s="17" t="str">
        <f ca="1">IFERROR(__xludf.DUMMYFUNCTION("""COMPUTED_VALUE"""),"1st U")</f>
        <v>1st U</v>
      </c>
      <c r="N1294" s="15" t="str">
        <f ca="1">IFERROR(__xludf.DUMMYFUNCTION("""COMPUTED_VALUE"""),"accepted")</f>
        <v>accepted</v>
      </c>
      <c r="O1294" s="18"/>
      <c r="P1294" s="15"/>
      <c r="Q1294" s="15"/>
      <c r="R1294" s="15"/>
      <c r="S1294" s="15"/>
      <c r="T1294" s="15"/>
      <c r="U1294" s="15"/>
      <c r="V1294" s="15"/>
      <c r="W1294" s="15"/>
      <c r="X1294" s="15"/>
      <c r="Y1294" s="15"/>
      <c r="Z1294" s="15"/>
      <c r="AA1294" s="15"/>
      <c r="AB1294" s="15"/>
      <c r="AC1294" s="15"/>
      <c r="AD1294" s="15"/>
      <c r="AE1294" s="15"/>
      <c r="AF1294" s="15"/>
      <c r="AG1294" s="15"/>
      <c r="AH1294" s="15"/>
      <c r="AI1294" s="15"/>
      <c r="AJ1294" s="15"/>
      <c r="AK1294" s="15"/>
      <c r="AL1294" s="15"/>
      <c r="AM1294" s="15"/>
      <c r="AN1294" s="15"/>
      <c r="AO1294" s="15"/>
      <c r="AP1294" s="15"/>
      <c r="AQ1294" s="15"/>
      <c r="AR1294" s="15"/>
      <c r="AS1294" s="15"/>
      <c r="AT1294" s="15"/>
      <c r="AU1294" s="15"/>
      <c r="AV1294" s="15"/>
      <c r="AW1294" s="15"/>
      <c r="AX1294" s="15"/>
      <c r="AY1294" s="15"/>
      <c r="AZ1294" s="15"/>
      <c r="BA1294" s="15"/>
      <c r="BB1294" s="15"/>
      <c r="BC1294" s="15"/>
      <c r="BD1294" s="15"/>
      <c r="BE1294" s="15"/>
      <c r="BF1294" s="15"/>
      <c r="BG1294" s="15"/>
      <c r="BH1294" s="15"/>
      <c r="BI1294" s="15"/>
      <c r="BJ1294" s="15"/>
      <c r="BK1294" s="15"/>
      <c r="BL1294" s="15"/>
      <c r="BM1294" s="15"/>
      <c r="BN1294" s="15"/>
      <c r="BO1294" s="15"/>
      <c r="BP1294" s="15"/>
      <c r="BQ1294" s="15"/>
      <c r="BR1294" s="15"/>
      <c r="BS1294" s="15"/>
      <c r="BT1294" s="15"/>
      <c r="BU1294" s="15"/>
      <c r="BV1294" s="15"/>
      <c r="BW1294" s="15"/>
      <c r="BX1294" s="15"/>
      <c r="BY1294" s="15"/>
      <c r="BZ1294" s="15"/>
      <c r="CA1294" s="15"/>
      <c r="CB1294" s="15"/>
    </row>
    <row r="1295" spans="1:80" ht="12.75" hidden="1" customHeight="1">
      <c r="A1295" s="20">
        <f ca="1">IFERROR(__xludf.DUMMYFUNCTION("""COMPUTED_VALUE"""),2017)</f>
        <v>2017</v>
      </c>
      <c r="B1295" s="45">
        <f ca="1">IFERROR(__xludf.DUMMYFUNCTION("""COMPUTED_VALUE"""),43538)</f>
        <v>43538</v>
      </c>
      <c r="C1295" s="46"/>
      <c r="D1295" s="47" t="str">
        <f ca="1">IFERROR(__xludf.DUMMYFUNCTION("""COMPUTED_VALUE"""),"Great Grey Shrike")</f>
        <v>Great Grey Shrike</v>
      </c>
      <c r="E1295" s="52">
        <f ca="1">IFERROR(__xludf.DUMMYFUNCTION("""COMPUTED_VALUE"""),1)</f>
        <v>1</v>
      </c>
      <c r="F1295" s="25"/>
      <c r="G1295" s="48" t="str">
        <f ca="1">IFERROR(__xludf.DUMMYFUNCTION("""COMPUTED_VALUE"""),"Frodsham Marsh")</f>
        <v>Frodsham Marsh</v>
      </c>
      <c r="H1295" s="57">
        <f ca="1">IFERROR(__xludf.DUMMYFUNCTION("""COMPUTED_VALUE"""),42798)</f>
        <v>42798</v>
      </c>
      <c r="I1295" s="22">
        <f ca="1">IFERROR(__xludf.DUMMYFUNCTION("""COMPUTED_VALUE"""),42801)</f>
        <v>42801</v>
      </c>
      <c r="J1295" s="24" t="str">
        <f ca="1">IFERROR(__xludf.DUMMYFUNCTION("""COMPUTED_VALUE"""),"Dorah, J")</f>
        <v>Dorah, J</v>
      </c>
      <c r="K1295" s="25" t="str">
        <f ca="1">IFERROR(__xludf.DUMMYFUNCTION("""COMPUTED_VALUE"""),"Dorah, J")</f>
        <v>Dorah, J</v>
      </c>
      <c r="L1295" s="27" t="str">
        <f ca="1">IFERROR(__xludf.DUMMYFUNCTION("""COMPUTED_VALUE"""),"closed")</f>
        <v>closed</v>
      </c>
      <c r="M1295" s="27" t="str">
        <f ca="1">IFERROR(__xludf.DUMMYFUNCTION("""COMPUTED_VALUE"""),"1st U")</f>
        <v>1st U</v>
      </c>
      <c r="N1295" s="25" t="str">
        <f ca="1">IFERROR(__xludf.DUMMYFUNCTION("""COMPUTED_VALUE"""),"accepted")</f>
        <v>accepted</v>
      </c>
      <c r="O1295" s="28"/>
      <c r="P1295" s="25"/>
      <c r="Q1295" s="25"/>
      <c r="R1295" s="25"/>
      <c r="S1295" s="25"/>
      <c r="T1295" s="25"/>
      <c r="U1295" s="25"/>
      <c r="V1295" s="25"/>
      <c r="W1295" s="25"/>
      <c r="X1295" s="25"/>
      <c r="Y1295" s="25"/>
      <c r="Z1295" s="25"/>
      <c r="AA1295" s="25"/>
      <c r="AB1295" s="25"/>
      <c r="AC1295" s="25"/>
      <c r="AD1295" s="25"/>
      <c r="AE1295" s="25"/>
      <c r="AF1295" s="25"/>
      <c r="AG1295" s="25"/>
      <c r="AH1295" s="25"/>
      <c r="AI1295" s="25"/>
      <c r="AJ1295" s="25"/>
      <c r="AK1295" s="25"/>
      <c r="AL1295" s="25"/>
      <c r="AM1295" s="25"/>
      <c r="AN1295" s="25"/>
      <c r="AO1295" s="25"/>
      <c r="AP1295" s="25"/>
      <c r="AQ1295" s="25"/>
      <c r="AR1295" s="25"/>
      <c r="AS1295" s="25"/>
      <c r="AT1295" s="25"/>
      <c r="AU1295" s="25"/>
      <c r="AV1295" s="25"/>
      <c r="AW1295" s="25"/>
      <c r="AX1295" s="25"/>
      <c r="AY1295" s="25"/>
      <c r="AZ1295" s="25"/>
      <c r="BA1295" s="25"/>
      <c r="BB1295" s="25"/>
      <c r="BC1295" s="25"/>
      <c r="BD1295" s="25"/>
      <c r="BE1295" s="25"/>
      <c r="BF1295" s="25"/>
      <c r="BG1295" s="25"/>
      <c r="BH1295" s="25"/>
      <c r="BI1295" s="25"/>
      <c r="BJ1295" s="25"/>
      <c r="BK1295" s="25"/>
      <c r="BL1295" s="25"/>
      <c r="BM1295" s="25"/>
      <c r="BN1295" s="25"/>
      <c r="BO1295" s="25"/>
      <c r="BP1295" s="25"/>
      <c r="BQ1295" s="25"/>
      <c r="BR1295" s="25"/>
      <c r="BS1295" s="25"/>
      <c r="BT1295" s="25"/>
      <c r="BU1295" s="25"/>
      <c r="BV1295" s="25"/>
      <c r="BW1295" s="25"/>
      <c r="BX1295" s="25"/>
      <c r="BY1295" s="25"/>
      <c r="BZ1295" s="25"/>
      <c r="CA1295" s="25"/>
      <c r="CB1295" s="25"/>
    </row>
    <row r="1296" spans="1:80" ht="12.75" hidden="1" customHeight="1">
      <c r="A1296" s="10">
        <f ca="1">IFERROR(__xludf.DUMMYFUNCTION("""COMPUTED_VALUE"""),2017)</f>
        <v>2017</v>
      </c>
      <c r="B1296" s="50">
        <f ca="1">IFERROR(__xludf.DUMMYFUNCTION("""COMPUTED_VALUE"""),43374)</f>
        <v>43374</v>
      </c>
      <c r="C1296" s="41"/>
      <c r="D1296" s="42" t="str">
        <f ca="1">IFERROR(__xludf.DUMMYFUNCTION("""COMPUTED_VALUE"""),"Hooded Crow")</f>
        <v>Hooded Crow</v>
      </c>
      <c r="E1296" s="53">
        <f ca="1">IFERROR(__xludf.DUMMYFUNCTION("""COMPUTED_VALUE"""),1)</f>
        <v>1</v>
      </c>
      <c r="F1296" s="15" t="str">
        <f ca="1">IFERROR(__xludf.DUMMYFUNCTION("""COMPUTED_VALUE"""),"ad")</f>
        <v>ad</v>
      </c>
      <c r="G1296" s="44" t="str">
        <f ca="1">IFERROR(__xludf.DUMMYFUNCTION("""COMPUTED_VALUE"""),"Hoylake Queens Park")</f>
        <v>Hoylake Queens Park</v>
      </c>
      <c r="H1296" s="12">
        <f ca="1">IFERROR(__xludf.DUMMYFUNCTION("""COMPUTED_VALUE"""),42847)</f>
        <v>42847</v>
      </c>
      <c r="I1296" s="13"/>
      <c r="J1296" s="14" t="str">
        <f ca="1">IFERROR(__xludf.DUMMYFUNCTION("""COMPUTED_VALUE"""),"Davenport, M")</f>
        <v>Davenport, M</v>
      </c>
      <c r="K1296" s="15" t="str">
        <f ca="1">IFERROR(__xludf.DUMMYFUNCTION("""COMPUTED_VALUE"""),"Davenport, M")</f>
        <v>Davenport, M</v>
      </c>
      <c r="L1296" s="17" t="str">
        <f ca="1">IFERROR(__xludf.DUMMYFUNCTION("""COMPUTED_VALUE"""),"closed")</f>
        <v>closed</v>
      </c>
      <c r="M1296" s="17" t="str">
        <f ca="1">IFERROR(__xludf.DUMMYFUNCTION("""COMPUTED_VALUE"""),"1st U")</f>
        <v>1st U</v>
      </c>
      <c r="N1296" s="15" t="str">
        <f ca="1">IFERROR(__xludf.DUMMYFUNCTION("""COMPUTED_VALUE"""),"accepted")</f>
        <v>accepted</v>
      </c>
      <c r="O1296" s="18"/>
      <c r="P1296" s="15"/>
      <c r="Q1296" s="15"/>
      <c r="R1296" s="15"/>
      <c r="S1296" s="15"/>
      <c r="T1296" s="15"/>
      <c r="U1296" s="15"/>
      <c r="V1296" s="15"/>
      <c r="W1296" s="15"/>
      <c r="X1296" s="15"/>
      <c r="Y1296" s="15"/>
      <c r="Z1296" s="15"/>
      <c r="AA1296" s="15"/>
      <c r="AB1296" s="15"/>
      <c r="AC1296" s="15"/>
      <c r="AD1296" s="15"/>
      <c r="AE1296" s="15"/>
      <c r="AF1296" s="15"/>
      <c r="AG1296" s="15"/>
      <c r="AH1296" s="15"/>
      <c r="AI1296" s="15"/>
      <c r="AJ1296" s="15"/>
      <c r="AK1296" s="15"/>
      <c r="AL1296" s="15"/>
      <c r="AM1296" s="15"/>
      <c r="AN1296" s="15"/>
      <c r="AO1296" s="15"/>
      <c r="AP1296" s="15"/>
      <c r="AQ1296" s="15"/>
      <c r="AR1296" s="15"/>
      <c r="AS1296" s="15"/>
      <c r="AT1296" s="15"/>
      <c r="AU1296" s="15"/>
      <c r="AV1296" s="15"/>
      <c r="AW1296" s="15"/>
      <c r="AX1296" s="15"/>
      <c r="AY1296" s="15"/>
      <c r="AZ1296" s="15"/>
      <c r="BA1296" s="15"/>
      <c r="BB1296" s="15"/>
      <c r="BC1296" s="15"/>
      <c r="BD1296" s="15"/>
      <c r="BE1296" s="15"/>
      <c r="BF1296" s="15"/>
      <c r="BG1296" s="15"/>
      <c r="BH1296" s="15"/>
      <c r="BI1296" s="15"/>
      <c r="BJ1296" s="15"/>
      <c r="BK1296" s="15"/>
      <c r="BL1296" s="15"/>
      <c r="BM1296" s="15"/>
      <c r="BN1296" s="15"/>
      <c r="BO1296" s="15"/>
      <c r="BP1296" s="15"/>
      <c r="BQ1296" s="15"/>
      <c r="BR1296" s="15"/>
      <c r="BS1296" s="15"/>
      <c r="BT1296" s="15"/>
      <c r="BU1296" s="15"/>
      <c r="BV1296" s="15"/>
      <c r="BW1296" s="15"/>
      <c r="BX1296" s="15"/>
      <c r="BY1296" s="15"/>
      <c r="BZ1296" s="15"/>
      <c r="CA1296" s="15"/>
      <c r="CB1296" s="15"/>
    </row>
    <row r="1297" spans="1:80" ht="12.75" hidden="1" customHeight="1">
      <c r="A1297" s="20">
        <f ca="1">IFERROR(__xludf.DUMMYFUNCTION("""COMPUTED_VALUE"""),2017)</f>
        <v>2017</v>
      </c>
      <c r="B1297" s="45">
        <f ca="1">IFERROR(__xludf.DUMMYFUNCTION("""COMPUTED_VALUE"""),44573)</f>
        <v>44573</v>
      </c>
      <c r="C1297" s="46"/>
      <c r="D1297" s="47" t="str">
        <f ca="1">IFERROR(__xludf.DUMMYFUNCTION("""COMPUTED_VALUE"""),"Hooded Crow")</f>
        <v>Hooded Crow</v>
      </c>
      <c r="E1297" s="52">
        <f ca="1">IFERROR(__xludf.DUMMYFUNCTION("""COMPUTED_VALUE"""),1)</f>
        <v>1</v>
      </c>
      <c r="F1297" s="25"/>
      <c r="G1297" s="48" t="str">
        <f ca="1">IFERROR(__xludf.DUMMYFUNCTION("""COMPUTED_VALUE"""),"Meols")</f>
        <v>Meols</v>
      </c>
      <c r="H1297" s="22">
        <f ca="1">IFERROR(__xludf.DUMMYFUNCTION("""COMPUTED_VALUE"""),42860)</f>
        <v>42860</v>
      </c>
      <c r="I1297" s="22">
        <f ca="1">IFERROR(__xludf.DUMMYFUNCTION("""COMPUTED_VALUE"""),42861)</f>
        <v>42861</v>
      </c>
      <c r="J1297" s="24" t="str">
        <f ca="1">IFERROR(__xludf.DUMMYFUNCTION("""COMPUTED_VALUE"""),"Birdguides")</f>
        <v>Birdguides</v>
      </c>
      <c r="K1297" s="25"/>
      <c r="L1297" s="27" t="str">
        <f ca="1">IFERROR(__xludf.DUMMYFUNCTION("""COMPUTED_VALUE"""),"closed")</f>
        <v>closed</v>
      </c>
      <c r="M1297" s="27"/>
      <c r="N1297" s="25" t="str">
        <f ca="1">IFERROR(__xludf.DUMMYFUNCTION("""COMPUTED_VALUE"""),"Accepted by proxy")</f>
        <v>Accepted by proxy</v>
      </c>
      <c r="O1297" s="28"/>
      <c r="P1297" s="25"/>
      <c r="Q1297" s="25"/>
      <c r="R1297" s="25"/>
      <c r="S1297" s="25"/>
      <c r="T1297" s="25"/>
      <c r="U1297" s="25"/>
      <c r="V1297" s="25"/>
      <c r="W1297" s="25"/>
      <c r="X1297" s="25"/>
      <c r="Y1297" s="25"/>
      <c r="Z1297" s="25"/>
      <c r="AA1297" s="25"/>
      <c r="AB1297" s="25"/>
      <c r="AC1297" s="25"/>
      <c r="AD1297" s="25"/>
      <c r="AE1297" s="25"/>
      <c r="AF1297" s="25"/>
      <c r="AG1297" s="25"/>
      <c r="AH1297" s="25"/>
      <c r="AI1297" s="25"/>
      <c r="AJ1297" s="25"/>
      <c r="AK1297" s="25"/>
      <c r="AL1297" s="25"/>
      <c r="AM1297" s="25"/>
      <c r="AN1297" s="25"/>
      <c r="AO1297" s="25"/>
      <c r="AP1297" s="25"/>
      <c r="AQ1297" s="25"/>
      <c r="AR1297" s="25"/>
      <c r="AS1297" s="25"/>
      <c r="AT1297" s="25"/>
      <c r="AU1297" s="25"/>
      <c r="AV1297" s="25"/>
      <c r="AW1297" s="25"/>
      <c r="AX1297" s="25"/>
      <c r="AY1297" s="25"/>
      <c r="AZ1297" s="25"/>
      <c r="BA1297" s="25"/>
      <c r="BB1297" s="25"/>
      <c r="BC1297" s="25"/>
      <c r="BD1297" s="25"/>
      <c r="BE1297" s="25"/>
      <c r="BF1297" s="25"/>
      <c r="BG1297" s="25"/>
      <c r="BH1297" s="25"/>
      <c r="BI1297" s="25"/>
      <c r="BJ1297" s="25"/>
      <c r="BK1297" s="25"/>
      <c r="BL1297" s="25"/>
      <c r="BM1297" s="25"/>
      <c r="BN1297" s="25"/>
      <c r="BO1297" s="25"/>
      <c r="BP1297" s="25"/>
      <c r="BQ1297" s="25"/>
      <c r="BR1297" s="25"/>
      <c r="BS1297" s="25"/>
      <c r="BT1297" s="25"/>
      <c r="BU1297" s="25"/>
      <c r="BV1297" s="25"/>
      <c r="BW1297" s="25"/>
      <c r="BX1297" s="25"/>
      <c r="BY1297" s="25"/>
      <c r="BZ1297" s="25"/>
      <c r="CA1297" s="25"/>
      <c r="CB1297" s="25"/>
    </row>
    <row r="1298" spans="1:80" ht="12.75" hidden="1" customHeight="1">
      <c r="A1298" s="10">
        <f ca="1">IFERROR(__xludf.DUMMYFUNCTION("""COMPUTED_VALUE"""),2017)</f>
        <v>2017</v>
      </c>
      <c r="B1298" s="50">
        <f ca="1">IFERROR(__xludf.DUMMYFUNCTION("""COMPUTED_VALUE"""),43374)</f>
        <v>43374</v>
      </c>
      <c r="C1298" s="41"/>
      <c r="D1298" s="42" t="str">
        <f ca="1">IFERROR(__xludf.DUMMYFUNCTION("""COMPUTED_VALUE"""),"Hooded Crow")</f>
        <v>Hooded Crow</v>
      </c>
      <c r="E1298" s="53">
        <f ca="1">IFERROR(__xludf.DUMMYFUNCTION("""COMPUTED_VALUE"""),1)</f>
        <v>1</v>
      </c>
      <c r="F1298" s="15" t="str">
        <f ca="1">IFERROR(__xludf.DUMMYFUNCTION("""COMPUTED_VALUE"""),"ad")</f>
        <v>ad</v>
      </c>
      <c r="G1298" s="44" t="str">
        <f ca="1">IFERROR(__xludf.DUMMYFUNCTION("""COMPUTED_VALUE"""),"Leasowe")</f>
        <v>Leasowe</v>
      </c>
      <c r="H1298" s="12">
        <f ca="1">IFERROR(__xludf.DUMMYFUNCTION("""COMPUTED_VALUE"""),42869)</f>
        <v>42869</v>
      </c>
      <c r="I1298" s="13"/>
      <c r="J1298" s="14" t="str">
        <f ca="1">IFERROR(__xludf.DUMMYFUNCTION("""COMPUTED_VALUE"""),"Giles, T")</f>
        <v>Giles, T</v>
      </c>
      <c r="K1298" s="15" t="str">
        <f ca="1">IFERROR(__xludf.DUMMYFUNCTION("""COMPUTED_VALUE"""),"Giles, T")</f>
        <v>Giles, T</v>
      </c>
      <c r="L1298" s="17" t="str">
        <f ca="1">IFERROR(__xludf.DUMMYFUNCTION("""COMPUTED_VALUE"""),"closed")</f>
        <v>closed</v>
      </c>
      <c r="M1298" s="17" t="str">
        <f ca="1">IFERROR(__xludf.DUMMYFUNCTION("""COMPUTED_VALUE"""),"1st U")</f>
        <v>1st U</v>
      </c>
      <c r="N1298" s="15" t="str">
        <f ca="1">IFERROR(__xludf.DUMMYFUNCTION("""COMPUTED_VALUE"""),"accepted")</f>
        <v>accepted</v>
      </c>
      <c r="O1298" s="18"/>
      <c r="P1298" s="15"/>
      <c r="Q1298" s="15"/>
      <c r="R1298" s="15"/>
      <c r="S1298" s="15"/>
      <c r="T1298" s="15"/>
      <c r="U1298" s="15"/>
      <c r="V1298" s="15"/>
      <c r="W1298" s="15"/>
      <c r="X1298" s="15"/>
      <c r="Y1298" s="15"/>
      <c r="Z1298" s="15"/>
      <c r="AA1298" s="15"/>
      <c r="AB1298" s="15"/>
      <c r="AC1298" s="15"/>
      <c r="AD1298" s="15"/>
      <c r="AE1298" s="15"/>
      <c r="AF1298" s="15"/>
      <c r="AG1298" s="15"/>
      <c r="AH1298" s="15"/>
      <c r="AI1298" s="15"/>
      <c r="AJ1298" s="15"/>
      <c r="AK1298" s="15"/>
      <c r="AL1298" s="15"/>
      <c r="AM1298" s="15"/>
      <c r="AN1298" s="15"/>
      <c r="AO1298" s="15"/>
      <c r="AP1298" s="15"/>
      <c r="AQ1298" s="15"/>
      <c r="AR1298" s="15"/>
      <c r="AS1298" s="15"/>
      <c r="AT1298" s="15"/>
      <c r="AU1298" s="15"/>
      <c r="AV1298" s="15"/>
      <c r="AW1298" s="15"/>
      <c r="AX1298" s="15"/>
      <c r="AY1298" s="15"/>
      <c r="AZ1298" s="15"/>
      <c r="BA1298" s="15"/>
      <c r="BB1298" s="15"/>
      <c r="BC1298" s="15"/>
      <c r="BD1298" s="15"/>
      <c r="BE1298" s="15"/>
      <c r="BF1298" s="15"/>
      <c r="BG1298" s="15"/>
      <c r="BH1298" s="15"/>
      <c r="BI1298" s="15"/>
      <c r="BJ1298" s="15"/>
      <c r="BK1298" s="15"/>
      <c r="BL1298" s="15"/>
      <c r="BM1298" s="15"/>
      <c r="BN1298" s="15"/>
      <c r="BO1298" s="15"/>
      <c r="BP1298" s="15"/>
      <c r="BQ1298" s="15"/>
      <c r="BR1298" s="15"/>
      <c r="BS1298" s="15"/>
      <c r="BT1298" s="15"/>
      <c r="BU1298" s="15"/>
      <c r="BV1298" s="15"/>
      <c r="BW1298" s="15"/>
      <c r="BX1298" s="15"/>
      <c r="BY1298" s="15"/>
      <c r="BZ1298" s="15"/>
      <c r="CA1298" s="15"/>
      <c r="CB1298" s="15"/>
    </row>
    <row r="1299" spans="1:80" ht="12.75" hidden="1" customHeight="1">
      <c r="A1299" s="20">
        <f ca="1">IFERROR(__xludf.DUMMYFUNCTION("""COMPUTED_VALUE"""),2017)</f>
        <v>2017</v>
      </c>
      <c r="B1299" s="45">
        <f ca="1">IFERROR(__xludf.DUMMYFUNCTION("""COMPUTED_VALUE"""),43538)</f>
        <v>43538</v>
      </c>
      <c r="C1299" s="46"/>
      <c r="D1299" s="47" t="str">
        <f ca="1">IFERROR(__xludf.DUMMYFUNCTION("""COMPUTED_VALUE"""),"Shore Lark")</f>
        <v>Shore Lark</v>
      </c>
      <c r="E1299" s="52"/>
      <c r="F1299" s="25"/>
      <c r="G1299" s="71" t="str">
        <f ca="1">IFERROR(__xludf.DUMMYFUNCTION("""COMPUTED_VALUE"""),"Hilbre")</f>
        <v>Hilbre</v>
      </c>
      <c r="H1299" s="22">
        <f ca="1">IFERROR(__xludf.DUMMYFUNCTION("""COMPUTED_VALUE"""),42869)</f>
        <v>42869</v>
      </c>
      <c r="I1299" s="22">
        <f ca="1">IFERROR(__xludf.DUMMYFUNCTION("""COMPUTED_VALUE"""),42880)</f>
        <v>42880</v>
      </c>
      <c r="J1299" s="73"/>
      <c r="K1299" s="25"/>
      <c r="L1299" s="27" t="str">
        <f ca="1">IFERROR(__xludf.DUMMYFUNCTION("""COMPUTED_VALUE"""),"closed")</f>
        <v>closed</v>
      </c>
      <c r="M1299" s="27" t="str">
        <f ca="1">IFERROR(__xludf.DUMMYFUNCTION("""COMPUTED_VALUE"""),"photo")</f>
        <v>photo</v>
      </c>
      <c r="N1299" s="40" t="str">
        <f ca="1">IFERROR(__xludf.DUMMYFUNCTION("""COMPUTED_VALUE"""),"accepted")</f>
        <v>accepted</v>
      </c>
      <c r="O1299" s="74" t="str">
        <f ca="1">IFERROR(__xludf.DUMMYFUNCTION("""COMPUTED_VALUE"""),"online photo")</f>
        <v>online photo</v>
      </c>
      <c r="P1299" s="25"/>
      <c r="Q1299" s="25"/>
      <c r="R1299" s="40"/>
      <c r="S1299" s="25"/>
      <c r="T1299" s="25"/>
      <c r="U1299" s="25"/>
      <c r="V1299" s="25"/>
      <c r="W1299" s="25"/>
      <c r="X1299" s="25"/>
      <c r="Y1299" s="25"/>
      <c r="Z1299" s="25"/>
      <c r="AA1299" s="25"/>
      <c r="AB1299" s="25"/>
      <c r="AC1299" s="25"/>
      <c r="AD1299" s="25"/>
      <c r="AE1299" s="25"/>
      <c r="AF1299" s="25"/>
      <c r="AG1299" s="25"/>
      <c r="AH1299" s="25"/>
      <c r="AI1299" s="25"/>
      <c r="AJ1299" s="25"/>
      <c r="AK1299" s="25"/>
      <c r="AL1299" s="25"/>
      <c r="AM1299" s="25"/>
      <c r="AN1299" s="25"/>
      <c r="AO1299" s="25"/>
      <c r="AP1299" s="25"/>
      <c r="AQ1299" s="25"/>
      <c r="AR1299" s="25"/>
      <c r="AS1299" s="25"/>
      <c r="AT1299" s="25"/>
      <c r="AU1299" s="25"/>
      <c r="AV1299" s="25"/>
      <c r="AW1299" s="25"/>
      <c r="AX1299" s="25"/>
      <c r="AY1299" s="25"/>
      <c r="AZ1299" s="25"/>
      <c r="BA1299" s="25"/>
      <c r="BB1299" s="25"/>
      <c r="BC1299" s="25"/>
      <c r="BD1299" s="25"/>
      <c r="BE1299" s="25"/>
      <c r="BF1299" s="25"/>
      <c r="BG1299" s="25"/>
      <c r="BH1299" s="25"/>
      <c r="BI1299" s="25"/>
      <c r="BJ1299" s="25"/>
      <c r="BK1299" s="25"/>
      <c r="BL1299" s="25"/>
      <c r="BM1299" s="25"/>
      <c r="BN1299" s="25"/>
      <c r="BO1299" s="25"/>
      <c r="BP1299" s="25"/>
      <c r="BQ1299" s="25"/>
      <c r="BR1299" s="25"/>
      <c r="BS1299" s="25"/>
      <c r="BT1299" s="25"/>
      <c r="BU1299" s="25"/>
      <c r="BV1299" s="25"/>
      <c r="BW1299" s="25"/>
      <c r="BX1299" s="25"/>
      <c r="BY1299" s="25"/>
      <c r="BZ1299" s="25"/>
      <c r="CA1299" s="25"/>
      <c r="CB1299" s="25"/>
    </row>
    <row r="1300" spans="1:80" ht="12.75" hidden="1" customHeight="1">
      <c r="A1300" s="10">
        <f ca="1">IFERROR(__xludf.DUMMYFUNCTION("""COMPUTED_VALUE"""),2017)</f>
        <v>2017</v>
      </c>
      <c r="B1300" s="50">
        <f ca="1">IFERROR(__xludf.DUMMYFUNCTION("""COMPUTED_VALUE"""),43645)</f>
        <v>43645</v>
      </c>
      <c r="C1300" s="41"/>
      <c r="D1300" s="42" t="str">
        <f ca="1">IFERROR(__xludf.DUMMYFUNCTION("""COMPUTED_VALUE"""),"Yellow-browed Warbler")</f>
        <v>Yellow-browed Warbler</v>
      </c>
      <c r="E1300" s="53">
        <f ca="1">IFERROR(__xludf.DUMMYFUNCTION("""COMPUTED_VALUE"""),1)</f>
        <v>1</v>
      </c>
      <c r="F1300" s="15"/>
      <c r="G1300" s="44" t="str">
        <f ca="1">IFERROR(__xludf.DUMMYFUNCTION("""COMPUTED_VALUE"""),"Brook Furlong Lane, Frodsham Marsh")</f>
        <v>Brook Furlong Lane, Frodsham Marsh</v>
      </c>
      <c r="H1300" s="12">
        <f ca="1">IFERROR(__xludf.DUMMYFUNCTION("""COMPUTED_VALUE"""),43002)</f>
        <v>43002</v>
      </c>
      <c r="I1300" s="13"/>
      <c r="J1300" s="14"/>
      <c r="K1300" s="15"/>
      <c r="L1300" s="17" t="str">
        <f ca="1">IFERROR(__xludf.DUMMYFUNCTION("""COMPUTED_VALUE"""),"closed")</f>
        <v>closed</v>
      </c>
      <c r="M1300" s="17" t="str">
        <f ca="1">IFERROR(__xludf.DUMMYFUNCTION("""COMPUTED_VALUE"""),"-")</f>
        <v>-</v>
      </c>
      <c r="N1300" s="15" t="str">
        <f ca="1">IFERROR(__xludf.DUMMYFUNCTION("""COMPUTED_VALUE"""),"exemption")</f>
        <v>exemption</v>
      </c>
      <c r="O1300" s="18"/>
      <c r="P1300" s="15"/>
      <c r="Q1300" s="15"/>
      <c r="R1300" s="15"/>
      <c r="S1300" s="15"/>
      <c r="T1300" s="15"/>
      <c r="U1300" s="15"/>
      <c r="V1300" s="15"/>
      <c r="W1300" s="15"/>
      <c r="X1300" s="15"/>
      <c r="Y1300" s="15"/>
      <c r="Z1300" s="15"/>
      <c r="AA1300" s="15"/>
      <c r="AB1300" s="15"/>
      <c r="AC1300" s="15"/>
      <c r="AD1300" s="15"/>
      <c r="AE1300" s="15"/>
      <c r="AF1300" s="15"/>
      <c r="AG1300" s="15"/>
      <c r="AH1300" s="15"/>
      <c r="AI1300" s="15"/>
      <c r="AJ1300" s="15"/>
      <c r="AK1300" s="15"/>
      <c r="AL1300" s="15"/>
      <c r="AM1300" s="15"/>
      <c r="AN1300" s="15"/>
      <c r="AO1300" s="15"/>
      <c r="AP1300" s="15"/>
      <c r="AQ1300" s="15"/>
      <c r="AR1300" s="15"/>
      <c r="AS1300" s="15"/>
      <c r="AT1300" s="15"/>
      <c r="AU1300" s="15"/>
      <c r="AV1300" s="15"/>
      <c r="AW1300" s="15"/>
      <c r="AX1300" s="15"/>
      <c r="AY1300" s="15"/>
      <c r="AZ1300" s="15"/>
      <c r="BA1300" s="15"/>
      <c r="BB1300" s="15"/>
      <c r="BC1300" s="15"/>
      <c r="BD1300" s="15"/>
      <c r="BE1300" s="15"/>
      <c r="BF1300" s="15"/>
      <c r="BG1300" s="15"/>
      <c r="BH1300" s="15"/>
      <c r="BI1300" s="15"/>
      <c r="BJ1300" s="15"/>
      <c r="BK1300" s="15"/>
      <c r="BL1300" s="15"/>
      <c r="BM1300" s="15"/>
      <c r="BN1300" s="15"/>
      <c r="BO1300" s="15"/>
      <c r="BP1300" s="15"/>
      <c r="BQ1300" s="15"/>
      <c r="BR1300" s="15"/>
      <c r="BS1300" s="15"/>
      <c r="BT1300" s="15"/>
      <c r="BU1300" s="15"/>
      <c r="BV1300" s="15"/>
      <c r="BW1300" s="15"/>
      <c r="BX1300" s="15"/>
      <c r="BY1300" s="15"/>
      <c r="BZ1300" s="15"/>
      <c r="CA1300" s="15"/>
      <c r="CB1300" s="15"/>
    </row>
    <row r="1301" spans="1:80" ht="12.75" hidden="1" customHeight="1">
      <c r="A1301" s="20">
        <f ca="1">IFERROR(__xludf.DUMMYFUNCTION("""COMPUTED_VALUE"""),2017)</f>
        <v>2017</v>
      </c>
      <c r="B1301" s="45">
        <f ca="1">IFERROR(__xludf.DUMMYFUNCTION("""COMPUTED_VALUE"""),43645)</f>
        <v>43645</v>
      </c>
      <c r="C1301" s="46"/>
      <c r="D1301" s="47" t="str">
        <f ca="1">IFERROR(__xludf.DUMMYFUNCTION("""COMPUTED_VALUE"""),"Yellow-browed Warbler")</f>
        <v>Yellow-browed Warbler</v>
      </c>
      <c r="E1301" s="52">
        <f ca="1">IFERROR(__xludf.DUMMYFUNCTION("""COMPUTED_VALUE"""),1)</f>
        <v>1</v>
      </c>
      <c r="F1301" s="25"/>
      <c r="G1301" s="48" t="str">
        <f ca="1">IFERROR(__xludf.DUMMYFUNCTION("""COMPUTED_VALUE"""),"Hilbre")</f>
        <v>Hilbre</v>
      </c>
      <c r="H1301" s="22">
        <f ca="1">IFERROR(__xludf.DUMMYFUNCTION("""COMPUTED_VALUE"""),43004)</f>
        <v>43004</v>
      </c>
      <c r="I1301" s="23"/>
      <c r="J1301" s="24"/>
      <c r="K1301" s="25"/>
      <c r="L1301" s="27" t="str">
        <f ca="1">IFERROR(__xludf.DUMMYFUNCTION("""COMPUTED_VALUE"""),"closed")</f>
        <v>closed</v>
      </c>
      <c r="M1301" s="27" t="str">
        <f ca="1">IFERROR(__xludf.DUMMYFUNCTION("""COMPUTED_VALUE"""),"-")</f>
        <v>-</v>
      </c>
      <c r="N1301" s="25" t="str">
        <f ca="1">IFERROR(__xludf.DUMMYFUNCTION("""COMPUTED_VALUE"""),"exemption")</f>
        <v>exemption</v>
      </c>
      <c r="O1301" s="28"/>
      <c r="P1301" s="25"/>
      <c r="Q1301" s="25"/>
      <c r="R1301" s="25"/>
      <c r="S1301" s="25"/>
      <c r="T1301" s="25"/>
      <c r="U1301" s="25"/>
      <c r="V1301" s="25"/>
      <c r="W1301" s="25"/>
      <c r="X1301" s="25"/>
      <c r="Y1301" s="25"/>
      <c r="Z1301" s="25"/>
      <c r="AA1301" s="25"/>
      <c r="AB1301" s="25"/>
      <c r="AC1301" s="25"/>
      <c r="AD1301" s="25"/>
      <c r="AE1301" s="25"/>
      <c r="AF1301" s="25"/>
      <c r="AG1301" s="25"/>
      <c r="AH1301" s="25"/>
      <c r="AI1301" s="25"/>
      <c r="AJ1301" s="25"/>
      <c r="AK1301" s="25"/>
      <c r="AL1301" s="25"/>
      <c r="AM1301" s="25"/>
      <c r="AN1301" s="25"/>
      <c r="AO1301" s="25"/>
      <c r="AP1301" s="25"/>
      <c r="AQ1301" s="25"/>
      <c r="AR1301" s="25"/>
      <c r="AS1301" s="25"/>
      <c r="AT1301" s="25"/>
      <c r="AU1301" s="25"/>
      <c r="AV1301" s="25"/>
      <c r="AW1301" s="25"/>
      <c r="AX1301" s="25"/>
      <c r="AY1301" s="25"/>
      <c r="AZ1301" s="25"/>
      <c r="BA1301" s="25"/>
      <c r="BB1301" s="25"/>
      <c r="BC1301" s="25"/>
      <c r="BD1301" s="25"/>
      <c r="BE1301" s="25"/>
      <c r="BF1301" s="25"/>
      <c r="BG1301" s="25"/>
      <c r="BH1301" s="25"/>
      <c r="BI1301" s="25"/>
      <c r="BJ1301" s="25"/>
      <c r="BK1301" s="25"/>
      <c r="BL1301" s="25"/>
      <c r="BM1301" s="25"/>
      <c r="BN1301" s="25"/>
      <c r="BO1301" s="25"/>
      <c r="BP1301" s="25"/>
      <c r="BQ1301" s="25"/>
      <c r="BR1301" s="25"/>
      <c r="BS1301" s="25"/>
      <c r="BT1301" s="25"/>
      <c r="BU1301" s="25"/>
      <c r="BV1301" s="25"/>
      <c r="BW1301" s="25"/>
      <c r="BX1301" s="25"/>
      <c r="BY1301" s="25"/>
      <c r="BZ1301" s="25"/>
      <c r="CA1301" s="25"/>
      <c r="CB1301" s="25"/>
    </row>
    <row r="1302" spans="1:80" ht="12.75" hidden="1" customHeight="1">
      <c r="A1302" s="10">
        <f ca="1">IFERROR(__xludf.DUMMYFUNCTION("""COMPUTED_VALUE"""),2017)</f>
        <v>2017</v>
      </c>
      <c r="B1302" s="50">
        <f ca="1">IFERROR(__xludf.DUMMYFUNCTION("""COMPUTED_VALUE"""),43645)</f>
        <v>43645</v>
      </c>
      <c r="C1302" s="41"/>
      <c r="D1302" s="42" t="str">
        <f ca="1">IFERROR(__xludf.DUMMYFUNCTION("""COMPUTED_VALUE"""),"Yellow-browed Warbler")</f>
        <v>Yellow-browed Warbler</v>
      </c>
      <c r="E1302" s="53">
        <f ca="1">IFERROR(__xludf.DUMMYFUNCTION("""COMPUTED_VALUE"""),1)</f>
        <v>1</v>
      </c>
      <c r="F1302" s="15"/>
      <c r="G1302" s="44" t="str">
        <f ca="1">IFERROR(__xludf.DUMMYFUNCTION("""COMPUTED_VALUE"""),"Leasowe")</f>
        <v>Leasowe</v>
      </c>
      <c r="H1302" s="12">
        <f ca="1">IFERROR(__xludf.DUMMYFUNCTION("""COMPUTED_VALUE"""),43007)</f>
        <v>43007</v>
      </c>
      <c r="I1302" s="12"/>
      <c r="J1302" s="14" t="str">
        <f ca="1">IFERROR(__xludf.DUMMYFUNCTION("""COMPUTED_VALUE"""),"Giles, T")</f>
        <v>Giles, T</v>
      </c>
      <c r="K1302" s="15" t="str">
        <f ca="1">IFERROR(__xludf.DUMMYFUNCTION("""COMPUTED_VALUE"""),"Giles, T")</f>
        <v>Giles, T</v>
      </c>
      <c r="L1302" s="17" t="str">
        <f ca="1">IFERROR(__xludf.DUMMYFUNCTION("""COMPUTED_VALUE"""),"closed")</f>
        <v>closed</v>
      </c>
      <c r="M1302" s="17" t="str">
        <f ca="1">IFERROR(__xludf.DUMMYFUNCTION("""COMPUTED_VALUE"""),"1st U")</f>
        <v>1st U</v>
      </c>
      <c r="N1302" s="15" t="str">
        <f ca="1">IFERROR(__xludf.DUMMYFUNCTION("""COMPUTED_VALUE"""),"accepted")</f>
        <v>accepted</v>
      </c>
      <c r="O1302" s="18"/>
      <c r="P1302" s="15"/>
      <c r="Q1302" s="15"/>
      <c r="R1302" s="15"/>
      <c r="S1302" s="15"/>
      <c r="T1302" s="15"/>
      <c r="U1302" s="15"/>
      <c r="V1302" s="15"/>
      <c r="W1302" s="15"/>
      <c r="X1302" s="15"/>
      <c r="Y1302" s="15"/>
      <c r="Z1302" s="15"/>
      <c r="AA1302" s="15"/>
      <c r="AB1302" s="15"/>
      <c r="AC1302" s="15"/>
      <c r="AD1302" s="15"/>
      <c r="AE1302" s="15"/>
      <c r="AF1302" s="15"/>
      <c r="AG1302" s="15"/>
      <c r="AH1302" s="15"/>
      <c r="AI1302" s="15"/>
      <c r="AJ1302" s="15"/>
      <c r="AK1302" s="15"/>
      <c r="AL1302" s="15"/>
      <c r="AM1302" s="15"/>
      <c r="AN1302" s="15"/>
      <c r="AO1302" s="15"/>
      <c r="AP1302" s="15"/>
      <c r="AQ1302" s="15"/>
      <c r="AR1302" s="15"/>
      <c r="AS1302" s="15"/>
      <c r="AT1302" s="15"/>
      <c r="AU1302" s="15"/>
      <c r="AV1302" s="15"/>
      <c r="AW1302" s="15"/>
      <c r="AX1302" s="15"/>
      <c r="AY1302" s="15"/>
      <c r="AZ1302" s="15"/>
      <c r="BA1302" s="15"/>
      <c r="BB1302" s="15"/>
      <c r="BC1302" s="15"/>
      <c r="BD1302" s="15"/>
      <c r="BE1302" s="15"/>
      <c r="BF1302" s="15"/>
      <c r="BG1302" s="15"/>
      <c r="BH1302" s="15"/>
      <c r="BI1302" s="15"/>
      <c r="BJ1302" s="15"/>
      <c r="BK1302" s="15"/>
      <c r="BL1302" s="15"/>
      <c r="BM1302" s="15"/>
      <c r="BN1302" s="15"/>
      <c r="BO1302" s="15"/>
      <c r="BP1302" s="15"/>
      <c r="BQ1302" s="15"/>
      <c r="BR1302" s="15"/>
      <c r="BS1302" s="15"/>
      <c r="BT1302" s="15"/>
      <c r="BU1302" s="15"/>
      <c r="BV1302" s="15"/>
      <c r="BW1302" s="15"/>
      <c r="BX1302" s="15"/>
      <c r="BY1302" s="15"/>
      <c r="BZ1302" s="15"/>
      <c r="CA1302" s="15"/>
      <c r="CB1302" s="15"/>
    </row>
    <row r="1303" spans="1:80" ht="12.75" hidden="1" customHeight="1">
      <c r="A1303" s="20">
        <f ca="1">IFERROR(__xludf.DUMMYFUNCTION("""COMPUTED_VALUE"""),2017)</f>
        <v>2017</v>
      </c>
      <c r="B1303" s="45">
        <f ca="1">IFERROR(__xludf.DUMMYFUNCTION("""COMPUTED_VALUE"""),43645)</f>
        <v>43645</v>
      </c>
      <c r="C1303" s="46"/>
      <c r="D1303" s="47" t="str">
        <f ca="1">IFERROR(__xludf.DUMMYFUNCTION("""COMPUTED_VALUE"""),"Yellow-browed Warbler")</f>
        <v>Yellow-browed Warbler</v>
      </c>
      <c r="E1303" s="52">
        <f ca="1">IFERROR(__xludf.DUMMYFUNCTION("""COMPUTED_VALUE"""),1)</f>
        <v>1</v>
      </c>
      <c r="F1303" s="25"/>
      <c r="G1303" s="48" t="str">
        <f ca="1">IFERROR(__xludf.DUMMYFUNCTION("""COMPUTED_VALUE"""),"Winsford Bottom Flash")</f>
        <v>Winsford Bottom Flash</v>
      </c>
      <c r="H1303" s="22">
        <f ca="1">IFERROR(__xludf.DUMMYFUNCTION("""COMPUTED_VALUE"""),43007)</f>
        <v>43007</v>
      </c>
      <c r="I1303" s="22"/>
      <c r="J1303" s="24"/>
      <c r="K1303" s="25"/>
      <c r="L1303" s="27" t="str">
        <f ca="1">IFERROR(__xludf.DUMMYFUNCTION("""COMPUTED_VALUE"""),"closed")</f>
        <v>closed</v>
      </c>
      <c r="M1303" s="27" t="str">
        <f ca="1">IFERROR(__xludf.DUMMYFUNCTION("""COMPUTED_VALUE"""),"-")</f>
        <v>-</v>
      </c>
      <c r="N1303" s="25" t="str">
        <f ca="1">IFERROR(__xludf.DUMMYFUNCTION("""COMPUTED_VALUE"""),"exemption")</f>
        <v>exemption</v>
      </c>
      <c r="O1303" s="28"/>
      <c r="P1303" s="25"/>
      <c r="Q1303" s="25"/>
      <c r="R1303" s="25"/>
      <c r="S1303" s="25"/>
      <c r="T1303" s="25"/>
      <c r="U1303" s="25"/>
      <c r="V1303" s="25"/>
      <c r="W1303" s="25"/>
      <c r="X1303" s="25"/>
      <c r="Y1303" s="25"/>
      <c r="Z1303" s="25"/>
      <c r="AA1303" s="25"/>
      <c r="AB1303" s="25"/>
      <c r="AC1303" s="25"/>
      <c r="AD1303" s="25"/>
      <c r="AE1303" s="25"/>
      <c r="AF1303" s="25"/>
      <c r="AG1303" s="25"/>
      <c r="AH1303" s="25"/>
      <c r="AI1303" s="25"/>
      <c r="AJ1303" s="25"/>
      <c r="AK1303" s="25"/>
      <c r="AL1303" s="25"/>
      <c r="AM1303" s="25"/>
      <c r="AN1303" s="25"/>
      <c r="AO1303" s="25"/>
      <c r="AP1303" s="25"/>
      <c r="AQ1303" s="25"/>
      <c r="AR1303" s="25"/>
      <c r="AS1303" s="25"/>
      <c r="AT1303" s="25"/>
      <c r="AU1303" s="25"/>
      <c r="AV1303" s="25"/>
      <c r="AW1303" s="25"/>
      <c r="AX1303" s="25"/>
      <c r="AY1303" s="25"/>
      <c r="AZ1303" s="25"/>
      <c r="BA1303" s="25"/>
      <c r="BB1303" s="25"/>
      <c r="BC1303" s="25"/>
      <c r="BD1303" s="25"/>
      <c r="BE1303" s="25"/>
      <c r="BF1303" s="25"/>
      <c r="BG1303" s="25"/>
      <c r="BH1303" s="25"/>
      <c r="BI1303" s="25"/>
      <c r="BJ1303" s="25"/>
      <c r="BK1303" s="25"/>
      <c r="BL1303" s="25"/>
      <c r="BM1303" s="25"/>
      <c r="BN1303" s="25"/>
      <c r="BO1303" s="25"/>
      <c r="BP1303" s="25"/>
      <c r="BQ1303" s="25"/>
      <c r="BR1303" s="25"/>
      <c r="BS1303" s="25"/>
      <c r="BT1303" s="25"/>
      <c r="BU1303" s="25"/>
      <c r="BV1303" s="25"/>
      <c r="BW1303" s="25"/>
      <c r="BX1303" s="25"/>
      <c r="BY1303" s="25"/>
      <c r="BZ1303" s="25"/>
      <c r="CA1303" s="25"/>
      <c r="CB1303" s="25"/>
    </row>
    <row r="1304" spans="1:80" ht="12.75" hidden="1" customHeight="1">
      <c r="A1304" s="10">
        <f ca="1">IFERROR(__xludf.DUMMYFUNCTION("""COMPUTED_VALUE"""),2017)</f>
        <v>2017</v>
      </c>
      <c r="B1304" s="50">
        <f ca="1">IFERROR(__xludf.DUMMYFUNCTION("""COMPUTED_VALUE"""),43645)</f>
        <v>43645</v>
      </c>
      <c r="C1304" s="41"/>
      <c r="D1304" s="42" t="str">
        <f ca="1">IFERROR(__xludf.DUMMYFUNCTION("""COMPUTED_VALUE"""),"Yellow-browed Warbler")</f>
        <v>Yellow-browed Warbler</v>
      </c>
      <c r="E1304" s="53">
        <f ca="1">IFERROR(__xludf.DUMMYFUNCTION("""COMPUTED_VALUE"""),1)</f>
        <v>1</v>
      </c>
      <c r="F1304" s="15"/>
      <c r="G1304" s="44" t="str">
        <f ca="1">IFERROR(__xludf.DUMMYFUNCTION("""COMPUTED_VALUE"""),"Holmes Chapel")</f>
        <v>Holmes Chapel</v>
      </c>
      <c r="H1304" s="12">
        <f ca="1">IFERROR(__xludf.DUMMYFUNCTION("""COMPUTED_VALUE"""),43009)</f>
        <v>43009</v>
      </c>
      <c r="I1304" s="12"/>
      <c r="J1304" s="14"/>
      <c r="K1304" s="15"/>
      <c r="L1304" s="17" t="str">
        <f ca="1">IFERROR(__xludf.DUMMYFUNCTION("""COMPUTED_VALUE"""),"closed")</f>
        <v>closed</v>
      </c>
      <c r="M1304" s="17" t="str">
        <f ca="1">IFERROR(__xludf.DUMMYFUNCTION("""COMPUTED_VALUE"""),"-")</f>
        <v>-</v>
      </c>
      <c r="N1304" s="15" t="str">
        <f ca="1">IFERROR(__xludf.DUMMYFUNCTION("""COMPUTED_VALUE"""),"exemption")</f>
        <v>exemption</v>
      </c>
      <c r="O1304" s="18"/>
      <c r="P1304" s="15"/>
      <c r="Q1304" s="15"/>
      <c r="R1304" s="15"/>
      <c r="S1304" s="15"/>
      <c r="T1304" s="15"/>
      <c r="U1304" s="15"/>
      <c r="V1304" s="15"/>
      <c r="W1304" s="15"/>
      <c r="X1304" s="15"/>
      <c r="Y1304" s="15"/>
      <c r="Z1304" s="15"/>
      <c r="AA1304" s="15"/>
      <c r="AB1304" s="15"/>
      <c r="AC1304" s="15"/>
      <c r="AD1304" s="15"/>
      <c r="AE1304" s="15"/>
      <c r="AF1304" s="15"/>
      <c r="AG1304" s="15"/>
      <c r="AH1304" s="15"/>
      <c r="AI1304" s="15"/>
      <c r="AJ1304" s="15"/>
      <c r="AK1304" s="15"/>
      <c r="AL1304" s="15"/>
      <c r="AM1304" s="15"/>
      <c r="AN1304" s="15"/>
      <c r="AO1304" s="15"/>
      <c r="AP1304" s="15"/>
      <c r="AQ1304" s="15"/>
      <c r="AR1304" s="15"/>
      <c r="AS1304" s="15"/>
      <c r="AT1304" s="15"/>
      <c r="AU1304" s="15"/>
      <c r="AV1304" s="15"/>
      <c r="AW1304" s="15"/>
      <c r="AX1304" s="15"/>
      <c r="AY1304" s="15"/>
      <c r="AZ1304" s="15"/>
      <c r="BA1304" s="15"/>
      <c r="BB1304" s="15"/>
      <c r="BC1304" s="15"/>
      <c r="BD1304" s="15"/>
      <c r="BE1304" s="15"/>
      <c r="BF1304" s="15"/>
      <c r="BG1304" s="15"/>
      <c r="BH1304" s="15"/>
      <c r="BI1304" s="15"/>
      <c r="BJ1304" s="15"/>
      <c r="BK1304" s="15"/>
      <c r="BL1304" s="15"/>
      <c r="BM1304" s="15"/>
      <c r="BN1304" s="15"/>
      <c r="BO1304" s="15"/>
      <c r="BP1304" s="15"/>
      <c r="BQ1304" s="15"/>
      <c r="BR1304" s="15"/>
      <c r="BS1304" s="15"/>
      <c r="BT1304" s="15"/>
      <c r="BU1304" s="15"/>
      <c r="BV1304" s="15"/>
      <c r="BW1304" s="15"/>
      <c r="BX1304" s="15"/>
      <c r="BY1304" s="15"/>
      <c r="BZ1304" s="15"/>
      <c r="CA1304" s="15"/>
      <c r="CB1304" s="15"/>
    </row>
    <row r="1305" spans="1:80" ht="12.75" hidden="1" customHeight="1">
      <c r="A1305" s="20">
        <f ca="1">IFERROR(__xludf.DUMMYFUNCTION("""COMPUTED_VALUE"""),2017)</f>
        <v>2017</v>
      </c>
      <c r="B1305" s="45">
        <f ca="1">IFERROR(__xludf.DUMMYFUNCTION("""COMPUTED_VALUE"""),43645)</f>
        <v>43645</v>
      </c>
      <c r="C1305" s="46"/>
      <c r="D1305" s="47" t="str">
        <f ca="1">IFERROR(__xludf.DUMMYFUNCTION("""COMPUTED_VALUE"""),"Yellow-browed Warbler")</f>
        <v>Yellow-browed Warbler</v>
      </c>
      <c r="E1305" s="52">
        <f ca="1">IFERROR(__xludf.DUMMYFUNCTION("""COMPUTED_VALUE"""),1)</f>
        <v>1</v>
      </c>
      <c r="F1305" s="25"/>
      <c r="G1305" s="48" t="str">
        <f ca="1">IFERROR(__xludf.DUMMYFUNCTION("""COMPUTED_VALUE"""),"No. 3 Bed, Woolston Eyes")</f>
        <v>No. 3 Bed, Woolston Eyes</v>
      </c>
      <c r="H1305" s="22">
        <f ca="1">IFERROR(__xludf.DUMMYFUNCTION("""COMPUTED_VALUE"""),43011)</f>
        <v>43011</v>
      </c>
      <c r="I1305" s="22"/>
      <c r="J1305" s="24"/>
      <c r="K1305" s="25"/>
      <c r="L1305" s="27" t="str">
        <f ca="1">IFERROR(__xludf.DUMMYFUNCTION("""COMPUTED_VALUE"""),"closed")</f>
        <v>closed</v>
      </c>
      <c r="M1305" s="27" t="str">
        <f ca="1">IFERROR(__xludf.DUMMYFUNCTION("""COMPUTED_VALUE"""),"-")</f>
        <v>-</v>
      </c>
      <c r="N1305" s="25" t="str">
        <f ca="1">IFERROR(__xludf.DUMMYFUNCTION("""COMPUTED_VALUE"""),"exemption")</f>
        <v>exemption</v>
      </c>
      <c r="O1305" s="28"/>
      <c r="P1305" s="25"/>
      <c r="Q1305" s="25"/>
      <c r="R1305" s="25"/>
      <c r="S1305" s="25"/>
      <c r="T1305" s="25"/>
      <c r="U1305" s="25"/>
      <c r="V1305" s="25"/>
      <c r="W1305" s="25"/>
      <c r="X1305" s="25"/>
      <c r="Y1305" s="25"/>
      <c r="Z1305" s="25"/>
      <c r="AA1305" s="25"/>
      <c r="AB1305" s="25"/>
      <c r="AC1305" s="25"/>
      <c r="AD1305" s="25"/>
      <c r="AE1305" s="25"/>
      <c r="AF1305" s="25"/>
      <c r="AG1305" s="25"/>
      <c r="AH1305" s="25"/>
      <c r="AI1305" s="25"/>
      <c r="AJ1305" s="25"/>
      <c r="AK1305" s="25"/>
      <c r="AL1305" s="25"/>
      <c r="AM1305" s="25"/>
      <c r="AN1305" s="25"/>
      <c r="AO1305" s="25"/>
      <c r="AP1305" s="25"/>
      <c r="AQ1305" s="25"/>
      <c r="AR1305" s="25"/>
      <c r="AS1305" s="25"/>
      <c r="AT1305" s="25"/>
      <c r="AU1305" s="25"/>
      <c r="AV1305" s="25"/>
      <c r="AW1305" s="25"/>
      <c r="AX1305" s="25"/>
      <c r="AY1305" s="25"/>
      <c r="AZ1305" s="25"/>
      <c r="BA1305" s="25"/>
      <c r="BB1305" s="25"/>
      <c r="BC1305" s="25"/>
      <c r="BD1305" s="25"/>
      <c r="BE1305" s="25"/>
      <c r="BF1305" s="25"/>
      <c r="BG1305" s="25"/>
      <c r="BH1305" s="25"/>
      <c r="BI1305" s="25"/>
      <c r="BJ1305" s="25"/>
      <c r="BK1305" s="25"/>
      <c r="BL1305" s="25"/>
      <c r="BM1305" s="25"/>
      <c r="BN1305" s="25"/>
      <c r="BO1305" s="25"/>
      <c r="BP1305" s="25"/>
      <c r="BQ1305" s="25"/>
      <c r="BR1305" s="25"/>
      <c r="BS1305" s="25"/>
      <c r="BT1305" s="25"/>
      <c r="BU1305" s="25"/>
      <c r="BV1305" s="25"/>
      <c r="BW1305" s="25"/>
      <c r="BX1305" s="25"/>
      <c r="BY1305" s="25"/>
      <c r="BZ1305" s="25"/>
      <c r="CA1305" s="25"/>
      <c r="CB1305" s="25"/>
    </row>
    <row r="1306" spans="1:80" ht="12.75" hidden="1" customHeight="1">
      <c r="A1306" s="10">
        <f ca="1">IFERROR(__xludf.DUMMYFUNCTION("""COMPUTED_VALUE"""),2017)</f>
        <v>2017</v>
      </c>
      <c r="B1306" s="50">
        <f ca="1">IFERROR(__xludf.DUMMYFUNCTION("""COMPUTED_VALUE"""),43645)</f>
        <v>43645</v>
      </c>
      <c r="C1306" s="41"/>
      <c r="D1306" s="42" t="str">
        <f ca="1">IFERROR(__xludf.DUMMYFUNCTION("""COMPUTED_VALUE"""),"Yellow-browed Warbler")</f>
        <v>Yellow-browed Warbler</v>
      </c>
      <c r="E1306" s="53">
        <f ca="1">IFERROR(__xludf.DUMMYFUNCTION("""COMPUTED_VALUE"""),1)</f>
        <v>1</v>
      </c>
      <c r="F1306" s="15"/>
      <c r="G1306" s="44" t="str">
        <f ca="1">IFERROR(__xludf.DUMMYFUNCTION("""COMPUTED_VALUE"""),"Pickering's Pasture LNR, Widnes")</f>
        <v>Pickering's Pasture LNR, Widnes</v>
      </c>
      <c r="H1306" s="12">
        <f ca="1">IFERROR(__xludf.DUMMYFUNCTION("""COMPUTED_VALUE"""),43014)</f>
        <v>43014</v>
      </c>
      <c r="I1306" s="12"/>
      <c r="J1306" s="14" t="str">
        <f ca="1">IFERROR(__xludf.DUMMYFUNCTION("""COMPUTED_VALUE"""),"Cockbain, R")</f>
        <v>Cockbain, R</v>
      </c>
      <c r="K1306" s="15" t="str">
        <f ca="1">IFERROR(__xludf.DUMMYFUNCTION("""COMPUTED_VALUE"""),"Cockbain, R")</f>
        <v>Cockbain, R</v>
      </c>
      <c r="L1306" s="17" t="str">
        <f ca="1">IFERROR(__xludf.DUMMYFUNCTION("""COMPUTED_VALUE"""),"closed")</f>
        <v>closed</v>
      </c>
      <c r="M1306" s="17" t="str">
        <f ca="1">IFERROR(__xludf.DUMMYFUNCTION("""COMPUTED_VALUE"""),"1st U")</f>
        <v>1st U</v>
      </c>
      <c r="N1306" s="15" t="str">
        <f ca="1">IFERROR(__xludf.DUMMYFUNCTION("""COMPUTED_VALUE"""),"accepted")</f>
        <v>accepted</v>
      </c>
      <c r="O1306" s="18"/>
      <c r="P1306" s="15"/>
      <c r="Q1306" s="15"/>
      <c r="R1306" s="15"/>
      <c r="S1306" s="15"/>
      <c r="T1306" s="15"/>
      <c r="U1306" s="15"/>
      <c r="V1306" s="15"/>
      <c r="W1306" s="15"/>
      <c r="X1306" s="15"/>
      <c r="Y1306" s="15"/>
      <c r="Z1306" s="15"/>
      <c r="AA1306" s="15"/>
      <c r="AB1306" s="15"/>
      <c r="AC1306" s="15"/>
      <c r="AD1306" s="15"/>
      <c r="AE1306" s="15"/>
      <c r="AF1306" s="15"/>
      <c r="AG1306" s="15"/>
      <c r="AH1306" s="15"/>
      <c r="AI1306" s="15"/>
      <c r="AJ1306" s="15"/>
      <c r="AK1306" s="15"/>
      <c r="AL1306" s="15"/>
      <c r="AM1306" s="15"/>
      <c r="AN1306" s="15"/>
      <c r="AO1306" s="15"/>
      <c r="AP1306" s="15"/>
      <c r="AQ1306" s="15"/>
      <c r="AR1306" s="15"/>
      <c r="AS1306" s="15"/>
      <c r="AT1306" s="15"/>
      <c r="AU1306" s="15"/>
      <c r="AV1306" s="15"/>
      <c r="AW1306" s="15"/>
      <c r="AX1306" s="15"/>
      <c r="AY1306" s="15"/>
      <c r="AZ1306" s="15"/>
      <c r="BA1306" s="15"/>
      <c r="BB1306" s="15"/>
      <c r="BC1306" s="15"/>
      <c r="BD1306" s="15"/>
      <c r="BE1306" s="15"/>
      <c r="BF1306" s="15"/>
      <c r="BG1306" s="15"/>
      <c r="BH1306" s="15"/>
      <c r="BI1306" s="15"/>
      <c r="BJ1306" s="15"/>
      <c r="BK1306" s="15"/>
      <c r="BL1306" s="15"/>
      <c r="BM1306" s="15"/>
      <c r="BN1306" s="15"/>
      <c r="BO1306" s="15"/>
      <c r="BP1306" s="15"/>
      <c r="BQ1306" s="15"/>
      <c r="BR1306" s="15"/>
      <c r="BS1306" s="15"/>
      <c r="BT1306" s="15"/>
      <c r="BU1306" s="15"/>
      <c r="BV1306" s="15"/>
      <c r="BW1306" s="15"/>
      <c r="BX1306" s="15"/>
      <c r="BY1306" s="15"/>
      <c r="BZ1306" s="15"/>
      <c r="CA1306" s="15"/>
      <c r="CB1306" s="15"/>
    </row>
    <row r="1307" spans="1:80" ht="12.75" hidden="1" customHeight="1">
      <c r="A1307" s="20">
        <f ca="1">IFERROR(__xludf.DUMMYFUNCTION("""COMPUTED_VALUE"""),2017)</f>
        <v>2017</v>
      </c>
      <c r="B1307" s="45">
        <f ca="1">IFERROR(__xludf.DUMMYFUNCTION("""COMPUTED_VALUE"""),43645)</f>
        <v>43645</v>
      </c>
      <c r="C1307" s="46"/>
      <c r="D1307" s="47" t="str">
        <f ca="1">IFERROR(__xludf.DUMMYFUNCTION("""COMPUTED_VALUE"""),"Yellow-browed Warbler")</f>
        <v>Yellow-browed Warbler</v>
      </c>
      <c r="E1307" s="52">
        <f ca="1">IFERROR(__xludf.DUMMYFUNCTION("""COMPUTED_VALUE"""),1)</f>
        <v>1</v>
      </c>
      <c r="F1307" s="25"/>
      <c r="G1307" s="48" t="str">
        <f ca="1">IFERROR(__xludf.DUMMYFUNCTION("""COMPUTED_VALUE"""),"Birkenhead Docks")</f>
        <v>Birkenhead Docks</v>
      </c>
      <c r="H1307" s="22">
        <f ca="1">IFERROR(__xludf.DUMMYFUNCTION("""COMPUTED_VALUE"""),43016)</f>
        <v>43016</v>
      </c>
      <c r="I1307" s="22"/>
      <c r="J1307" s="24"/>
      <c r="K1307" s="25"/>
      <c r="L1307" s="27" t="str">
        <f ca="1">IFERROR(__xludf.DUMMYFUNCTION("""COMPUTED_VALUE"""),"closed")</f>
        <v>closed</v>
      </c>
      <c r="M1307" s="27" t="str">
        <f ca="1">IFERROR(__xludf.DUMMYFUNCTION("""COMPUTED_VALUE"""),"-")</f>
        <v>-</v>
      </c>
      <c r="N1307" s="25" t="str">
        <f ca="1">IFERROR(__xludf.DUMMYFUNCTION("""COMPUTED_VALUE"""),"exemption")</f>
        <v>exemption</v>
      </c>
      <c r="O1307" s="28"/>
      <c r="P1307" s="25"/>
      <c r="Q1307" s="25"/>
      <c r="R1307" s="25"/>
      <c r="S1307" s="25"/>
      <c r="T1307" s="25"/>
      <c r="U1307" s="25"/>
      <c r="V1307" s="25"/>
      <c r="W1307" s="25"/>
      <c r="X1307" s="25"/>
      <c r="Y1307" s="25"/>
      <c r="Z1307" s="25"/>
      <c r="AA1307" s="25"/>
      <c r="AB1307" s="25"/>
      <c r="AC1307" s="25"/>
      <c r="AD1307" s="25"/>
      <c r="AE1307" s="25"/>
      <c r="AF1307" s="25"/>
      <c r="AG1307" s="25"/>
      <c r="AH1307" s="25"/>
      <c r="AI1307" s="25"/>
      <c r="AJ1307" s="25"/>
      <c r="AK1307" s="25"/>
      <c r="AL1307" s="25"/>
      <c r="AM1307" s="25"/>
      <c r="AN1307" s="25"/>
      <c r="AO1307" s="25"/>
      <c r="AP1307" s="25"/>
      <c r="AQ1307" s="25"/>
      <c r="AR1307" s="25"/>
      <c r="AS1307" s="25"/>
      <c r="AT1307" s="25"/>
      <c r="AU1307" s="25"/>
      <c r="AV1307" s="25"/>
      <c r="AW1307" s="25"/>
      <c r="AX1307" s="25"/>
      <c r="AY1307" s="25"/>
      <c r="AZ1307" s="25"/>
      <c r="BA1307" s="25"/>
      <c r="BB1307" s="25"/>
      <c r="BC1307" s="25"/>
      <c r="BD1307" s="25"/>
      <c r="BE1307" s="25"/>
      <c r="BF1307" s="25"/>
      <c r="BG1307" s="25"/>
      <c r="BH1307" s="25"/>
      <c r="BI1307" s="25"/>
      <c r="BJ1307" s="25"/>
      <c r="BK1307" s="25"/>
      <c r="BL1307" s="25"/>
      <c r="BM1307" s="25"/>
      <c r="BN1307" s="25"/>
      <c r="BO1307" s="25"/>
      <c r="BP1307" s="25"/>
      <c r="BQ1307" s="25"/>
      <c r="BR1307" s="25"/>
      <c r="BS1307" s="25"/>
      <c r="BT1307" s="25"/>
      <c r="BU1307" s="25"/>
      <c r="BV1307" s="25"/>
      <c r="BW1307" s="25"/>
      <c r="BX1307" s="25"/>
      <c r="BY1307" s="25"/>
      <c r="BZ1307" s="25"/>
      <c r="CA1307" s="25"/>
      <c r="CB1307" s="25"/>
    </row>
    <row r="1308" spans="1:80" ht="12.75" hidden="1" customHeight="1">
      <c r="A1308" s="10">
        <f ca="1">IFERROR(__xludf.DUMMYFUNCTION("""COMPUTED_VALUE"""),2017)</f>
        <v>2017</v>
      </c>
      <c r="B1308" s="50">
        <f ca="1">IFERROR(__xludf.DUMMYFUNCTION("""COMPUTED_VALUE"""),43645)</f>
        <v>43645</v>
      </c>
      <c r="C1308" s="41"/>
      <c r="D1308" s="42" t="str">
        <f ca="1">IFERROR(__xludf.DUMMYFUNCTION("""COMPUTED_VALUE"""),"Yellow-browed Warbler")</f>
        <v>Yellow-browed Warbler</v>
      </c>
      <c r="E1308" s="53">
        <f ca="1">IFERROR(__xludf.DUMMYFUNCTION("""COMPUTED_VALUE"""),1)</f>
        <v>1</v>
      </c>
      <c r="F1308" s="15"/>
      <c r="G1308" s="44" t="str">
        <f ca="1">IFERROR(__xludf.DUMMYFUNCTION("""COMPUTED_VALUE"""),"Cinnamon Brow, Warrington")</f>
        <v>Cinnamon Brow, Warrington</v>
      </c>
      <c r="H1308" s="12">
        <f ca="1">IFERROR(__xludf.DUMMYFUNCTION("""COMPUTED_VALUE"""),43017)</f>
        <v>43017</v>
      </c>
      <c r="I1308" s="12"/>
      <c r="J1308" s="14"/>
      <c r="K1308" s="15"/>
      <c r="L1308" s="17" t="str">
        <f ca="1">IFERROR(__xludf.DUMMYFUNCTION("""COMPUTED_VALUE"""),"closed")</f>
        <v>closed</v>
      </c>
      <c r="M1308" s="17" t="str">
        <f ca="1">IFERROR(__xludf.DUMMYFUNCTION("""COMPUTED_VALUE"""),"-")</f>
        <v>-</v>
      </c>
      <c r="N1308" s="15" t="str">
        <f ca="1">IFERROR(__xludf.DUMMYFUNCTION("""COMPUTED_VALUE"""),"exemption")</f>
        <v>exemption</v>
      </c>
      <c r="O1308" s="18"/>
      <c r="P1308" s="15"/>
      <c r="Q1308" s="15"/>
      <c r="R1308" s="15"/>
      <c r="S1308" s="15"/>
      <c r="T1308" s="15"/>
      <c r="U1308" s="15"/>
      <c r="V1308" s="15"/>
      <c r="W1308" s="15"/>
      <c r="X1308" s="15"/>
      <c r="Y1308" s="15"/>
      <c r="Z1308" s="15"/>
      <c r="AA1308" s="15"/>
      <c r="AB1308" s="15"/>
      <c r="AC1308" s="15"/>
      <c r="AD1308" s="15"/>
      <c r="AE1308" s="15"/>
      <c r="AF1308" s="15"/>
      <c r="AG1308" s="15"/>
      <c r="AH1308" s="15"/>
      <c r="AI1308" s="15"/>
      <c r="AJ1308" s="15"/>
      <c r="AK1308" s="15"/>
      <c r="AL1308" s="15"/>
      <c r="AM1308" s="15"/>
      <c r="AN1308" s="15"/>
      <c r="AO1308" s="15"/>
      <c r="AP1308" s="15"/>
      <c r="AQ1308" s="15"/>
      <c r="AR1308" s="15"/>
      <c r="AS1308" s="15"/>
      <c r="AT1308" s="15"/>
      <c r="AU1308" s="15"/>
      <c r="AV1308" s="15"/>
      <c r="AW1308" s="15"/>
      <c r="AX1308" s="15"/>
      <c r="AY1308" s="15"/>
      <c r="AZ1308" s="15"/>
      <c r="BA1308" s="15"/>
      <c r="BB1308" s="15"/>
      <c r="BC1308" s="15"/>
      <c r="BD1308" s="15"/>
      <c r="BE1308" s="15"/>
      <c r="BF1308" s="15"/>
      <c r="BG1308" s="15"/>
      <c r="BH1308" s="15"/>
      <c r="BI1308" s="15"/>
      <c r="BJ1308" s="15"/>
      <c r="BK1308" s="15"/>
      <c r="BL1308" s="15"/>
      <c r="BM1308" s="15"/>
      <c r="BN1308" s="15"/>
      <c r="BO1308" s="15"/>
      <c r="BP1308" s="15"/>
      <c r="BQ1308" s="15"/>
      <c r="BR1308" s="15"/>
      <c r="BS1308" s="15"/>
      <c r="BT1308" s="15"/>
      <c r="BU1308" s="15"/>
      <c r="BV1308" s="15"/>
      <c r="BW1308" s="15"/>
      <c r="BX1308" s="15"/>
      <c r="BY1308" s="15"/>
      <c r="BZ1308" s="15"/>
      <c r="CA1308" s="15"/>
      <c r="CB1308" s="15"/>
    </row>
    <row r="1309" spans="1:80" ht="12.75" hidden="1" customHeight="1">
      <c r="A1309" s="20">
        <f ca="1">IFERROR(__xludf.DUMMYFUNCTION("""COMPUTED_VALUE"""),2017)</f>
        <v>2017</v>
      </c>
      <c r="B1309" s="45">
        <f ca="1">IFERROR(__xludf.DUMMYFUNCTION("""COMPUTED_VALUE"""),43645)</f>
        <v>43645</v>
      </c>
      <c r="C1309" s="46"/>
      <c r="D1309" s="47" t="str">
        <f ca="1">IFERROR(__xludf.DUMMYFUNCTION("""COMPUTED_VALUE"""),"Yellow-browed Warbler")</f>
        <v>Yellow-browed Warbler</v>
      </c>
      <c r="E1309" s="52">
        <f ca="1">IFERROR(__xludf.DUMMYFUNCTION("""COMPUTED_VALUE"""),1)</f>
        <v>1</v>
      </c>
      <c r="F1309" s="25"/>
      <c r="G1309" s="48" t="str">
        <f ca="1">IFERROR(__xludf.DUMMYFUNCTION("""COMPUTED_VALUE"""),"Hilbre")</f>
        <v>Hilbre</v>
      </c>
      <c r="H1309" s="22">
        <f ca="1">IFERROR(__xludf.DUMMYFUNCTION("""COMPUTED_VALUE"""),43024)</f>
        <v>43024</v>
      </c>
      <c r="I1309" s="22"/>
      <c r="J1309" s="24"/>
      <c r="K1309" s="25"/>
      <c r="L1309" s="27" t="str">
        <f ca="1">IFERROR(__xludf.DUMMYFUNCTION("""COMPUTED_VALUE"""),"closed")</f>
        <v>closed</v>
      </c>
      <c r="M1309" s="27" t="str">
        <f ca="1">IFERROR(__xludf.DUMMYFUNCTION("""COMPUTED_VALUE"""),"-")</f>
        <v>-</v>
      </c>
      <c r="N1309" s="25" t="str">
        <f ca="1">IFERROR(__xludf.DUMMYFUNCTION("""COMPUTED_VALUE"""),"exemption")</f>
        <v>exemption</v>
      </c>
      <c r="O1309" s="28"/>
      <c r="P1309" s="25"/>
      <c r="Q1309" s="25"/>
      <c r="R1309" s="25"/>
      <c r="S1309" s="25"/>
      <c r="T1309" s="25"/>
      <c r="U1309" s="25"/>
      <c r="V1309" s="25"/>
      <c r="W1309" s="25"/>
      <c r="X1309" s="25"/>
      <c r="Y1309" s="25"/>
      <c r="Z1309" s="25"/>
      <c r="AA1309" s="25"/>
      <c r="AB1309" s="25"/>
      <c r="AC1309" s="25"/>
      <c r="AD1309" s="25"/>
      <c r="AE1309" s="25"/>
      <c r="AF1309" s="25"/>
      <c r="AG1309" s="25"/>
      <c r="AH1309" s="25"/>
      <c r="AI1309" s="25"/>
      <c r="AJ1309" s="25"/>
      <c r="AK1309" s="25"/>
      <c r="AL1309" s="25"/>
      <c r="AM1309" s="25"/>
      <c r="AN1309" s="25"/>
      <c r="AO1309" s="25"/>
      <c r="AP1309" s="25"/>
      <c r="AQ1309" s="25"/>
      <c r="AR1309" s="25"/>
      <c r="AS1309" s="25"/>
      <c r="AT1309" s="25"/>
      <c r="AU1309" s="25"/>
      <c r="AV1309" s="25"/>
      <c r="AW1309" s="25"/>
      <c r="AX1309" s="25"/>
      <c r="AY1309" s="25"/>
      <c r="AZ1309" s="25"/>
      <c r="BA1309" s="25"/>
      <c r="BB1309" s="25"/>
      <c r="BC1309" s="25"/>
      <c r="BD1309" s="25"/>
      <c r="BE1309" s="25"/>
      <c r="BF1309" s="25"/>
      <c r="BG1309" s="25"/>
      <c r="BH1309" s="25"/>
      <c r="BI1309" s="25"/>
      <c r="BJ1309" s="25"/>
      <c r="BK1309" s="25"/>
      <c r="BL1309" s="25"/>
      <c r="BM1309" s="25"/>
      <c r="BN1309" s="25"/>
      <c r="BO1309" s="25"/>
      <c r="BP1309" s="25"/>
      <c r="BQ1309" s="25"/>
      <c r="BR1309" s="25"/>
      <c r="BS1309" s="25"/>
      <c r="BT1309" s="25"/>
      <c r="BU1309" s="25"/>
      <c r="BV1309" s="25"/>
      <c r="BW1309" s="25"/>
      <c r="BX1309" s="25"/>
      <c r="BY1309" s="25"/>
      <c r="BZ1309" s="25"/>
      <c r="CA1309" s="25"/>
      <c r="CB1309" s="25"/>
    </row>
    <row r="1310" spans="1:80" ht="12.75" hidden="1" customHeight="1">
      <c r="A1310" s="10">
        <f ca="1">IFERROR(__xludf.DUMMYFUNCTION("""COMPUTED_VALUE"""),2017)</f>
        <v>2017</v>
      </c>
      <c r="B1310" s="50">
        <f ca="1">IFERROR(__xludf.DUMMYFUNCTION("""COMPUTED_VALUE"""),43645)</f>
        <v>43645</v>
      </c>
      <c r="C1310" s="41"/>
      <c r="D1310" s="42" t="str">
        <f ca="1">IFERROR(__xludf.DUMMYFUNCTION("""COMPUTED_VALUE"""),"Yellow-browed Warbler")</f>
        <v>Yellow-browed Warbler</v>
      </c>
      <c r="E1310" s="53">
        <f ca="1">IFERROR(__xludf.DUMMYFUNCTION("""COMPUTED_VALUE"""),1)</f>
        <v>1</v>
      </c>
      <c r="F1310" s="15"/>
      <c r="G1310" s="44" t="str">
        <f ca="1">IFERROR(__xludf.DUMMYFUNCTION("""COMPUTED_VALUE"""),"Scholar Green")</f>
        <v>Scholar Green</v>
      </c>
      <c r="H1310" s="12">
        <f ca="1">IFERROR(__xludf.DUMMYFUNCTION("""COMPUTED_VALUE"""),43033)</f>
        <v>43033</v>
      </c>
      <c r="I1310" s="12"/>
      <c r="J1310" s="14"/>
      <c r="K1310" s="15"/>
      <c r="L1310" s="17" t="str">
        <f ca="1">IFERROR(__xludf.DUMMYFUNCTION("""COMPUTED_VALUE"""),"closed")</f>
        <v>closed</v>
      </c>
      <c r="M1310" s="17" t="str">
        <f ca="1">IFERROR(__xludf.DUMMYFUNCTION("""COMPUTED_VALUE"""),"-")</f>
        <v>-</v>
      </c>
      <c r="N1310" s="15" t="str">
        <f ca="1">IFERROR(__xludf.DUMMYFUNCTION("""COMPUTED_VALUE"""),"exemption")</f>
        <v>exemption</v>
      </c>
      <c r="O1310" s="18"/>
      <c r="P1310" s="15"/>
      <c r="Q1310" s="15"/>
      <c r="R1310" s="15"/>
      <c r="S1310" s="15"/>
      <c r="T1310" s="15"/>
      <c r="U1310" s="15"/>
      <c r="V1310" s="15"/>
      <c r="W1310" s="15"/>
      <c r="X1310" s="15"/>
      <c r="Y1310" s="15"/>
      <c r="Z1310" s="15"/>
      <c r="AA1310" s="15"/>
      <c r="AB1310" s="15"/>
      <c r="AC1310" s="15"/>
      <c r="AD1310" s="15"/>
      <c r="AE1310" s="15"/>
      <c r="AF1310" s="15"/>
      <c r="AG1310" s="15"/>
      <c r="AH1310" s="15"/>
      <c r="AI1310" s="15"/>
      <c r="AJ1310" s="15"/>
      <c r="AK1310" s="15"/>
      <c r="AL1310" s="15"/>
      <c r="AM1310" s="15"/>
      <c r="AN1310" s="15"/>
      <c r="AO1310" s="15"/>
      <c r="AP1310" s="15"/>
      <c r="AQ1310" s="15"/>
      <c r="AR1310" s="15"/>
      <c r="AS1310" s="15"/>
      <c r="AT1310" s="15"/>
      <c r="AU1310" s="15"/>
      <c r="AV1310" s="15"/>
      <c r="AW1310" s="15"/>
      <c r="AX1310" s="15"/>
      <c r="AY1310" s="15"/>
      <c r="AZ1310" s="15"/>
      <c r="BA1310" s="15"/>
      <c r="BB1310" s="15"/>
      <c r="BC1310" s="15"/>
      <c r="BD1310" s="15"/>
      <c r="BE1310" s="15"/>
      <c r="BF1310" s="15"/>
      <c r="BG1310" s="15"/>
      <c r="BH1310" s="15"/>
      <c r="BI1310" s="15"/>
      <c r="BJ1310" s="15"/>
      <c r="BK1310" s="15"/>
      <c r="BL1310" s="15"/>
      <c r="BM1310" s="15"/>
      <c r="BN1310" s="15"/>
      <c r="BO1310" s="15"/>
      <c r="BP1310" s="15"/>
      <c r="BQ1310" s="15"/>
      <c r="BR1310" s="15"/>
      <c r="BS1310" s="15"/>
      <c r="BT1310" s="15"/>
      <c r="BU1310" s="15"/>
      <c r="BV1310" s="15"/>
      <c r="BW1310" s="15"/>
      <c r="BX1310" s="15"/>
      <c r="BY1310" s="15"/>
      <c r="BZ1310" s="15"/>
      <c r="CA1310" s="15"/>
      <c r="CB1310" s="15"/>
    </row>
    <row r="1311" spans="1:80" ht="12.75" hidden="1" customHeight="1">
      <c r="A1311" s="20">
        <f ca="1">IFERROR(__xludf.DUMMYFUNCTION("""COMPUTED_VALUE"""),2017)</f>
        <v>2017</v>
      </c>
      <c r="B1311" s="45">
        <f ca="1">IFERROR(__xludf.DUMMYFUNCTION("""COMPUTED_VALUE"""),43645)</f>
        <v>43645</v>
      </c>
      <c r="C1311" s="46"/>
      <c r="D1311" s="47" t="str">
        <f ca="1">IFERROR(__xludf.DUMMYFUNCTION("""COMPUTED_VALUE"""),"Yellow-browed Warbler")</f>
        <v>Yellow-browed Warbler</v>
      </c>
      <c r="E1311" s="52">
        <f ca="1">IFERROR(__xludf.DUMMYFUNCTION("""COMPUTED_VALUE"""),1)</f>
        <v>1</v>
      </c>
      <c r="F1311" s="25"/>
      <c r="G1311" s="48" t="str">
        <f ca="1">IFERROR(__xludf.DUMMYFUNCTION("""COMPUTED_VALUE"""),"Leasowe")</f>
        <v>Leasowe</v>
      </c>
      <c r="H1311" s="22">
        <f ca="1">IFERROR(__xludf.DUMMYFUNCTION("""COMPUTED_VALUE"""),43035)</f>
        <v>43035</v>
      </c>
      <c r="I1311" s="22">
        <f ca="1">IFERROR(__xludf.DUMMYFUNCTION("""COMPUTED_VALUE"""),43402)</f>
        <v>43402</v>
      </c>
      <c r="J1311" s="24" t="str">
        <f ca="1">IFERROR(__xludf.DUMMYFUNCTION("""COMPUTED_VALUE"""),"Williams, E")</f>
        <v>Williams, E</v>
      </c>
      <c r="K1311" s="25" t="str">
        <f ca="1">IFERROR(__xludf.DUMMYFUNCTION("""COMPUTED_VALUE"""),"Williams, E")</f>
        <v>Williams, E</v>
      </c>
      <c r="L1311" s="27" t="str">
        <f ca="1">IFERROR(__xludf.DUMMYFUNCTION("""COMPUTED_VALUE"""),"closed")</f>
        <v>closed</v>
      </c>
      <c r="M1311" s="27" t="str">
        <f ca="1">IFERROR(__xludf.DUMMYFUNCTION("""COMPUTED_VALUE"""),"1st U")</f>
        <v>1st U</v>
      </c>
      <c r="N1311" s="25" t="str">
        <f ca="1">IFERROR(__xludf.DUMMYFUNCTION("""COMPUTED_VALUE"""),"accepted")</f>
        <v>accepted</v>
      </c>
      <c r="O1311" s="28"/>
      <c r="P1311" s="25"/>
      <c r="Q1311" s="25"/>
      <c r="R1311" s="25"/>
      <c r="S1311" s="25"/>
      <c r="T1311" s="25"/>
      <c r="U1311" s="25"/>
      <c r="V1311" s="25"/>
      <c r="W1311" s="25"/>
      <c r="X1311" s="25"/>
      <c r="Y1311" s="25"/>
      <c r="Z1311" s="25"/>
      <c r="AA1311" s="25"/>
      <c r="AB1311" s="25"/>
      <c r="AC1311" s="25"/>
      <c r="AD1311" s="25"/>
      <c r="AE1311" s="25"/>
      <c r="AF1311" s="25"/>
      <c r="AG1311" s="25"/>
      <c r="AH1311" s="25"/>
      <c r="AI1311" s="25"/>
      <c r="AJ1311" s="25"/>
      <c r="AK1311" s="25"/>
      <c r="AL1311" s="25"/>
      <c r="AM1311" s="25"/>
      <c r="AN1311" s="25"/>
      <c r="AO1311" s="25"/>
      <c r="AP1311" s="25"/>
      <c r="AQ1311" s="25"/>
      <c r="AR1311" s="25"/>
      <c r="AS1311" s="25"/>
      <c r="AT1311" s="25"/>
      <c r="AU1311" s="25"/>
      <c r="AV1311" s="25"/>
      <c r="AW1311" s="25"/>
      <c r="AX1311" s="25"/>
      <c r="AY1311" s="25"/>
      <c r="AZ1311" s="25"/>
      <c r="BA1311" s="25"/>
      <c r="BB1311" s="25"/>
      <c r="BC1311" s="25"/>
      <c r="BD1311" s="25"/>
      <c r="BE1311" s="25"/>
      <c r="BF1311" s="25"/>
      <c r="BG1311" s="25"/>
      <c r="BH1311" s="25"/>
      <c r="BI1311" s="25"/>
      <c r="BJ1311" s="25"/>
      <c r="BK1311" s="25"/>
      <c r="BL1311" s="25"/>
      <c r="BM1311" s="25"/>
      <c r="BN1311" s="25"/>
      <c r="BO1311" s="25"/>
      <c r="BP1311" s="25"/>
      <c r="BQ1311" s="25"/>
      <c r="BR1311" s="25"/>
      <c r="BS1311" s="25"/>
      <c r="BT1311" s="25"/>
      <c r="BU1311" s="25"/>
      <c r="BV1311" s="25"/>
      <c r="BW1311" s="25"/>
      <c r="BX1311" s="25"/>
      <c r="BY1311" s="25"/>
      <c r="BZ1311" s="25"/>
      <c r="CA1311" s="25"/>
      <c r="CB1311" s="25"/>
    </row>
    <row r="1312" spans="1:80" ht="12.75" hidden="1" customHeight="1">
      <c r="A1312" s="10">
        <f ca="1">IFERROR(__xludf.DUMMYFUNCTION("""COMPUTED_VALUE"""),2017)</f>
        <v>2017</v>
      </c>
      <c r="B1312" s="50">
        <f ca="1">IFERROR(__xludf.DUMMYFUNCTION("""COMPUTED_VALUE"""),43369)</f>
        <v>43369</v>
      </c>
      <c r="C1312" s="41"/>
      <c r="D1312" s="42" t="str">
        <f ca="1">IFERROR(__xludf.DUMMYFUNCTION("""COMPUTED_VALUE"""),"Siberian Chiffchaff [tristis race]")</f>
        <v>Siberian Chiffchaff [tristis race]</v>
      </c>
      <c r="E1312" s="53">
        <f ca="1">IFERROR(__xludf.DUMMYFUNCTION("""COMPUTED_VALUE"""),1)</f>
        <v>1</v>
      </c>
      <c r="F1312" s="15"/>
      <c r="G1312" s="44" t="str">
        <f ca="1">IFERROR(__xludf.DUMMYFUNCTION("""COMPUTED_VALUE"""),"Hoylake")</f>
        <v>Hoylake</v>
      </c>
      <c r="H1312" s="12">
        <f ca="1">IFERROR(__xludf.DUMMYFUNCTION("""COMPUTED_VALUE"""),43006)</f>
        <v>43006</v>
      </c>
      <c r="I1312" s="12"/>
      <c r="J1312" s="14" t="str">
        <f ca="1">IFERROR(__xludf.DUMMYFUNCTION("""COMPUTED_VALUE"""),"Turner, JE")</f>
        <v>Turner, JE</v>
      </c>
      <c r="K1312" s="15" t="str">
        <f ca="1">IFERROR(__xludf.DUMMYFUNCTION("""COMPUTED_VALUE"""),"Turner, JE")</f>
        <v>Turner, JE</v>
      </c>
      <c r="L1312" s="17" t="str">
        <f ca="1">IFERROR(__xludf.DUMMYFUNCTION("""COMPUTED_VALUE"""),"closed")</f>
        <v>closed</v>
      </c>
      <c r="M1312" s="17" t="str">
        <f ca="1">IFERROR(__xludf.DUMMYFUNCTION("""COMPUTED_VALUE"""),"1st U")</f>
        <v>1st U</v>
      </c>
      <c r="N1312" s="15" t="str">
        <f ca="1">IFERROR(__xludf.DUMMYFUNCTION("""COMPUTED_VALUE"""),"Accepted")</f>
        <v>Accepted</v>
      </c>
      <c r="O1312" s="18"/>
      <c r="P1312" s="15"/>
      <c r="Q1312" s="15"/>
      <c r="R1312" s="15"/>
      <c r="S1312" s="15"/>
      <c r="T1312" s="15"/>
      <c r="U1312" s="15"/>
      <c r="V1312" s="15"/>
      <c r="W1312" s="15"/>
      <c r="X1312" s="15"/>
      <c r="Y1312" s="15"/>
      <c r="Z1312" s="15"/>
      <c r="AA1312" s="15"/>
      <c r="AB1312" s="15"/>
      <c r="AC1312" s="15"/>
      <c r="AD1312" s="15"/>
      <c r="AE1312" s="15"/>
      <c r="AF1312" s="15"/>
      <c r="AG1312" s="15"/>
      <c r="AH1312" s="15"/>
      <c r="AI1312" s="15"/>
      <c r="AJ1312" s="15"/>
      <c r="AK1312" s="15"/>
      <c r="AL1312" s="15"/>
      <c r="AM1312" s="15"/>
      <c r="AN1312" s="15"/>
      <c r="AO1312" s="15"/>
      <c r="AP1312" s="15"/>
      <c r="AQ1312" s="15"/>
      <c r="AR1312" s="15"/>
      <c r="AS1312" s="15"/>
      <c r="AT1312" s="15"/>
      <c r="AU1312" s="15"/>
      <c r="AV1312" s="15"/>
      <c r="AW1312" s="15"/>
      <c r="AX1312" s="15"/>
      <c r="AY1312" s="15"/>
      <c r="AZ1312" s="15"/>
      <c r="BA1312" s="15"/>
      <c r="BB1312" s="15"/>
      <c r="BC1312" s="15"/>
      <c r="BD1312" s="15"/>
      <c r="BE1312" s="15"/>
      <c r="BF1312" s="15"/>
      <c r="BG1312" s="15"/>
      <c r="BH1312" s="15"/>
      <c r="BI1312" s="15"/>
      <c r="BJ1312" s="15"/>
      <c r="BK1312" s="15"/>
      <c r="BL1312" s="15"/>
      <c r="BM1312" s="15"/>
      <c r="BN1312" s="15"/>
      <c r="BO1312" s="15"/>
      <c r="BP1312" s="15"/>
      <c r="BQ1312" s="15"/>
      <c r="BR1312" s="15"/>
      <c r="BS1312" s="15"/>
      <c r="BT1312" s="15"/>
      <c r="BU1312" s="15"/>
      <c r="BV1312" s="15"/>
      <c r="BW1312" s="15"/>
      <c r="BX1312" s="15"/>
      <c r="BY1312" s="15"/>
      <c r="BZ1312" s="15"/>
      <c r="CA1312" s="15"/>
      <c r="CB1312" s="15"/>
    </row>
    <row r="1313" spans="1:80" ht="12.75" hidden="1" customHeight="1">
      <c r="A1313" s="20">
        <f ca="1">IFERROR(__xludf.DUMMYFUNCTION("""COMPUTED_VALUE"""),2017)</f>
        <v>2017</v>
      </c>
      <c r="B1313" s="45">
        <f ca="1">IFERROR(__xludf.DUMMYFUNCTION("""COMPUTED_VALUE"""),43374)</f>
        <v>43374</v>
      </c>
      <c r="C1313" s="46">
        <f ca="1">IFERROR(__xludf.DUMMYFUNCTION("""COMPUTED_VALUE"""),43362)</f>
        <v>43362</v>
      </c>
      <c r="D1313" s="47" t="str">
        <f ca="1">IFERROR(__xludf.DUMMYFUNCTION("""COMPUTED_VALUE"""),"Siberian Chiffchaff [tristis race]")</f>
        <v>Siberian Chiffchaff [tristis race]</v>
      </c>
      <c r="E1313" s="52">
        <f ca="1">IFERROR(__xludf.DUMMYFUNCTION("""COMPUTED_VALUE"""),1)</f>
        <v>1</v>
      </c>
      <c r="F1313" s="25"/>
      <c r="G1313" s="48" t="str">
        <f ca="1">IFERROR(__xludf.DUMMYFUNCTION("""COMPUTED_VALUE"""),"Leasowe")</f>
        <v>Leasowe</v>
      </c>
      <c r="H1313" s="22">
        <f ca="1">IFERROR(__xludf.DUMMYFUNCTION("""COMPUTED_VALUE"""),43042)</f>
        <v>43042</v>
      </c>
      <c r="I1313" s="22">
        <f ca="1">IFERROR(__xludf.DUMMYFUNCTION("""COMPUTED_VALUE"""),43413)</f>
        <v>43413</v>
      </c>
      <c r="J1313" s="24" t="str">
        <f ca="1">IFERROR(__xludf.DUMMYFUNCTION("""COMPUTED_VALUE"""),"Williams, E")</f>
        <v>Williams, E</v>
      </c>
      <c r="K1313" s="25" t="str">
        <f ca="1">IFERROR(__xludf.DUMMYFUNCTION("""COMPUTED_VALUE"""),"Williams, E")</f>
        <v>Williams, E</v>
      </c>
      <c r="L1313" s="27" t="str">
        <f ca="1">IFERROR(__xludf.DUMMYFUNCTION("""COMPUTED_VALUE"""),"closed")</f>
        <v>closed</v>
      </c>
      <c r="M1313" s="27" t="str">
        <f ca="1">IFERROR(__xludf.DUMMYFUNCTION("""COMPUTED_VALUE"""),"1st U")</f>
        <v>1st U</v>
      </c>
      <c r="N1313" s="25" t="str">
        <f ca="1">IFERROR(__xludf.DUMMYFUNCTION("""COMPUTED_VALUE"""),"accepted")</f>
        <v>accepted</v>
      </c>
      <c r="O1313" s="28"/>
      <c r="P1313" s="25"/>
      <c r="Q1313" s="25"/>
      <c r="R1313" s="25"/>
      <c r="S1313" s="25"/>
      <c r="T1313" s="25"/>
      <c r="U1313" s="25"/>
      <c r="V1313" s="25"/>
      <c r="W1313" s="25"/>
      <c r="X1313" s="25"/>
      <c r="Y1313" s="25"/>
      <c r="Z1313" s="25"/>
      <c r="AA1313" s="25"/>
      <c r="AB1313" s="25"/>
      <c r="AC1313" s="25"/>
      <c r="AD1313" s="25"/>
      <c r="AE1313" s="25"/>
      <c r="AF1313" s="25"/>
      <c r="AG1313" s="25"/>
      <c r="AH1313" s="25"/>
      <c r="AI1313" s="25"/>
      <c r="AJ1313" s="25"/>
      <c r="AK1313" s="25"/>
      <c r="AL1313" s="25"/>
      <c r="AM1313" s="25"/>
      <c r="AN1313" s="25"/>
      <c r="AO1313" s="25"/>
      <c r="AP1313" s="25"/>
      <c r="AQ1313" s="25"/>
      <c r="AR1313" s="25"/>
      <c r="AS1313" s="25"/>
      <c r="AT1313" s="25"/>
      <c r="AU1313" s="25"/>
      <c r="AV1313" s="25"/>
      <c r="AW1313" s="25"/>
      <c r="AX1313" s="25"/>
      <c r="AY1313" s="25"/>
      <c r="AZ1313" s="25"/>
      <c r="BA1313" s="25"/>
      <c r="BB1313" s="25"/>
      <c r="BC1313" s="25"/>
      <c r="BD1313" s="25"/>
      <c r="BE1313" s="25"/>
      <c r="BF1313" s="25"/>
      <c r="BG1313" s="25"/>
      <c r="BH1313" s="25"/>
      <c r="BI1313" s="25"/>
      <c r="BJ1313" s="25"/>
      <c r="BK1313" s="25"/>
      <c r="BL1313" s="25"/>
      <c r="BM1313" s="25"/>
      <c r="BN1313" s="25"/>
      <c r="BO1313" s="25"/>
      <c r="BP1313" s="25"/>
      <c r="BQ1313" s="25"/>
      <c r="BR1313" s="25"/>
      <c r="BS1313" s="25"/>
      <c r="BT1313" s="25"/>
      <c r="BU1313" s="25"/>
      <c r="BV1313" s="25"/>
      <c r="BW1313" s="25"/>
      <c r="BX1313" s="25"/>
      <c r="BY1313" s="25"/>
      <c r="BZ1313" s="25"/>
      <c r="CA1313" s="25"/>
      <c r="CB1313" s="25"/>
    </row>
    <row r="1314" spans="1:80" ht="12.75" hidden="1" customHeight="1">
      <c r="A1314" s="10">
        <f ca="1">IFERROR(__xludf.DUMMYFUNCTION("""COMPUTED_VALUE"""),2017)</f>
        <v>2017</v>
      </c>
      <c r="B1314" s="50">
        <f ca="1">IFERROR(__xludf.DUMMYFUNCTION("""COMPUTED_VALUE"""),44568)</f>
        <v>44568</v>
      </c>
      <c r="C1314" s="41"/>
      <c r="D1314" s="42" t="str">
        <f ca="1">IFERROR(__xludf.DUMMYFUNCTION("""COMPUTED_VALUE"""),"Iberian Chiffchaff")</f>
        <v>Iberian Chiffchaff</v>
      </c>
      <c r="E1314" s="53">
        <f ca="1">IFERROR(__xludf.DUMMYFUNCTION("""COMPUTED_VALUE"""),1)</f>
        <v>1</v>
      </c>
      <c r="F1314" s="15"/>
      <c r="G1314" s="44" t="str">
        <f ca="1">IFERROR(__xludf.DUMMYFUNCTION("""COMPUTED_VALUE"""),"Kelsall")</f>
        <v>Kelsall</v>
      </c>
      <c r="H1314" s="12">
        <f ca="1">IFERROR(__xludf.DUMMYFUNCTION("""COMPUTED_VALUE"""),42886)</f>
        <v>42886</v>
      </c>
      <c r="I1314" s="12">
        <f ca="1">IFERROR(__xludf.DUMMYFUNCTION("""COMPUTED_VALUE"""),42914)</f>
        <v>42914</v>
      </c>
      <c r="J1314" s="14"/>
      <c r="K1314" s="15"/>
      <c r="L1314" s="17" t="str">
        <f ca="1">IFERROR(__xludf.DUMMYFUNCTION("""COMPUTED_VALUE"""),"closed")</f>
        <v>closed</v>
      </c>
      <c r="M1314" s="17"/>
      <c r="N1314" s="15" t="str">
        <f ca="1">IFERROR(__xludf.DUMMYFUNCTION("""COMPUTED_VALUE"""),"BBRC-OK")</f>
        <v>BBRC-OK</v>
      </c>
      <c r="O1314" s="18" t="str">
        <f ca="1">IFERROR(__xludf.DUMMYFUNCTION("""COMPUTED_VALUE"""),"male in song")</f>
        <v>male in song</v>
      </c>
      <c r="P1314" s="15"/>
      <c r="Q1314" s="15"/>
      <c r="R1314" s="15"/>
      <c r="S1314" s="15"/>
      <c r="T1314" s="15"/>
      <c r="U1314" s="15"/>
      <c r="V1314" s="15"/>
      <c r="W1314" s="15"/>
      <c r="X1314" s="15"/>
      <c r="Y1314" s="15"/>
      <c r="Z1314" s="15"/>
      <c r="AA1314" s="15"/>
      <c r="AB1314" s="15"/>
      <c r="AC1314" s="15"/>
      <c r="AD1314" s="15"/>
      <c r="AE1314" s="15"/>
      <c r="AF1314" s="15"/>
      <c r="AG1314" s="15"/>
      <c r="AH1314" s="15"/>
      <c r="AI1314" s="15"/>
      <c r="AJ1314" s="15"/>
      <c r="AK1314" s="15"/>
      <c r="AL1314" s="15"/>
      <c r="AM1314" s="15"/>
      <c r="AN1314" s="15"/>
      <c r="AO1314" s="15"/>
      <c r="AP1314" s="15"/>
      <c r="AQ1314" s="15"/>
      <c r="AR1314" s="15"/>
      <c r="AS1314" s="15"/>
      <c r="AT1314" s="15"/>
      <c r="AU1314" s="15"/>
      <c r="AV1314" s="15"/>
      <c r="AW1314" s="15"/>
      <c r="AX1314" s="15"/>
      <c r="AY1314" s="15"/>
      <c r="AZ1314" s="15"/>
      <c r="BA1314" s="15"/>
      <c r="BB1314" s="15"/>
      <c r="BC1314" s="15"/>
      <c r="BD1314" s="15"/>
      <c r="BE1314" s="15"/>
      <c r="BF1314" s="15"/>
      <c r="BG1314" s="15"/>
      <c r="BH1314" s="15"/>
      <c r="BI1314" s="15"/>
      <c r="BJ1314" s="15"/>
      <c r="BK1314" s="15"/>
      <c r="BL1314" s="15"/>
      <c r="BM1314" s="15"/>
      <c r="BN1314" s="15"/>
      <c r="BO1314" s="15"/>
      <c r="BP1314" s="15"/>
      <c r="BQ1314" s="15"/>
      <c r="BR1314" s="15"/>
      <c r="BS1314" s="15"/>
      <c r="BT1314" s="15"/>
      <c r="BU1314" s="15"/>
      <c r="BV1314" s="15"/>
      <c r="BW1314" s="15"/>
      <c r="BX1314" s="15"/>
      <c r="BY1314" s="15"/>
      <c r="BZ1314" s="15"/>
      <c r="CA1314" s="15"/>
      <c r="CB1314" s="15"/>
    </row>
    <row r="1315" spans="1:80" ht="12.75" hidden="1" customHeight="1">
      <c r="A1315" s="20">
        <f ca="1">IFERROR(__xludf.DUMMYFUNCTION("""COMPUTED_VALUE"""),2017)</f>
        <v>2017</v>
      </c>
      <c r="B1315" s="45">
        <f ca="1">IFERROR(__xludf.DUMMYFUNCTION("""COMPUTED_VALUE"""),43643)</f>
        <v>43643</v>
      </c>
      <c r="C1315" s="46">
        <f ca="1">IFERROR(__xludf.DUMMYFUNCTION("""COMPUTED_VALUE"""),43376)</f>
        <v>43376</v>
      </c>
      <c r="D1315" s="47" t="str">
        <f ca="1">IFERROR(__xludf.DUMMYFUNCTION("""COMPUTED_VALUE"""),"Melodious Warbler")</f>
        <v>Melodious Warbler</v>
      </c>
      <c r="E1315" s="52">
        <f ca="1">IFERROR(__xludf.DUMMYFUNCTION("""COMPUTED_VALUE"""),1)</f>
        <v>1</v>
      </c>
      <c r="F1315" s="25" t="str">
        <f ca="1">IFERROR(__xludf.DUMMYFUNCTION("""COMPUTED_VALUE"""),"juv")</f>
        <v>juv</v>
      </c>
      <c r="G1315" s="48" t="str">
        <f ca="1">IFERROR(__xludf.DUMMYFUNCTION("""COMPUTED_VALUE"""),"Leasowe Lingham Lane")</f>
        <v>Leasowe Lingham Lane</v>
      </c>
      <c r="H1315" s="22">
        <f ca="1">IFERROR(__xludf.DUMMYFUNCTION("""COMPUTED_VALUE"""),43037)</f>
        <v>43037</v>
      </c>
      <c r="I1315" s="22"/>
      <c r="J1315" s="24" t="str">
        <f ca="1">IFERROR(__xludf.DUMMYFUNCTION("""COMPUTED_VALUE"""),"Bradshaw, J")</f>
        <v>Bradshaw, J</v>
      </c>
      <c r="K1315" s="25"/>
      <c r="L1315" s="27" t="str">
        <f ca="1">IFERROR(__xludf.DUMMYFUNCTION("""COMPUTED_VALUE"""),"closed")</f>
        <v>closed</v>
      </c>
      <c r="M1315" s="27" t="str">
        <f ca="1">IFERROR(__xludf.DUMMYFUNCTION("""COMPUTED_VALUE"""),"1st U")</f>
        <v>1st U</v>
      </c>
      <c r="N1315" s="25" t="str">
        <f ca="1">IFERROR(__xludf.DUMMYFUNCTION("""COMPUTED_VALUE"""),"accepted")</f>
        <v>accepted</v>
      </c>
      <c r="O1315" s="28"/>
      <c r="P1315" s="25"/>
      <c r="Q1315" s="25"/>
      <c r="R1315" s="25"/>
      <c r="S1315" s="25"/>
      <c r="T1315" s="25"/>
      <c r="U1315" s="25"/>
      <c r="V1315" s="25"/>
      <c r="W1315" s="25"/>
      <c r="X1315" s="25"/>
      <c r="Y1315" s="25"/>
      <c r="Z1315" s="25"/>
      <c r="AA1315" s="25"/>
      <c r="AB1315" s="25"/>
      <c r="AC1315" s="25"/>
      <c r="AD1315" s="25"/>
      <c r="AE1315" s="25"/>
      <c r="AF1315" s="25"/>
      <c r="AG1315" s="25"/>
      <c r="AH1315" s="25"/>
      <c r="AI1315" s="25"/>
      <c r="AJ1315" s="25"/>
      <c r="AK1315" s="25"/>
      <c r="AL1315" s="25"/>
      <c r="AM1315" s="25"/>
      <c r="AN1315" s="25"/>
      <c r="AO1315" s="25"/>
      <c r="AP1315" s="25"/>
      <c r="AQ1315" s="25"/>
      <c r="AR1315" s="25"/>
      <c r="AS1315" s="25"/>
      <c r="AT1315" s="25"/>
      <c r="AU1315" s="25"/>
      <c r="AV1315" s="25"/>
      <c r="AW1315" s="25"/>
      <c r="AX1315" s="25"/>
      <c r="AY1315" s="25"/>
      <c r="AZ1315" s="25"/>
      <c r="BA1315" s="25"/>
      <c r="BB1315" s="25"/>
      <c r="BC1315" s="25"/>
      <c r="BD1315" s="25"/>
      <c r="BE1315" s="25"/>
      <c r="BF1315" s="25"/>
      <c r="BG1315" s="25"/>
      <c r="BH1315" s="25"/>
      <c r="BI1315" s="25"/>
      <c r="BJ1315" s="25"/>
      <c r="BK1315" s="25"/>
      <c r="BL1315" s="25"/>
      <c r="BM1315" s="25"/>
      <c r="BN1315" s="25"/>
      <c r="BO1315" s="25"/>
      <c r="BP1315" s="25"/>
      <c r="BQ1315" s="25"/>
      <c r="BR1315" s="25"/>
      <c r="BS1315" s="25"/>
      <c r="BT1315" s="25"/>
      <c r="BU1315" s="25"/>
      <c r="BV1315" s="25"/>
      <c r="BW1315" s="25"/>
      <c r="BX1315" s="25"/>
      <c r="BY1315" s="25"/>
      <c r="BZ1315" s="25"/>
      <c r="CA1315" s="25"/>
      <c r="CB1315" s="25"/>
    </row>
    <row r="1316" spans="1:80" ht="12.75" hidden="1" customHeight="1">
      <c r="A1316" s="10">
        <f ca="1">IFERROR(__xludf.DUMMYFUNCTION("""COMPUTED_VALUE"""),2017)</f>
        <v>2017</v>
      </c>
      <c r="B1316" s="50">
        <f ca="1">IFERROR(__xludf.DUMMYFUNCTION("""COMPUTED_VALUE"""),43643)</f>
        <v>43643</v>
      </c>
      <c r="C1316" s="41">
        <f ca="1">IFERROR(__xludf.DUMMYFUNCTION("""COMPUTED_VALUE"""),43322)</f>
        <v>43322</v>
      </c>
      <c r="D1316" s="42" t="str">
        <f ca="1">IFERROR(__xludf.DUMMYFUNCTION("""COMPUTED_VALUE"""),"Melodious Warbler")</f>
        <v>Melodious Warbler</v>
      </c>
      <c r="E1316" s="53">
        <f ca="1">IFERROR(__xludf.DUMMYFUNCTION("""COMPUTED_VALUE"""),1)</f>
        <v>1</v>
      </c>
      <c r="F1316" s="15" t="str">
        <f ca="1">IFERROR(__xludf.DUMMYFUNCTION("""COMPUTED_VALUE"""),"juv")</f>
        <v>juv</v>
      </c>
      <c r="G1316" s="44" t="str">
        <f ca="1">IFERROR(__xludf.DUMMYFUNCTION("""COMPUTED_VALUE"""),"Leasowe Lingham Lane")</f>
        <v>Leasowe Lingham Lane</v>
      </c>
      <c r="H1316" s="12">
        <f ca="1">IFERROR(__xludf.DUMMYFUNCTION("""COMPUTED_VALUE"""),43037)</f>
        <v>43037</v>
      </c>
      <c r="I1316" s="12"/>
      <c r="J1316" s="14" t="str">
        <f ca="1">IFERROR(__xludf.DUMMYFUNCTION("""COMPUTED_VALUE"""),"Turner, MG")</f>
        <v>Turner, MG</v>
      </c>
      <c r="K1316" s="15"/>
      <c r="L1316" s="17" t="str">
        <f ca="1">IFERROR(__xludf.DUMMYFUNCTION("""COMPUTED_VALUE"""),"closed")</f>
        <v>closed</v>
      </c>
      <c r="M1316" s="17" t="str">
        <f ca="1">IFERROR(__xludf.DUMMYFUNCTION("""COMPUTED_VALUE"""),"1st U")</f>
        <v>1st U</v>
      </c>
      <c r="N1316" s="15" t="str">
        <f ca="1">IFERROR(__xludf.DUMMYFUNCTION("""COMPUTED_VALUE"""),"accepted")</f>
        <v>accepted</v>
      </c>
      <c r="O1316" s="18"/>
      <c r="P1316" s="15"/>
      <c r="Q1316" s="15"/>
      <c r="R1316" s="15"/>
      <c r="S1316" s="15"/>
      <c r="T1316" s="15"/>
      <c r="U1316" s="15"/>
      <c r="V1316" s="15"/>
      <c r="W1316" s="15"/>
      <c r="X1316" s="15"/>
      <c r="Y1316" s="15"/>
      <c r="Z1316" s="15"/>
      <c r="AA1316" s="15"/>
      <c r="AB1316" s="15"/>
      <c r="AC1316" s="15"/>
      <c r="AD1316" s="15"/>
      <c r="AE1316" s="15"/>
      <c r="AF1316" s="15"/>
      <c r="AG1316" s="15"/>
      <c r="AH1316" s="15"/>
      <c r="AI1316" s="15"/>
      <c r="AJ1316" s="15"/>
      <c r="AK1316" s="15"/>
      <c r="AL1316" s="15"/>
      <c r="AM1316" s="15"/>
      <c r="AN1316" s="15"/>
      <c r="AO1316" s="15"/>
      <c r="AP1316" s="15"/>
      <c r="AQ1316" s="15"/>
      <c r="AR1316" s="15"/>
      <c r="AS1316" s="15"/>
      <c r="AT1316" s="15"/>
      <c r="AU1316" s="15"/>
      <c r="AV1316" s="15"/>
      <c r="AW1316" s="15"/>
      <c r="AX1316" s="15"/>
      <c r="AY1316" s="15"/>
      <c r="AZ1316" s="15"/>
      <c r="BA1316" s="15"/>
      <c r="BB1316" s="15"/>
      <c r="BC1316" s="15"/>
      <c r="BD1316" s="15"/>
      <c r="BE1316" s="15"/>
      <c r="BF1316" s="15"/>
      <c r="BG1316" s="15"/>
      <c r="BH1316" s="15"/>
      <c r="BI1316" s="15"/>
      <c r="BJ1316" s="15"/>
      <c r="BK1316" s="15"/>
      <c r="BL1316" s="15"/>
      <c r="BM1316" s="15"/>
      <c r="BN1316" s="15"/>
      <c r="BO1316" s="15"/>
      <c r="BP1316" s="15"/>
      <c r="BQ1316" s="15"/>
      <c r="BR1316" s="15"/>
      <c r="BS1316" s="15"/>
      <c r="BT1316" s="15"/>
      <c r="BU1316" s="15"/>
      <c r="BV1316" s="15"/>
      <c r="BW1316" s="15"/>
      <c r="BX1316" s="15"/>
      <c r="BY1316" s="15"/>
      <c r="BZ1316" s="15"/>
      <c r="CA1316" s="15"/>
      <c r="CB1316" s="15"/>
    </row>
    <row r="1317" spans="1:80" ht="12.75" hidden="1" customHeight="1">
      <c r="A1317" s="20">
        <f ca="1">IFERROR(__xludf.DUMMYFUNCTION("""COMPUTED_VALUE"""),2017)</f>
        <v>2017</v>
      </c>
      <c r="B1317" s="45">
        <f ca="1">IFERROR(__xludf.DUMMYFUNCTION("""COMPUTED_VALUE"""),43374)</f>
        <v>43374</v>
      </c>
      <c r="C1317" s="46"/>
      <c r="D1317" s="47" t="str">
        <f ca="1">IFERROR(__xludf.DUMMYFUNCTION("""COMPUTED_VALUE"""),"Barred Warbler")</f>
        <v>Barred Warbler</v>
      </c>
      <c r="E1317" s="52">
        <f ca="1">IFERROR(__xludf.DUMMYFUNCTION("""COMPUTED_VALUE"""),1)</f>
        <v>1</v>
      </c>
      <c r="F1317" s="25" t="str">
        <f ca="1">IFERROR(__xludf.DUMMYFUNCTION("""COMPUTED_VALUE"""),"1stw")</f>
        <v>1stw</v>
      </c>
      <c r="G1317" s="48" t="str">
        <f ca="1">IFERROR(__xludf.DUMMYFUNCTION("""COMPUTED_VALUE"""),"Frodsham Marsh")</f>
        <v>Frodsham Marsh</v>
      </c>
      <c r="H1317" s="22">
        <f ca="1">IFERROR(__xludf.DUMMYFUNCTION("""COMPUTED_VALUE"""),43039)</f>
        <v>43039</v>
      </c>
      <c r="I1317" s="22">
        <f ca="1">IFERROR(__xludf.DUMMYFUNCTION("""COMPUTED_VALUE"""),43054)</f>
        <v>43054</v>
      </c>
      <c r="J1317" s="24" t="str">
        <f ca="1">IFERROR(__xludf.DUMMYFUNCTION("""COMPUTED_VALUE"""),"Coffey,P")</f>
        <v>Coffey,P</v>
      </c>
      <c r="K1317" s="25" t="str">
        <f ca="1">IFERROR(__xludf.DUMMYFUNCTION("""COMPUTED_VALUE"""),"Coffey,P")</f>
        <v>Coffey,P</v>
      </c>
      <c r="L1317" s="27" t="str">
        <f ca="1">IFERROR(__xludf.DUMMYFUNCTION("""COMPUTED_VALUE"""),"closed")</f>
        <v>closed</v>
      </c>
      <c r="M1317" s="27" t="str">
        <f ca="1">IFERROR(__xludf.DUMMYFUNCTION("""COMPUTED_VALUE"""),"1st U")</f>
        <v>1st U</v>
      </c>
      <c r="N1317" s="25" t="str">
        <f ca="1">IFERROR(__xludf.DUMMYFUNCTION("""COMPUTED_VALUE"""),"accepted")</f>
        <v>accepted</v>
      </c>
      <c r="O1317" s="28"/>
      <c r="P1317" s="25"/>
      <c r="Q1317" s="25"/>
      <c r="R1317" s="25"/>
      <c r="S1317" s="25"/>
      <c r="T1317" s="25"/>
      <c r="U1317" s="25"/>
      <c r="V1317" s="25"/>
      <c r="W1317" s="25"/>
      <c r="X1317" s="25"/>
      <c r="Y1317" s="25"/>
      <c r="Z1317" s="25"/>
      <c r="AA1317" s="25"/>
      <c r="AB1317" s="25"/>
      <c r="AC1317" s="25"/>
      <c r="AD1317" s="25"/>
      <c r="AE1317" s="25"/>
      <c r="AF1317" s="25"/>
      <c r="AG1317" s="25"/>
      <c r="AH1317" s="25"/>
      <c r="AI1317" s="25"/>
      <c r="AJ1317" s="25"/>
      <c r="AK1317" s="25"/>
      <c r="AL1317" s="25"/>
      <c r="AM1317" s="25"/>
      <c r="AN1317" s="25"/>
      <c r="AO1317" s="25"/>
      <c r="AP1317" s="25"/>
      <c r="AQ1317" s="25"/>
      <c r="AR1317" s="25"/>
      <c r="AS1317" s="25"/>
      <c r="AT1317" s="25"/>
      <c r="AU1317" s="25"/>
      <c r="AV1317" s="25"/>
      <c r="AW1317" s="25"/>
      <c r="AX1317" s="25"/>
      <c r="AY1317" s="25"/>
      <c r="AZ1317" s="25"/>
      <c r="BA1317" s="25"/>
      <c r="BB1317" s="25"/>
      <c r="BC1317" s="25"/>
      <c r="BD1317" s="25"/>
      <c r="BE1317" s="25"/>
      <c r="BF1317" s="25"/>
      <c r="BG1317" s="25"/>
      <c r="BH1317" s="25"/>
      <c r="BI1317" s="25"/>
      <c r="BJ1317" s="25"/>
      <c r="BK1317" s="25"/>
      <c r="BL1317" s="25"/>
      <c r="BM1317" s="25"/>
      <c r="BN1317" s="25"/>
      <c r="BO1317" s="25"/>
      <c r="BP1317" s="25"/>
      <c r="BQ1317" s="25"/>
      <c r="BR1317" s="25"/>
      <c r="BS1317" s="25"/>
      <c r="BT1317" s="25"/>
      <c r="BU1317" s="25"/>
      <c r="BV1317" s="25"/>
      <c r="BW1317" s="25"/>
      <c r="BX1317" s="25"/>
      <c r="BY1317" s="25"/>
      <c r="BZ1317" s="25"/>
      <c r="CA1317" s="25"/>
      <c r="CB1317" s="25"/>
    </row>
    <row r="1318" spans="1:80" ht="12.75" hidden="1" customHeight="1">
      <c r="A1318" s="10">
        <f ca="1">IFERROR(__xludf.DUMMYFUNCTION("""COMPUTED_VALUE"""),2017)</f>
        <v>2017</v>
      </c>
      <c r="B1318" s="50">
        <f ca="1">IFERROR(__xludf.DUMMYFUNCTION("""COMPUTED_VALUE"""),43549)</f>
        <v>43549</v>
      </c>
      <c r="C1318" s="41"/>
      <c r="D1318" s="42" t="str">
        <f ca="1">IFERROR(__xludf.DUMMYFUNCTION("""COMPUTED_VALUE"""),"Barred Warbler")</f>
        <v>Barred Warbler</v>
      </c>
      <c r="E1318" s="53">
        <f ca="1">IFERROR(__xludf.DUMMYFUNCTION("""COMPUTED_VALUE"""),1)</f>
        <v>1</v>
      </c>
      <c r="F1318" s="15"/>
      <c r="G1318" s="44" t="str">
        <f ca="1">IFERROR(__xludf.DUMMYFUNCTION("""COMPUTED_VALUE"""),"Hale Lighthouse")</f>
        <v>Hale Lighthouse</v>
      </c>
      <c r="H1318" s="12">
        <f ca="1">IFERROR(__xludf.DUMMYFUNCTION("""COMPUTED_VALUE"""),43053)</f>
        <v>43053</v>
      </c>
      <c r="I1318" s="12"/>
      <c r="J1318" s="14"/>
      <c r="K1318" s="15"/>
      <c r="L1318" s="17" t="str">
        <f ca="1">IFERROR(__xludf.DUMMYFUNCTION("""COMPUTED_VALUE"""),"limbo")</f>
        <v>limbo</v>
      </c>
      <c r="M1318" s="17"/>
      <c r="N1318" s="15" t="str">
        <f ca="1">IFERROR(__xludf.DUMMYFUNCTION("""COMPUTED_VALUE"""),"description requested")</f>
        <v>description requested</v>
      </c>
      <c r="O1318" s="18"/>
      <c r="P1318" s="15"/>
      <c r="Q1318" s="15"/>
      <c r="R1318" s="15"/>
      <c r="S1318" s="15"/>
      <c r="T1318" s="15"/>
      <c r="U1318" s="15"/>
      <c r="V1318" s="15"/>
      <c r="W1318" s="15"/>
      <c r="X1318" s="15"/>
      <c r="Y1318" s="15"/>
      <c r="Z1318" s="15"/>
      <c r="AA1318" s="15"/>
      <c r="AB1318" s="15"/>
      <c r="AC1318" s="15"/>
      <c r="AD1318" s="15"/>
      <c r="AE1318" s="15"/>
      <c r="AF1318" s="15"/>
      <c r="AG1318" s="15"/>
      <c r="AH1318" s="15"/>
      <c r="AI1318" s="15"/>
      <c r="AJ1318" s="15"/>
      <c r="AK1318" s="15"/>
      <c r="AL1318" s="15"/>
      <c r="AM1318" s="15"/>
      <c r="AN1318" s="15"/>
      <c r="AO1318" s="15"/>
      <c r="AP1318" s="15"/>
      <c r="AQ1318" s="15"/>
      <c r="AR1318" s="15"/>
      <c r="AS1318" s="15"/>
      <c r="AT1318" s="15"/>
      <c r="AU1318" s="15"/>
      <c r="AV1318" s="15"/>
      <c r="AW1318" s="15"/>
      <c r="AX1318" s="15"/>
      <c r="AY1318" s="15"/>
      <c r="AZ1318" s="15"/>
      <c r="BA1318" s="15"/>
      <c r="BB1318" s="15"/>
      <c r="BC1318" s="15"/>
      <c r="BD1318" s="15"/>
      <c r="BE1318" s="15"/>
      <c r="BF1318" s="15"/>
      <c r="BG1318" s="15"/>
      <c r="BH1318" s="15"/>
      <c r="BI1318" s="15"/>
      <c r="BJ1318" s="15"/>
      <c r="BK1318" s="15"/>
      <c r="BL1318" s="15"/>
      <c r="BM1318" s="15"/>
      <c r="BN1318" s="15"/>
      <c r="BO1318" s="15"/>
      <c r="BP1318" s="15"/>
      <c r="BQ1318" s="15"/>
      <c r="BR1318" s="15"/>
      <c r="BS1318" s="15"/>
      <c r="BT1318" s="15"/>
      <c r="BU1318" s="15"/>
      <c r="BV1318" s="15"/>
      <c r="BW1318" s="15"/>
      <c r="BX1318" s="15"/>
      <c r="BY1318" s="15"/>
      <c r="BZ1318" s="15"/>
      <c r="CA1318" s="15"/>
      <c r="CB1318" s="15"/>
    </row>
    <row r="1319" spans="1:80" ht="12.75" hidden="1" customHeight="1">
      <c r="A1319" s="20">
        <f ca="1">IFERROR(__xludf.DUMMYFUNCTION("""COMPUTED_VALUE"""),2017)</f>
        <v>2017</v>
      </c>
      <c r="B1319" s="45">
        <f ca="1">IFERROR(__xludf.DUMMYFUNCTION("""COMPUTED_VALUE"""),42986)</f>
        <v>42986</v>
      </c>
      <c r="C1319" s="46">
        <f ca="1">IFERROR(__xludf.DUMMYFUNCTION("""COMPUTED_VALUE"""),43011)</f>
        <v>43011</v>
      </c>
      <c r="D1319" s="47" t="str">
        <f ca="1">IFERROR(__xludf.DUMMYFUNCTION("""COMPUTED_VALUE"""),"Subalpine Warbler")</f>
        <v>Subalpine Warbler</v>
      </c>
      <c r="E1319" s="52">
        <f ca="1">IFERROR(__xludf.DUMMYFUNCTION("""COMPUTED_VALUE"""),1)</f>
        <v>1</v>
      </c>
      <c r="F1319" s="25" t="str">
        <f ca="1">IFERROR(__xludf.DUMMYFUNCTION("""COMPUTED_VALUE"""),"fem")</f>
        <v>fem</v>
      </c>
      <c r="G1319" s="48" t="str">
        <f ca="1">IFERROR(__xludf.DUMMYFUNCTION("""COMPUTED_VALUE"""),"Red Rocks, Hoylake")</f>
        <v>Red Rocks, Hoylake</v>
      </c>
      <c r="H1319" s="22">
        <f ca="1">IFERROR(__xludf.DUMMYFUNCTION("""COMPUTED_VALUE"""),42865)</f>
        <v>42865</v>
      </c>
      <c r="I1319" s="22"/>
      <c r="J1319" s="24" t="str">
        <f ca="1">IFERROR(__xludf.DUMMYFUNCTION("""COMPUTED_VALUE"""),"Turner,JE")</f>
        <v>Turner,JE</v>
      </c>
      <c r="K1319" s="25" t="str">
        <f ca="1">IFERROR(__xludf.DUMMYFUNCTION("""COMPUTED_VALUE"""),"Turner, M &amp; JE")</f>
        <v>Turner, M &amp; JE</v>
      </c>
      <c r="L1319" s="27" t="str">
        <f ca="1">IFERROR(__xludf.DUMMYFUNCTION("""COMPUTED_VALUE"""),"closed")</f>
        <v>closed</v>
      </c>
      <c r="M1319" s="27" t="str">
        <f ca="1">IFERROR(__xludf.DUMMYFUNCTION("""COMPUTED_VALUE"""),"1st U")</f>
        <v>1st U</v>
      </c>
      <c r="N1319" s="25" t="str">
        <f ca="1">IFERROR(__xludf.DUMMYFUNCTION("""COMPUTED_VALUE"""),"Accepted")</f>
        <v>Accepted</v>
      </c>
      <c r="O1319" s="28" t="str">
        <f ca="1">IFERROR(__xludf.DUMMYFUNCTION("""COMPUTED_VALUE"""),"pres Eastern")</f>
        <v>pres Eastern</v>
      </c>
      <c r="P1319" s="25"/>
      <c r="Q1319" s="25"/>
      <c r="R1319" s="25"/>
      <c r="S1319" s="25"/>
      <c r="T1319" s="25"/>
      <c r="U1319" s="25"/>
      <c r="V1319" s="25"/>
      <c r="W1319" s="25"/>
      <c r="X1319" s="25"/>
      <c r="Y1319" s="25"/>
      <c r="Z1319" s="25"/>
      <c r="AA1319" s="25"/>
      <c r="AB1319" s="25"/>
      <c r="AC1319" s="25"/>
      <c r="AD1319" s="25"/>
      <c r="AE1319" s="25"/>
      <c r="AF1319" s="25"/>
      <c r="AG1319" s="25"/>
      <c r="AH1319" s="25"/>
      <c r="AI1319" s="25"/>
      <c r="AJ1319" s="25"/>
      <c r="AK1319" s="25"/>
      <c r="AL1319" s="25"/>
      <c r="AM1319" s="25"/>
      <c r="AN1319" s="25"/>
      <c r="AO1319" s="25"/>
      <c r="AP1319" s="25"/>
      <c r="AQ1319" s="25"/>
      <c r="AR1319" s="25"/>
      <c r="AS1319" s="25"/>
      <c r="AT1319" s="25"/>
      <c r="AU1319" s="25"/>
      <c r="AV1319" s="25"/>
      <c r="AW1319" s="25"/>
      <c r="AX1319" s="25"/>
      <c r="AY1319" s="25"/>
      <c r="AZ1319" s="25"/>
      <c r="BA1319" s="25"/>
      <c r="BB1319" s="25"/>
      <c r="BC1319" s="25"/>
      <c r="BD1319" s="25"/>
      <c r="BE1319" s="25"/>
      <c r="BF1319" s="25"/>
      <c r="BG1319" s="25"/>
      <c r="BH1319" s="25"/>
      <c r="BI1319" s="25"/>
      <c r="BJ1319" s="25"/>
      <c r="BK1319" s="25"/>
      <c r="BL1319" s="25"/>
      <c r="BM1319" s="25"/>
      <c r="BN1319" s="25"/>
      <c r="BO1319" s="25"/>
      <c r="BP1319" s="25"/>
      <c r="BQ1319" s="25"/>
      <c r="BR1319" s="25"/>
      <c r="BS1319" s="25"/>
      <c r="BT1319" s="25"/>
      <c r="BU1319" s="25"/>
      <c r="BV1319" s="25"/>
      <c r="BW1319" s="25"/>
      <c r="BX1319" s="25"/>
      <c r="BY1319" s="25"/>
      <c r="BZ1319" s="25"/>
      <c r="CA1319" s="25"/>
      <c r="CB1319" s="25"/>
    </row>
    <row r="1320" spans="1:80" ht="12.75" hidden="1" customHeight="1">
      <c r="A1320" s="10">
        <f ca="1">IFERROR(__xludf.DUMMYFUNCTION("""COMPUTED_VALUE"""),2017)</f>
        <v>2017</v>
      </c>
      <c r="B1320" s="50">
        <f ca="1">IFERROR(__xludf.DUMMYFUNCTION("""COMPUTED_VALUE"""),43643)</f>
        <v>43643</v>
      </c>
      <c r="C1320" s="41">
        <f ca="1">IFERROR(__xludf.DUMMYFUNCTION("""COMPUTED_VALUE"""),43011)</f>
        <v>43011</v>
      </c>
      <c r="D1320" s="42" t="str">
        <f ca="1">IFERROR(__xludf.DUMMYFUNCTION("""COMPUTED_VALUE"""),"Subalpine Warbler")</f>
        <v>Subalpine Warbler</v>
      </c>
      <c r="E1320" s="53">
        <f ca="1">IFERROR(__xludf.DUMMYFUNCTION("""COMPUTED_VALUE"""),1)</f>
        <v>1</v>
      </c>
      <c r="F1320" s="15" t="str">
        <f ca="1">IFERROR(__xludf.DUMMYFUNCTION("""COMPUTED_VALUE"""),"fem")</f>
        <v>fem</v>
      </c>
      <c r="G1320" s="44" t="str">
        <f ca="1">IFERROR(__xludf.DUMMYFUNCTION("""COMPUTED_VALUE"""),"Red Rocks, Hoylake")</f>
        <v>Red Rocks, Hoylake</v>
      </c>
      <c r="H1320" s="12">
        <f ca="1">IFERROR(__xludf.DUMMYFUNCTION("""COMPUTED_VALUE"""),42865)</f>
        <v>42865</v>
      </c>
      <c r="I1320" s="12"/>
      <c r="J1320" s="14" t="str">
        <f ca="1">IFERROR(__xludf.DUMMYFUNCTION("""COMPUTED_VALUE"""),"Turner, M &amp; JE")</f>
        <v>Turner, M &amp; JE</v>
      </c>
      <c r="K1320" s="15" t="str">
        <f ca="1">IFERROR(__xludf.DUMMYFUNCTION("""COMPUTED_VALUE"""),"Turner, M &amp; JE")</f>
        <v>Turner, M &amp; JE</v>
      </c>
      <c r="L1320" s="17" t="str">
        <f ca="1">IFERROR(__xludf.DUMMYFUNCTION("""COMPUTED_VALUE"""),"closed")</f>
        <v>closed</v>
      </c>
      <c r="M1320" s="17" t="str">
        <f ca="1">IFERROR(__xludf.DUMMYFUNCTION("""COMPUTED_VALUE"""),"1st U")</f>
        <v>1st U</v>
      </c>
      <c r="N1320" s="15" t="str">
        <f ca="1">IFERROR(__xludf.DUMMYFUNCTION("""COMPUTED_VALUE"""),"Accepted")</f>
        <v>Accepted</v>
      </c>
      <c r="O1320" s="18" t="str">
        <f ca="1">IFERROR(__xludf.DUMMYFUNCTION("""COMPUTED_VALUE"""),"pres Eastern")</f>
        <v>pres Eastern</v>
      </c>
      <c r="P1320" s="15"/>
      <c r="Q1320" s="15"/>
      <c r="R1320" s="15"/>
      <c r="S1320" s="15"/>
      <c r="T1320" s="15"/>
      <c r="U1320" s="15"/>
      <c r="V1320" s="15"/>
      <c r="W1320" s="15"/>
      <c r="X1320" s="15"/>
      <c r="Y1320" s="15"/>
      <c r="Z1320" s="15"/>
      <c r="AA1320" s="15"/>
      <c r="AB1320" s="15"/>
      <c r="AC1320" s="15"/>
      <c r="AD1320" s="15"/>
      <c r="AE1320" s="15"/>
      <c r="AF1320" s="15"/>
      <c r="AG1320" s="15"/>
      <c r="AH1320" s="15"/>
      <c r="AI1320" s="15"/>
      <c r="AJ1320" s="15"/>
      <c r="AK1320" s="15"/>
      <c r="AL1320" s="15"/>
      <c r="AM1320" s="15"/>
      <c r="AN1320" s="15"/>
      <c r="AO1320" s="15"/>
      <c r="AP1320" s="15"/>
      <c r="AQ1320" s="15"/>
      <c r="AR1320" s="15"/>
      <c r="AS1320" s="15"/>
      <c r="AT1320" s="15"/>
      <c r="AU1320" s="15"/>
      <c r="AV1320" s="15"/>
      <c r="AW1320" s="15"/>
      <c r="AX1320" s="15"/>
      <c r="AY1320" s="15"/>
      <c r="AZ1320" s="15"/>
      <c r="BA1320" s="15"/>
      <c r="BB1320" s="15"/>
      <c r="BC1320" s="15"/>
      <c r="BD1320" s="15"/>
      <c r="BE1320" s="15"/>
      <c r="BF1320" s="15"/>
      <c r="BG1320" s="15"/>
      <c r="BH1320" s="15"/>
      <c r="BI1320" s="15"/>
      <c r="BJ1320" s="15"/>
      <c r="BK1320" s="15"/>
      <c r="BL1320" s="15"/>
      <c r="BM1320" s="15"/>
      <c r="BN1320" s="15"/>
      <c r="BO1320" s="15"/>
      <c r="BP1320" s="15"/>
      <c r="BQ1320" s="15"/>
      <c r="BR1320" s="15"/>
      <c r="BS1320" s="15"/>
      <c r="BT1320" s="15"/>
      <c r="BU1320" s="15"/>
      <c r="BV1320" s="15"/>
      <c r="BW1320" s="15"/>
      <c r="BX1320" s="15"/>
      <c r="BY1320" s="15"/>
      <c r="BZ1320" s="15"/>
      <c r="CA1320" s="15"/>
      <c r="CB1320" s="15"/>
    </row>
    <row r="1321" spans="1:80" ht="12.75" hidden="1" customHeight="1">
      <c r="A1321" s="20">
        <f ca="1">IFERROR(__xludf.DUMMYFUNCTION("""COMPUTED_VALUE"""),2017)</f>
        <v>2017</v>
      </c>
      <c r="B1321" s="45">
        <f ca="1">IFERROR(__xludf.DUMMYFUNCTION("""COMPUTED_VALUE"""),43641)</f>
        <v>43641</v>
      </c>
      <c r="C1321" s="46"/>
      <c r="D1321" s="47" t="str">
        <f ca="1">IFERROR(__xludf.DUMMYFUNCTION("""COMPUTED_VALUE"""),"Black Redstart")</f>
        <v>Black Redstart</v>
      </c>
      <c r="E1321" s="52"/>
      <c r="F1321" s="25"/>
      <c r="G1321" s="48" t="str">
        <f ca="1">IFERROR(__xludf.DUMMYFUNCTION("""COMPUTED_VALUE"""),"Witton Flashes Northwich")</f>
        <v>Witton Flashes Northwich</v>
      </c>
      <c r="H1321" s="22">
        <f ca="1">IFERROR(__xludf.DUMMYFUNCTION("""COMPUTED_VALUE"""),42865)</f>
        <v>42865</v>
      </c>
      <c r="I1321" s="22"/>
      <c r="J1321" s="24" t="str">
        <f ca="1">IFERROR(__xludf.DUMMYFUNCTION("""COMPUTED_VALUE"""),"Baker, G")</f>
        <v>Baker, G</v>
      </c>
      <c r="K1321" s="25" t="str">
        <f ca="1">IFERROR(__xludf.DUMMYFUNCTION("""COMPUTED_VALUE"""),"Baker, G")</f>
        <v>Baker, G</v>
      </c>
      <c r="L1321" s="27" t="str">
        <f ca="1">IFERROR(__xludf.DUMMYFUNCTION("""COMPUTED_VALUE"""),"closed")</f>
        <v>closed</v>
      </c>
      <c r="M1321" s="27" t="str">
        <f ca="1">IFERROR(__xludf.DUMMYFUNCTION("""COMPUTED_VALUE"""),"1st U")</f>
        <v>1st U</v>
      </c>
      <c r="N1321" s="25" t="str">
        <f ca="1">IFERROR(__xludf.DUMMYFUNCTION("""COMPUTED_VALUE"""),"accepted")</f>
        <v>accepted</v>
      </c>
      <c r="O1321" s="28"/>
      <c r="P1321" s="25"/>
      <c r="Q1321" s="25"/>
      <c r="R1321" s="25"/>
      <c r="S1321" s="25"/>
      <c r="T1321" s="25"/>
      <c r="U1321" s="25"/>
      <c r="V1321" s="25"/>
      <c r="W1321" s="25"/>
      <c r="X1321" s="25"/>
      <c r="Y1321" s="25"/>
      <c r="Z1321" s="25"/>
      <c r="AA1321" s="25"/>
      <c r="AB1321" s="25"/>
      <c r="AC1321" s="25"/>
      <c r="AD1321" s="25"/>
      <c r="AE1321" s="25"/>
      <c r="AF1321" s="25"/>
      <c r="AG1321" s="25"/>
      <c r="AH1321" s="25"/>
      <c r="AI1321" s="25"/>
      <c r="AJ1321" s="25"/>
      <c r="AK1321" s="25"/>
      <c r="AL1321" s="25"/>
      <c r="AM1321" s="25"/>
      <c r="AN1321" s="25"/>
      <c r="AO1321" s="25"/>
      <c r="AP1321" s="25"/>
      <c r="AQ1321" s="25"/>
      <c r="AR1321" s="25"/>
      <c r="AS1321" s="25"/>
      <c r="AT1321" s="25"/>
      <c r="AU1321" s="25"/>
      <c r="AV1321" s="25"/>
      <c r="AW1321" s="25"/>
      <c r="AX1321" s="25"/>
      <c r="AY1321" s="25"/>
      <c r="AZ1321" s="25"/>
      <c r="BA1321" s="25"/>
      <c r="BB1321" s="25"/>
      <c r="BC1321" s="25"/>
      <c r="BD1321" s="25"/>
      <c r="BE1321" s="25"/>
      <c r="BF1321" s="25"/>
      <c r="BG1321" s="25"/>
      <c r="BH1321" s="25"/>
      <c r="BI1321" s="25"/>
      <c r="BJ1321" s="25"/>
      <c r="BK1321" s="25"/>
      <c r="BL1321" s="25"/>
      <c r="BM1321" s="25"/>
      <c r="BN1321" s="25"/>
      <c r="BO1321" s="25"/>
      <c r="BP1321" s="25"/>
      <c r="BQ1321" s="25"/>
      <c r="BR1321" s="25"/>
      <c r="BS1321" s="25"/>
      <c r="BT1321" s="25"/>
      <c r="BU1321" s="25"/>
      <c r="BV1321" s="25"/>
      <c r="BW1321" s="25"/>
      <c r="BX1321" s="25"/>
      <c r="BY1321" s="25"/>
      <c r="BZ1321" s="25"/>
      <c r="CA1321" s="25"/>
      <c r="CB1321" s="25"/>
    </row>
    <row r="1322" spans="1:80" ht="12.75" hidden="1" customHeight="1">
      <c r="A1322" s="10">
        <f ca="1">IFERROR(__xludf.DUMMYFUNCTION("""COMPUTED_VALUE"""),2017)</f>
        <v>2017</v>
      </c>
      <c r="B1322" s="50">
        <f ca="1">IFERROR(__xludf.DUMMYFUNCTION("""COMPUTED_VALUE"""),43986)</f>
        <v>43986</v>
      </c>
      <c r="C1322" s="41">
        <f ca="1">IFERROR(__xludf.DUMMYFUNCTION("""COMPUTED_VALUE"""),43986)</f>
        <v>43986</v>
      </c>
      <c r="D1322" s="42" t="str">
        <f ca="1">IFERROR(__xludf.DUMMYFUNCTION("""COMPUTED_VALUE"""),"Yellow Wagtail [Blue-headed]")</f>
        <v>Yellow Wagtail [Blue-headed]</v>
      </c>
      <c r="E1322" s="53">
        <f ca="1">IFERROR(__xludf.DUMMYFUNCTION("""COMPUTED_VALUE"""),1)</f>
        <v>1</v>
      </c>
      <c r="F1322" s="15"/>
      <c r="G1322" s="62" t="str">
        <f ca="1">IFERROR(__xludf.DUMMYFUNCTION("""COMPUTED_VALUE"""),"Doddington Pool, SE of Nantwich")</f>
        <v>Doddington Pool, SE of Nantwich</v>
      </c>
      <c r="H1322" s="12">
        <f ca="1">IFERROR(__xludf.DUMMYFUNCTION("""COMPUTED_VALUE"""),42867)</f>
        <v>42867</v>
      </c>
      <c r="I1322" s="12"/>
      <c r="J1322" s="75"/>
      <c r="K1322" s="58"/>
      <c r="L1322" s="17" t="str">
        <f ca="1">IFERROR(__xludf.DUMMYFUNCTION("""COMPUTED_VALUE"""),"closed")</f>
        <v>closed</v>
      </c>
      <c r="M1322" s="17" t="str">
        <f ca="1">IFERROR(__xludf.DUMMYFUNCTION("""COMPUTED_VALUE"""),"1st U")</f>
        <v>1st U</v>
      </c>
      <c r="N1322" s="58" t="str">
        <f ca="1">IFERROR(__xludf.DUMMYFUNCTION("""COMPUTED_VALUE"""),"unproven")</f>
        <v>unproven</v>
      </c>
      <c r="O1322" s="76" t="str">
        <f ca="1">IFERROR(__xludf.DUMMYFUNCTION("""COMPUTED_VALUE"""),"accept as Channel")</f>
        <v>accept as Channel</v>
      </c>
      <c r="P1322" s="15"/>
      <c r="Q1322" s="15"/>
      <c r="R1322" s="15"/>
      <c r="S1322" s="15"/>
      <c r="T1322" s="15"/>
      <c r="U1322" s="15"/>
      <c r="V1322" s="15"/>
      <c r="W1322" s="15"/>
      <c r="X1322" s="15"/>
      <c r="Y1322" s="15"/>
      <c r="Z1322" s="15"/>
      <c r="AA1322" s="15"/>
      <c r="AB1322" s="15"/>
      <c r="AC1322" s="15"/>
      <c r="AD1322" s="15"/>
      <c r="AE1322" s="15"/>
      <c r="AF1322" s="15"/>
      <c r="AG1322" s="15"/>
      <c r="AH1322" s="15"/>
      <c r="AI1322" s="15"/>
      <c r="AJ1322" s="15"/>
      <c r="AK1322" s="15"/>
      <c r="AL1322" s="15"/>
      <c r="AM1322" s="15"/>
      <c r="AN1322" s="15"/>
      <c r="AO1322" s="15"/>
      <c r="AP1322" s="15"/>
      <c r="AQ1322" s="15"/>
      <c r="AR1322" s="15"/>
      <c r="AS1322" s="15"/>
      <c r="AT1322" s="15"/>
      <c r="AU1322" s="15"/>
      <c r="AV1322" s="15"/>
      <c r="AW1322" s="15"/>
      <c r="AX1322" s="15"/>
      <c r="AY1322" s="15"/>
      <c r="AZ1322" s="15"/>
      <c r="BA1322" s="15"/>
      <c r="BB1322" s="15"/>
      <c r="BC1322" s="15"/>
      <c r="BD1322" s="15"/>
      <c r="BE1322" s="15"/>
      <c r="BF1322" s="15"/>
      <c r="BG1322" s="15"/>
      <c r="BH1322" s="15"/>
      <c r="BI1322" s="15"/>
      <c r="BJ1322" s="15"/>
      <c r="BK1322" s="15"/>
      <c r="BL1322" s="15"/>
      <c r="BM1322" s="15"/>
      <c r="BN1322" s="15"/>
      <c r="BO1322" s="15"/>
      <c r="BP1322" s="15"/>
      <c r="BQ1322" s="15"/>
      <c r="BR1322" s="15"/>
      <c r="BS1322" s="15"/>
      <c r="BT1322" s="15"/>
      <c r="BU1322" s="15"/>
      <c r="BV1322" s="15"/>
      <c r="BW1322" s="15"/>
      <c r="BX1322" s="15"/>
      <c r="BY1322" s="15"/>
      <c r="BZ1322" s="15"/>
      <c r="CA1322" s="15"/>
      <c r="CB1322" s="15"/>
    </row>
    <row r="1323" spans="1:80" ht="12.75" hidden="1" customHeight="1">
      <c r="A1323" s="20">
        <f ca="1">IFERROR(__xludf.DUMMYFUNCTION("""COMPUTED_VALUE"""),2017)</f>
        <v>2017</v>
      </c>
      <c r="B1323" s="45">
        <f ca="1">IFERROR(__xludf.DUMMYFUNCTION("""COMPUTED_VALUE"""),43986)</f>
        <v>43986</v>
      </c>
      <c r="C1323" s="46">
        <f ca="1">IFERROR(__xludf.DUMMYFUNCTION("""COMPUTED_VALUE"""),43986)</f>
        <v>43986</v>
      </c>
      <c r="D1323" s="47" t="str">
        <f ca="1">IFERROR(__xludf.DUMMYFUNCTION("""COMPUTED_VALUE"""),"Yellow Wagtail [Blue-headed]")</f>
        <v>Yellow Wagtail [Blue-headed]</v>
      </c>
      <c r="E1323" s="52">
        <f ca="1">IFERROR(__xludf.DUMMYFUNCTION("""COMPUTED_VALUE"""),1)</f>
        <v>1</v>
      </c>
      <c r="F1323" s="25"/>
      <c r="G1323" s="48" t="str">
        <f ca="1">IFERROR(__xludf.DUMMYFUNCTION("""COMPUTED_VALUE"""),"Doddington Pool, SE of Nantwich")</f>
        <v>Doddington Pool, SE of Nantwich</v>
      </c>
      <c r="H1323" s="22">
        <f ca="1">IFERROR(__xludf.DUMMYFUNCTION("""COMPUTED_VALUE"""),42871)</f>
        <v>42871</v>
      </c>
      <c r="I1323" s="22"/>
      <c r="J1323" s="24"/>
      <c r="K1323" s="25"/>
      <c r="L1323" s="27" t="str">
        <f ca="1">IFERROR(__xludf.DUMMYFUNCTION("""COMPUTED_VALUE"""),"closed")</f>
        <v>closed</v>
      </c>
      <c r="M1323" s="27" t="str">
        <f ca="1">IFERROR(__xludf.DUMMYFUNCTION("""COMPUTED_VALUE"""),"1st U")</f>
        <v>1st U</v>
      </c>
      <c r="N1323" s="25" t="str">
        <f ca="1">IFERROR(__xludf.DUMMYFUNCTION("""COMPUTED_VALUE"""),"unproven")</f>
        <v>unproven</v>
      </c>
      <c r="O1323" s="28" t="str">
        <f ca="1">IFERROR(__xludf.DUMMYFUNCTION("""COMPUTED_VALUE"""),"accept as Channel")</f>
        <v>accept as Channel</v>
      </c>
      <c r="P1323" s="25"/>
      <c r="Q1323" s="25"/>
      <c r="R1323" s="40"/>
      <c r="S1323" s="25"/>
      <c r="T1323" s="25"/>
      <c r="U1323" s="25"/>
      <c r="V1323" s="25"/>
      <c r="W1323" s="25"/>
      <c r="X1323" s="25"/>
      <c r="Y1323" s="25"/>
      <c r="Z1323" s="25"/>
      <c r="AA1323" s="25"/>
      <c r="AB1323" s="25"/>
      <c r="AC1323" s="25"/>
      <c r="AD1323" s="25"/>
      <c r="AE1323" s="25"/>
      <c r="AF1323" s="25"/>
      <c r="AG1323" s="25"/>
      <c r="AH1323" s="25"/>
      <c r="AI1323" s="25"/>
      <c r="AJ1323" s="25"/>
      <c r="AK1323" s="25"/>
      <c r="AL1323" s="25"/>
      <c r="AM1323" s="25"/>
      <c r="AN1323" s="25"/>
      <c r="AO1323" s="25"/>
      <c r="AP1323" s="25"/>
      <c r="AQ1323" s="25"/>
      <c r="AR1323" s="25"/>
      <c r="AS1323" s="25"/>
      <c r="AT1323" s="25"/>
      <c r="AU1323" s="25"/>
      <c r="AV1323" s="25"/>
      <c r="AW1323" s="25"/>
      <c r="AX1323" s="25"/>
      <c r="AY1323" s="25"/>
      <c r="AZ1323" s="25"/>
      <c r="BA1323" s="25"/>
      <c r="BB1323" s="25"/>
      <c r="BC1323" s="25"/>
      <c r="BD1323" s="25"/>
      <c r="BE1323" s="25"/>
      <c r="BF1323" s="25"/>
      <c r="BG1323" s="25"/>
      <c r="BH1323" s="25"/>
      <c r="BI1323" s="25"/>
      <c r="BJ1323" s="25"/>
      <c r="BK1323" s="25"/>
      <c r="BL1323" s="25"/>
      <c r="BM1323" s="25"/>
      <c r="BN1323" s="25"/>
      <c r="BO1323" s="25"/>
      <c r="BP1323" s="25"/>
      <c r="BQ1323" s="25"/>
      <c r="BR1323" s="25"/>
      <c r="BS1323" s="25"/>
      <c r="BT1323" s="25"/>
      <c r="BU1323" s="25"/>
      <c r="BV1323" s="25"/>
      <c r="BW1323" s="25"/>
      <c r="BX1323" s="25"/>
      <c r="BY1323" s="25"/>
      <c r="BZ1323" s="25"/>
      <c r="CA1323" s="25"/>
      <c r="CB1323" s="25"/>
    </row>
    <row r="1324" spans="1:80" ht="12.75" hidden="1" customHeight="1">
      <c r="A1324" s="10">
        <f ca="1">IFERROR(__xludf.DUMMYFUNCTION("""COMPUTED_VALUE"""),2017)</f>
        <v>2017</v>
      </c>
      <c r="B1324" s="50">
        <f ca="1">IFERROR(__xludf.DUMMYFUNCTION("""COMPUTED_VALUE"""),41929)</f>
        <v>41929</v>
      </c>
      <c r="C1324" s="41">
        <f ca="1">IFERROR(__xludf.DUMMYFUNCTION("""COMPUTED_VALUE"""),42306)</f>
        <v>42306</v>
      </c>
      <c r="D1324" s="42" t="str">
        <f ca="1">IFERROR(__xludf.DUMMYFUNCTION("""COMPUTED_VALUE"""),"Hawfinch")</f>
        <v>Hawfinch</v>
      </c>
      <c r="E1324" s="53">
        <f ca="1">IFERROR(__xludf.DUMMYFUNCTION("""COMPUTED_VALUE"""),1)</f>
        <v>1</v>
      </c>
      <c r="F1324" s="15"/>
      <c r="G1324" s="44" t="str">
        <f ca="1">IFERROR(__xludf.DUMMYFUNCTION("""COMPUTED_VALUE"""),"Red Rocks, Hoylake")</f>
        <v>Red Rocks, Hoylake</v>
      </c>
      <c r="H1324" s="12">
        <f ca="1">IFERROR(__xludf.DUMMYFUNCTION("""COMPUTED_VALUE"""),43025)</f>
        <v>43025</v>
      </c>
      <c r="I1324" s="12"/>
      <c r="J1324" s="14" t="str">
        <f ca="1">IFERROR(__xludf.DUMMYFUNCTION("""COMPUTED_VALUE"""),"Turner, JE")</f>
        <v>Turner, JE</v>
      </c>
      <c r="K1324" s="15" t="str">
        <f ca="1">IFERROR(__xludf.DUMMYFUNCTION("""COMPUTED_VALUE"""),"Turner, JE")</f>
        <v>Turner, JE</v>
      </c>
      <c r="L1324" s="17" t="str">
        <f ca="1">IFERROR(__xludf.DUMMYFUNCTION("""COMPUTED_VALUE"""),"closed")</f>
        <v>closed</v>
      </c>
      <c r="M1324" s="17" t="str">
        <f ca="1">IFERROR(__xludf.DUMMYFUNCTION("""COMPUTED_VALUE"""),"1st U")</f>
        <v>1st U</v>
      </c>
      <c r="N1324" s="15" t="str">
        <f ca="1">IFERROR(__xludf.DUMMYFUNCTION("""COMPUTED_VALUE"""),"accepted")</f>
        <v>accepted</v>
      </c>
      <c r="O1324" s="18"/>
      <c r="P1324" s="58"/>
      <c r="Q1324" s="15"/>
      <c r="R1324" s="15"/>
      <c r="S1324" s="15"/>
      <c r="T1324" s="15"/>
      <c r="U1324" s="15"/>
      <c r="V1324" s="15"/>
      <c r="W1324" s="15"/>
      <c r="X1324" s="15"/>
      <c r="Y1324" s="15"/>
      <c r="Z1324" s="15"/>
      <c r="AA1324" s="15"/>
      <c r="AB1324" s="15"/>
      <c r="AC1324" s="15"/>
      <c r="AD1324" s="15"/>
      <c r="AE1324" s="15"/>
      <c r="AF1324" s="15"/>
      <c r="AG1324" s="15"/>
      <c r="AH1324" s="15"/>
      <c r="AI1324" s="15"/>
      <c r="AJ1324" s="15"/>
      <c r="AK1324" s="15"/>
      <c r="AL1324" s="15"/>
      <c r="AM1324" s="15"/>
      <c r="AN1324" s="15"/>
      <c r="AO1324" s="15"/>
      <c r="AP1324" s="15"/>
      <c r="AQ1324" s="15"/>
      <c r="AR1324" s="15"/>
      <c r="AS1324" s="15"/>
      <c r="AT1324" s="15"/>
      <c r="AU1324" s="15"/>
      <c r="AV1324" s="15"/>
      <c r="AW1324" s="15"/>
      <c r="AX1324" s="15"/>
      <c r="AY1324" s="15"/>
      <c r="AZ1324" s="15"/>
      <c r="BA1324" s="15"/>
      <c r="BB1324" s="15"/>
      <c r="BC1324" s="15"/>
      <c r="BD1324" s="15"/>
      <c r="BE1324" s="15"/>
      <c r="BF1324" s="15"/>
      <c r="BG1324" s="15"/>
      <c r="BH1324" s="15"/>
      <c r="BI1324" s="15"/>
      <c r="BJ1324" s="15"/>
      <c r="BK1324" s="15"/>
      <c r="BL1324" s="15"/>
      <c r="BM1324" s="15"/>
      <c r="BN1324" s="15"/>
      <c r="BO1324" s="15"/>
      <c r="BP1324" s="15"/>
      <c r="BQ1324" s="15"/>
      <c r="BR1324" s="15"/>
      <c r="BS1324" s="15"/>
      <c r="BT1324" s="15"/>
      <c r="BU1324" s="15"/>
      <c r="BV1324" s="15"/>
      <c r="BW1324" s="15"/>
      <c r="BX1324" s="15"/>
      <c r="BY1324" s="15"/>
      <c r="BZ1324" s="15"/>
      <c r="CA1324" s="15"/>
      <c r="CB1324" s="15"/>
    </row>
    <row r="1325" spans="1:80" ht="12.75" hidden="1" customHeight="1">
      <c r="A1325" s="20">
        <f ca="1">IFERROR(__xludf.DUMMYFUNCTION("""COMPUTED_VALUE"""),2017)</f>
        <v>2017</v>
      </c>
      <c r="B1325" s="45">
        <f ca="1">IFERROR(__xludf.DUMMYFUNCTION("""COMPUTED_VALUE"""),43130)</f>
        <v>43130</v>
      </c>
      <c r="C1325" s="46"/>
      <c r="D1325" s="47" t="str">
        <f ca="1">IFERROR(__xludf.DUMMYFUNCTION("""COMPUTED_VALUE"""),"Hawfinch")</f>
        <v>Hawfinch</v>
      </c>
      <c r="E1325" s="52">
        <f ca="1">IFERROR(__xludf.DUMMYFUNCTION("""COMPUTED_VALUE"""),1)</f>
        <v>1</v>
      </c>
      <c r="F1325" s="25"/>
      <c r="G1325" s="48" t="str">
        <f ca="1">IFERROR(__xludf.DUMMYFUNCTION("""COMPUTED_VALUE"""),"Hale Shore")</f>
        <v>Hale Shore</v>
      </c>
      <c r="H1325" s="22">
        <f ca="1">IFERROR(__xludf.DUMMYFUNCTION("""COMPUTED_VALUE"""),43039)</f>
        <v>43039</v>
      </c>
      <c r="I1325" s="22"/>
      <c r="J1325" s="24" t="str">
        <f ca="1">IFERROR(__xludf.DUMMYFUNCTION("""COMPUTED_VALUE"""),"Cockbain, R")</f>
        <v>Cockbain, R</v>
      </c>
      <c r="K1325" s="25" t="str">
        <f ca="1">IFERROR(__xludf.DUMMYFUNCTION("""COMPUTED_VALUE"""),"Cockbain, R")</f>
        <v>Cockbain, R</v>
      </c>
      <c r="L1325" s="27" t="str">
        <f ca="1">IFERROR(__xludf.DUMMYFUNCTION("""COMPUTED_VALUE"""),"closed")</f>
        <v>closed</v>
      </c>
      <c r="M1325" s="27" t="str">
        <f ca="1">IFERROR(__xludf.DUMMYFUNCTION("""COMPUTED_VALUE"""),"1st U")</f>
        <v>1st U</v>
      </c>
      <c r="N1325" s="25" t="str">
        <f ca="1">IFERROR(__xludf.DUMMYFUNCTION("""COMPUTED_VALUE"""),"accepted")</f>
        <v>accepted</v>
      </c>
      <c r="O1325" s="28"/>
      <c r="P1325" s="40"/>
      <c r="Q1325" s="25"/>
      <c r="R1325" s="25"/>
      <c r="S1325" s="25"/>
      <c r="T1325" s="25"/>
      <c r="U1325" s="25"/>
      <c r="V1325" s="25"/>
      <c r="W1325" s="25"/>
      <c r="X1325" s="25"/>
      <c r="Y1325" s="25"/>
      <c r="Z1325" s="25"/>
      <c r="AA1325" s="25"/>
      <c r="AB1325" s="25"/>
      <c r="AC1325" s="25"/>
      <c r="AD1325" s="25"/>
      <c r="AE1325" s="25"/>
      <c r="AF1325" s="25"/>
      <c r="AG1325" s="25"/>
      <c r="AH1325" s="25"/>
      <c r="AI1325" s="25"/>
      <c r="AJ1325" s="25"/>
      <c r="AK1325" s="25"/>
      <c r="AL1325" s="25"/>
      <c r="AM1325" s="25"/>
      <c r="AN1325" s="25"/>
      <c r="AO1325" s="25"/>
      <c r="AP1325" s="25"/>
      <c r="AQ1325" s="25"/>
      <c r="AR1325" s="25"/>
      <c r="AS1325" s="25"/>
      <c r="AT1325" s="25"/>
      <c r="AU1325" s="25"/>
      <c r="AV1325" s="25"/>
      <c r="AW1325" s="25"/>
      <c r="AX1325" s="25"/>
      <c r="AY1325" s="25"/>
      <c r="AZ1325" s="25"/>
      <c r="BA1325" s="25"/>
      <c r="BB1325" s="25"/>
      <c r="BC1325" s="25"/>
      <c r="BD1325" s="25"/>
      <c r="BE1325" s="25"/>
      <c r="BF1325" s="25"/>
      <c r="BG1325" s="25"/>
      <c r="BH1325" s="25"/>
      <c r="BI1325" s="25"/>
      <c r="BJ1325" s="25"/>
      <c r="BK1325" s="25"/>
      <c r="BL1325" s="25"/>
      <c r="BM1325" s="25"/>
      <c r="BN1325" s="25"/>
      <c r="BO1325" s="25"/>
      <c r="BP1325" s="25"/>
      <c r="BQ1325" s="25"/>
      <c r="BR1325" s="25"/>
      <c r="BS1325" s="25"/>
      <c r="BT1325" s="25"/>
      <c r="BU1325" s="25"/>
      <c r="BV1325" s="25"/>
      <c r="BW1325" s="25"/>
      <c r="BX1325" s="25"/>
      <c r="BY1325" s="25"/>
      <c r="BZ1325" s="25"/>
      <c r="CA1325" s="25"/>
      <c r="CB1325" s="25"/>
    </row>
    <row r="1326" spans="1:80" ht="12.75" hidden="1" customHeight="1">
      <c r="A1326" s="10">
        <f ca="1">IFERROR(__xludf.DUMMYFUNCTION("""COMPUTED_VALUE"""),2017)</f>
        <v>2017</v>
      </c>
      <c r="B1326" s="50">
        <f ca="1">IFERROR(__xludf.DUMMYFUNCTION("""COMPUTED_VALUE"""),43130)</f>
        <v>43130</v>
      </c>
      <c r="C1326" s="41"/>
      <c r="D1326" s="42" t="str">
        <f ca="1">IFERROR(__xludf.DUMMYFUNCTION("""COMPUTED_VALUE"""),"Hawfinch")</f>
        <v>Hawfinch</v>
      </c>
      <c r="E1326" s="53">
        <f ca="1">IFERROR(__xludf.DUMMYFUNCTION("""COMPUTED_VALUE"""),4)</f>
        <v>4</v>
      </c>
      <c r="F1326" s="15"/>
      <c r="G1326" s="44" t="str">
        <f ca="1">IFERROR(__xludf.DUMMYFUNCTION("""COMPUTED_VALUE"""),"Hale Shore")</f>
        <v>Hale Shore</v>
      </c>
      <c r="H1326" s="12">
        <f ca="1">IFERROR(__xludf.DUMMYFUNCTION("""COMPUTED_VALUE"""),43040)</f>
        <v>43040</v>
      </c>
      <c r="I1326" s="12"/>
      <c r="J1326" s="14" t="str">
        <f ca="1">IFERROR(__xludf.DUMMYFUNCTION("""COMPUTED_VALUE"""),"Cockbain, R")</f>
        <v>Cockbain, R</v>
      </c>
      <c r="K1326" s="15" t="str">
        <f ca="1">IFERROR(__xludf.DUMMYFUNCTION("""COMPUTED_VALUE"""),"Cockbain, R")</f>
        <v>Cockbain, R</v>
      </c>
      <c r="L1326" s="17" t="str">
        <f ca="1">IFERROR(__xludf.DUMMYFUNCTION("""COMPUTED_VALUE"""),"closed")</f>
        <v>closed</v>
      </c>
      <c r="M1326" s="17" t="str">
        <f ca="1">IFERROR(__xludf.DUMMYFUNCTION("""COMPUTED_VALUE"""),"1st U")</f>
        <v>1st U</v>
      </c>
      <c r="N1326" s="15" t="str">
        <f ca="1">IFERROR(__xludf.DUMMYFUNCTION("""COMPUTED_VALUE"""),"accepted")</f>
        <v>accepted</v>
      </c>
      <c r="O1326" s="18" t="str">
        <f ca="1">IFERROR(__xludf.DUMMYFUNCTION("""COMPUTED_VALUE"""),"query date 1/10 on form")</f>
        <v>query date 1/10 on form</v>
      </c>
      <c r="P1326" s="58"/>
      <c r="Q1326" s="15"/>
      <c r="R1326" s="15"/>
      <c r="S1326" s="15"/>
      <c r="T1326" s="15"/>
      <c r="U1326" s="15"/>
      <c r="V1326" s="15"/>
      <c r="W1326" s="15"/>
      <c r="X1326" s="15"/>
      <c r="Y1326" s="15"/>
      <c r="Z1326" s="15"/>
      <c r="AA1326" s="15"/>
      <c r="AB1326" s="15"/>
      <c r="AC1326" s="15"/>
      <c r="AD1326" s="15"/>
      <c r="AE1326" s="15"/>
      <c r="AF1326" s="15"/>
      <c r="AG1326" s="15"/>
      <c r="AH1326" s="15"/>
      <c r="AI1326" s="15"/>
      <c r="AJ1326" s="15"/>
      <c r="AK1326" s="15"/>
      <c r="AL1326" s="15"/>
      <c r="AM1326" s="15"/>
      <c r="AN1326" s="15"/>
      <c r="AO1326" s="15"/>
      <c r="AP1326" s="15"/>
      <c r="AQ1326" s="15"/>
      <c r="AR1326" s="15"/>
      <c r="AS1326" s="15"/>
      <c r="AT1326" s="15"/>
      <c r="AU1326" s="15"/>
      <c r="AV1326" s="15"/>
      <c r="AW1326" s="15"/>
      <c r="AX1326" s="15"/>
      <c r="AY1326" s="15"/>
      <c r="AZ1326" s="15"/>
      <c r="BA1326" s="15"/>
      <c r="BB1326" s="15"/>
      <c r="BC1326" s="15"/>
      <c r="BD1326" s="15"/>
      <c r="BE1326" s="15"/>
      <c r="BF1326" s="15"/>
      <c r="BG1326" s="15"/>
      <c r="BH1326" s="15"/>
      <c r="BI1326" s="15"/>
      <c r="BJ1326" s="15"/>
      <c r="BK1326" s="15"/>
      <c r="BL1326" s="15"/>
      <c r="BM1326" s="15"/>
      <c r="BN1326" s="15"/>
      <c r="BO1326" s="15"/>
      <c r="BP1326" s="15"/>
      <c r="BQ1326" s="15"/>
      <c r="BR1326" s="15"/>
      <c r="BS1326" s="15"/>
      <c r="BT1326" s="15"/>
      <c r="BU1326" s="15"/>
      <c r="BV1326" s="15"/>
      <c r="BW1326" s="15"/>
      <c r="BX1326" s="15"/>
      <c r="BY1326" s="15"/>
      <c r="BZ1326" s="15"/>
      <c r="CA1326" s="15"/>
      <c r="CB1326" s="15"/>
    </row>
    <row r="1327" spans="1:80" ht="12.75" hidden="1" customHeight="1">
      <c r="A1327" s="20">
        <f ca="1">IFERROR(__xludf.DUMMYFUNCTION("""COMPUTED_VALUE"""),2017)</f>
        <v>2017</v>
      </c>
      <c r="B1327" s="45">
        <f ca="1">IFERROR(__xludf.DUMMYFUNCTION("""COMPUTED_VALUE"""),43130)</f>
        <v>43130</v>
      </c>
      <c r="C1327" s="46"/>
      <c r="D1327" s="47" t="str">
        <f ca="1">IFERROR(__xludf.DUMMYFUNCTION("""COMPUTED_VALUE"""),"Hawfinch")</f>
        <v>Hawfinch</v>
      </c>
      <c r="E1327" s="52">
        <f ca="1">IFERROR(__xludf.DUMMYFUNCTION("""COMPUTED_VALUE"""),43617)</f>
        <v>43617</v>
      </c>
      <c r="F1327" s="25"/>
      <c r="G1327" s="48" t="str">
        <f ca="1">IFERROR(__xludf.DUMMYFUNCTION("""COMPUTED_VALUE"""),"Marbury CP")</f>
        <v>Marbury CP</v>
      </c>
      <c r="H1327" s="22">
        <f ca="1">IFERROR(__xludf.DUMMYFUNCTION("""COMPUTED_VALUE"""),43041)</f>
        <v>43041</v>
      </c>
      <c r="I1327" s="22">
        <f ca="1">IFERROR(__xludf.DUMMYFUNCTION("""COMPUTED_VALUE"""),43100)</f>
        <v>43100</v>
      </c>
      <c r="J1327" s="24" t="str">
        <f ca="1">IFERROR(__xludf.DUMMYFUNCTION("""COMPUTED_VALUE"""),"Baker, G")</f>
        <v>Baker, G</v>
      </c>
      <c r="K1327" s="25" t="str">
        <f ca="1">IFERROR(__xludf.DUMMYFUNCTION("""COMPUTED_VALUE"""),"Jarrett, M")</f>
        <v>Jarrett, M</v>
      </c>
      <c r="L1327" s="27" t="str">
        <f ca="1">IFERROR(__xludf.DUMMYFUNCTION("""COMPUTED_VALUE"""),"closed")</f>
        <v>closed</v>
      </c>
      <c r="M1327" s="27"/>
      <c r="N1327" s="25" t="str">
        <f ca="1">IFERROR(__xludf.DUMMYFUNCTION("""COMPUTED_VALUE"""),"Accepted")</f>
        <v>Accepted</v>
      </c>
      <c r="O1327" s="28"/>
      <c r="P1327" s="40"/>
      <c r="Q1327" s="25"/>
      <c r="R1327" s="25"/>
      <c r="S1327" s="25"/>
      <c r="T1327" s="25"/>
      <c r="U1327" s="25"/>
      <c r="V1327" s="25"/>
      <c r="W1327" s="25"/>
      <c r="X1327" s="25"/>
      <c r="Y1327" s="25"/>
      <c r="Z1327" s="25"/>
      <c r="AA1327" s="25"/>
      <c r="AB1327" s="25"/>
      <c r="AC1327" s="25"/>
      <c r="AD1327" s="25"/>
      <c r="AE1327" s="25"/>
      <c r="AF1327" s="25"/>
      <c r="AG1327" s="25"/>
      <c r="AH1327" s="25"/>
      <c r="AI1327" s="25"/>
      <c r="AJ1327" s="25"/>
      <c r="AK1327" s="25"/>
      <c r="AL1327" s="25"/>
      <c r="AM1327" s="25"/>
      <c r="AN1327" s="25"/>
      <c r="AO1327" s="25"/>
      <c r="AP1327" s="25"/>
      <c r="AQ1327" s="25"/>
      <c r="AR1327" s="25"/>
      <c r="AS1327" s="25"/>
      <c r="AT1327" s="25"/>
      <c r="AU1327" s="25"/>
      <c r="AV1327" s="25"/>
      <c r="AW1327" s="25"/>
      <c r="AX1327" s="25"/>
      <c r="AY1327" s="25"/>
      <c r="AZ1327" s="25"/>
      <c r="BA1327" s="25"/>
      <c r="BB1327" s="25"/>
      <c r="BC1327" s="25"/>
      <c r="BD1327" s="25"/>
      <c r="BE1327" s="25"/>
      <c r="BF1327" s="25"/>
      <c r="BG1327" s="25"/>
      <c r="BH1327" s="25"/>
      <c r="BI1327" s="25"/>
      <c r="BJ1327" s="25"/>
      <c r="BK1327" s="25"/>
      <c r="BL1327" s="25"/>
      <c r="BM1327" s="25"/>
      <c r="BN1327" s="25"/>
      <c r="BO1327" s="25"/>
      <c r="BP1327" s="25"/>
      <c r="BQ1327" s="25"/>
      <c r="BR1327" s="25"/>
      <c r="BS1327" s="25"/>
      <c r="BT1327" s="25"/>
      <c r="BU1327" s="25"/>
      <c r="BV1327" s="25"/>
      <c r="BW1327" s="25"/>
      <c r="BX1327" s="25"/>
      <c r="BY1327" s="25"/>
      <c r="BZ1327" s="25"/>
      <c r="CA1327" s="25"/>
      <c r="CB1327" s="25"/>
    </row>
    <row r="1328" spans="1:80" ht="12.75" hidden="1" customHeight="1">
      <c r="A1328" s="10">
        <f ca="1">IFERROR(__xludf.DUMMYFUNCTION("""COMPUTED_VALUE"""),2017)</f>
        <v>2017</v>
      </c>
      <c r="B1328" s="50">
        <f ca="1">IFERROR(__xludf.DUMMYFUNCTION("""COMPUTED_VALUE"""),43130)</f>
        <v>43130</v>
      </c>
      <c r="C1328" s="41"/>
      <c r="D1328" s="42" t="str">
        <f ca="1">IFERROR(__xludf.DUMMYFUNCTION("""COMPUTED_VALUE"""),"Hawfinch")</f>
        <v>Hawfinch</v>
      </c>
      <c r="E1328" s="53">
        <f ca="1">IFERROR(__xludf.DUMMYFUNCTION("""COMPUTED_VALUE"""),7)</f>
        <v>7</v>
      </c>
      <c r="F1328" s="15"/>
      <c r="G1328" s="44" t="str">
        <f ca="1">IFERROR(__xludf.DUMMYFUNCTION("""COMPUTED_VALUE"""),"Hale Shore")</f>
        <v>Hale Shore</v>
      </c>
      <c r="H1328" s="12">
        <f ca="1">IFERROR(__xludf.DUMMYFUNCTION("""COMPUTED_VALUE"""),43042)</f>
        <v>43042</v>
      </c>
      <c r="I1328" s="12"/>
      <c r="J1328" s="14" t="str">
        <f ca="1">IFERROR(__xludf.DUMMYFUNCTION("""COMPUTED_VALUE"""),"Cockbain, R")</f>
        <v>Cockbain, R</v>
      </c>
      <c r="K1328" s="15" t="str">
        <f ca="1">IFERROR(__xludf.DUMMYFUNCTION("""COMPUTED_VALUE"""),"Cockbain, R")</f>
        <v>Cockbain, R</v>
      </c>
      <c r="L1328" s="17" t="str">
        <f ca="1">IFERROR(__xludf.DUMMYFUNCTION("""COMPUTED_VALUE"""),"closed")</f>
        <v>closed</v>
      </c>
      <c r="M1328" s="17" t="str">
        <f ca="1">IFERROR(__xludf.DUMMYFUNCTION("""COMPUTED_VALUE"""),"1st U")</f>
        <v>1st U</v>
      </c>
      <c r="N1328" s="15" t="str">
        <f ca="1">IFERROR(__xludf.DUMMYFUNCTION("""COMPUTED_VALUE"""),"accepted")</f>
        <v>accepted</v>
      </c>
      <c r="O1328" s="18"/>
      <c r="P1328" s="58"/>
      <c r="Q1328" s="15"/>
      <c r="R1328" s="15"/>
      <c r="S1328" s="15"/>
      <c r="T1328" s="15"/>
      <c r="U1328" s="15"/>
      <c r="V1328" s="15"/>
      <c r="W1328" s="15"/>
      <c r="X1328" s="15"/>
      <c r="Y1328" s="15"/>
      <c r="Z1328" s="15"/>
      <c r="AA1328" s="15"/>
      <c r="AB1328" s="15"/>
      <c r="AC1328" s="15"/>
      <c r="AD1328" s="15"/>
      <c r="AE1328" s="15"/>
      <c r="AF1328" s="15"/>
      <c r="AG1328" s="15"/>
      <c r="AH1328" s="15"/>
      <c r="AI1328" s="15"/>
      <c r="AJ1328" s="15"/>
      <c r="AK1328" s="15"/>
      <c r="AL1328" s="15"/>
      <c r="AM1328" s="15"/>
      <c r="AN1328" s="15"/>
      <c r="AO1328" s="15"/>
      <c r="AP1328" s="15"/>
      <c r="AQ1328" s="15"/>
      <c r="AR1328" s="15"/>
      <c r="AS1328" s="15"/>
      <c r="AT1328" s="15"/>
      <c r="AU1328" s="15"/>
      <c r="AV1328" s="15"/>
      <c r="AW1328" s="15"/>
      <c r="AX1328" s="15"/>
      <c r="AY1328" s="15"/>
      <c r="AZ1328" s="15"/>
      <c r="BA1328" s="15"/>
      <c r="BB1328" s="15"/>
      <c r="BC1328" s="15"/>
      <c r="BD1328" s="15"/>
      <c r="BE1328" s="15"/>
      <c r="BF1328" s="15"/>
      <c r="BG1328" s="15"/>
      <c r="BH1328" s="15"/>
      <c r="BI1328" s="15"/>
      <c r="BJ1328" s="15"/>
      <c r="BK1328" s="15"/>
      <c r="BL1328" s="15"/>
      <c r="BM1328" s="15"/>
      <c r="BN1328" s="15"/>
      <c r="BO1328" s="15"/>
      <c r="BP1328" s="15"/>
      <c r="BQ1328" s="15"/>
      <c r="BR1328" s="15"/>
      <c r="BS1328" s="15"/>
      <c r="BT1328" s="15"/>
      <c r="BU1328" s="15"/>
      <c r="BV1328" s="15"/>
      <c r="BW1328" s="15"/>
      <c r="BX1328" s="15"/>
      <c r="BY1328" s="15"/>
      <c r="BZ1328" s="15"/>
      <c r="CA1328" s="15"/>
      <c r="CB1328" s="15"/>
    </row>
    <row r="1329" spans="1:80" ht="12.75" hidden="1" customHeight="1">
      <c r="A1329" s="20">
        <f ca="1">IFERROR(__xludf.DUMMYFUNCTION("""COMPUTED_VALUE"""),2017)</f>
        <v>2017</v>
      </c>
      <c r="B1329" s="45">
        <f ca="1">IFERROR(__xludf.DUMMYFUNCTION("""COMPUTED_VALUE"""),43130)</f>
        <v>43130</v>
      </c>
      <c r="C1329" s="46"/>
      <c r="D1329" s="47" t="str">
        <f ca="1">IFERROR(__xludf.DUMMYFUNCTION("""COMPUTED_VALUE"""),"Hawfinch")</f>
        <v>Hawfinch</v>
      </c>
      <c r="E1329" s="52">
        <f ca="1">IFERROR(__xludf.DUMMYFUNCTION("""COMPUTED_VALUE"""),16)</f>
        <v>16</v>
      </c>
      <c r="F1329" s="25"/>
      <c r="G1329" s="48" t="str">
        <f ca="1">IFERROR(__xludf.DUMMYFUNCTION("""COMPUTED_VALUE"""),"Hale Shore")</f>
        <v>Hale Shore</v>
      </c>
      <c r="H1329" s="22">
        <f ca="1">IFERROR(__xludf.DUMMYFUNCTION("""COMPUTED_VALUE"""),43048)</f>
        <v>43048</v>
      </c>
      <c r="I1329" s="22"/>
      <c r="J1329" s="24" t="str">
        <f ca="1">IFERROR(__xludf.DUMMYFUNCTION("""COMPUTED_VALUE"""),"Cockbain, R")</f>
        <v>Cockbain, R</v>
      </c>
      <c r="K1329" s="25" t="str">
        <f ca="1">IFERROR(__xludf.DUMMYFUNCTION("""COMPUTED_VALUE"""),"Cockbain, R")</f>
        <v>Cockbain, R</v>
      </c>
      <c r="L1329" s="27" t="str">
        <f ca="1">IFERROR(__xludf.DUMMYFUNCTION("""COMPUTED_VALUE"""),"closed")</f>
        <v>closed</v>
      </c>
      <c r="M1329" s="27" t="str">
        <f ca="1">IFERROR(__xludf.DUMMYFUNCTION("""COMPUTED_VALUE"""),"1st U")</f>
        <v>1st U</v>
      </c>
      <c r="N1329" s="25" t="str">
        <f ca="1">IFERROR(__xludf.DUMMYFUNCTION("""COMPUTED_VALUE"""),"accepted")</f>
        <v>accepted</v>
      </c>
      <c r="O1329" s="28"/>
      <c r="P1329" s="40"/>
      <c r="Q1329" s="25"/>
      <c r="R1329" s="25"/>
      <c r="S1329" s="25"/>
      <c r="T1329" s="25"/>
      <c r="U1329" s="25"/>
      <c r="V1329" s="25"/>
      <c r="W1329" s="25"/>
      <c r="X1329" s="25"/>
      <c r="Y1329" s="25"/>
      <c r="Z1329" s="25"/>
      <c r="AA1329" s="25"/>
      <c r="AB1329" s="25"/>
      <c r="AC1329" s="25"/>
      <c r="AD1329" s="25"/>
      <c r="AE1329" s="25"/>
      <c r="AF1329" s="25"/>
      <c r="AG1329" s="25"/>
      <c r="AH1329" s="25"/>
      <c r="AI1329" s="25"/>
      <c r="AJ1329" s="25"/>
      <c r="AK1329" s="25"/>
      <c r="AL1329" s="25"/>
      <c r="AM1329" s="25"/>
      <c r="AN1329" s="25"/>
      <c r="AO1329" s="25"/>
      <c r="AP1329" s="25"/>
      <c r="AQ1329" s="25"/>
      <c r="AR1329" s="25"/>
      <c r="AS1329" s="25"/>
      <c r="AT1329" s="25"/>
      <c r="AU1329" s="25"/>
      <c r="AV1329" s="25"/>
      <c r="AW1329" s="25"/>
      <c r="AX1329" s="25"/>
      <c r="AY1329" s="25"/>
      <c r="AZ1329" s="25"/>
      <c r="BA1329" s="25"/>
      <c r="BB1329" s="25"/>
      <c r="BC1329" s="25"/>
      <c r="BD1329" s="25"/>
      <c r="BE1329" s="25"/>
      <c r="BF1329" s="25"/>
      <c r="BG1329" s="25"/>
      <c r="BH1329" s="25"/>
      <c r="BI1329" s="25"/>
      <c r="BJ1329" s="25"/>
      <c r="BK1329" s="25"/>
      <c r="BL1329" s="25"/>
      <c r="BM1329" s="25"/>
      <c r="BN1329" s="25"/>
      <c r="BO1329" s="25"/>
      <c r="BP1329" s="25"/>
      <c r="BQ1329" s="25"/>
      <c r="BR1329" s="25"/>
      <c r="BS1329" s="25"/>
      <c r="BT1329" s="25"/>
      <c r="BU1329" s="25"/>
      <c r="BV1329" s="25"/>
      <c r="BW1329" s="25"/>
      <c r="BX1329" s="25"/>
      <c r="BY1329" s="25"/>
      <c r="BZ1329" s="25"/>
      <c r="CA1329" s="25"/>
      <c r="CB1329" s="25"/>
    </row>
    <row r="1330" spans="1:80" ht="12.75" hidden="1" customHeight="1">
      <c r="A1330" s="10">
        <f ca="1">IFERROR(__xludf.DUMMYFUNCTION("""COMPUTED_VALUE"""),2017)</f>
        <v>2017</v>
      </c>
      <c r="B1330" s="50">
        <f ca="1">IFERROR(__xludf.DUMMYFUNCTION("""COMPUTED_VALUE"""),43130)</f>
        <v>43130</v>
      </c>
      <c r="C1330" s="41"/>
      <c r="D1330" s="42" t="str">
        <f ca="1">IFERROR(__xludf.DUMMYFUNCTION("""COMPUTED_VALUE"""),"Hawfinch")</f>
        <v>Hawfinch</v>
      </c>
      <c r="E1330" s="53">
        <f ca="1">IFERROR(__xludf.DUMMYFUNCTION("""COMPUTED_VALUE"""),2)</f>
        <v>2</v>
      </c>
      <c r="F1330" s="15"/>
      <c r="G1330" s="44" t="str">
        <f ca="1">IFERROR(__xludf.DUMMYFUNCTION("""COMPUTED_VALUE"""),"Hale Shore")</f>
        <v>Hale Shore</v>
      </c>
      <c r="H1330" s="12">
        <f ca="1">IFERROR(__xludf.DUMMYFUNCTION("""COMPUTED_VALUE"""),43055)</f>
        <v>43055</v>
      </c>
      <c r="I1330" s="12"/>
      <c r="J1330" s="14" t="str">
        <f ca="1">IFERROR(__xludf.DUMMYFUNCTION("""COMPUTED_VALUE"""),"Cockbain, R")</f>
        <v>Cockbain, R</v>
      </c>
      <c r="K1330" s="15" t="str">
        <f ca="1">IFERROR(__xludf.DUMMYFUNCTION("""COMPUTED_VALUE"""),"Cockbain, R")</f>
        <v>Cockbain, R</v>
      </c>
      <c r="L1330" s="17" t="str">
        <f ca="1">IFERROR(__xludf.DUMMYFUNCTION("""COMPUTED_VALUE"""),"closed")</f>
        <v>closed</v>
      </c>
      <c r="M1330" s="17" t="str">
        <f ca="1">IFERROR(__xludf.DUMMYFUNCTION("""COMPUTED_VALUE"""),"1st U")</f>
        <v>1st U</v>
      </c>
      <c r="N1330" s="15" t="str">
        <f ca="1">IFERROR(__xludf.DUMMYFUNCTION("""COMPUTED_VALUE"""),"accepted")</f>
        <v>accepted</v>
      </c>
      <c r="O1330" s="18"/>
      <c r="P1330" s="58"/>
      <c r="Q1330" s="15"/>
      <c r="R1330" s="15"/>
      <c r="S1330" s="15"/>
      <c r="T1330" s="15"/>
      <c r="U1330" s="15"/>
      <c r="V1330" s="15"/>
      <c r="W1330" s="15"/>
      <c r="X1330" s="15"/>
      <c r="Y1330" s="15"/>
      <c r="Z1330" s="15"/>
      <c r="AA1330" s="15"/>
      <c r="AB1330" s="15"/>
      <c r="AC1330" s="15"/>
      <c r="AD1330" s="15"/>
      <c r="AE1330" s="15"/>
      <c r="AF1330" s="15"/>
      <c r="AG1330" s="15"/>
      <c r="AH1330" s="15"/>
      <c r="AI1330" s="15"/>
      <c r="AJ1330" s="15"/>
      <c r="AK1330" s="15"/>
      <c r="AL1330" s="15"/>
      <c r="AM1330" s="15"/>
      <c r="AN1330" s="15"/>
      <c r="AO1330" s="15"/>
      <c r="AP1330" s="15"/>
      <c r="AQ1330" s="15"/>
      <c r="AR1330" s="15"/>
      <c r="AS1330" s="15"/>
      <c r="AT1330" s="15"/>
      <c r="AU1330" s="15"/>
      <c r="AV1330" s="15"/>
      <c r="AW1330" s="15"/>
      <c r="AX1330" s="15"/>
      <c r="AY1330" s="15"/>
      <c r="AZ1330" s="15"/>
      <c r="BA1330" s="15"/>
      <c r="BB1330" s="15"/>
      <c r="BC1330" s="15"/>
      <c r="BD1330" s="15"/>
      <c r="BE1330" s="15"/>
      <c r="BF1330" s="15"/>
      <c r="BG1330" s="15"/>
      <c r="BH1330" s="15"/>
      <c r="BI1330" s="15"/>
      <c r="BJ1330" s="15"/>
      <c r="BK1330" s="15"/>
      <c r="BL1330" s="15"/>
      <c r="BM1330" s="15"/>
      <c r="BN1330" s="15"/>
      <c r="BO1330" s="15"/>
      <c r="BP1330" s="15"/>
      <c r="BQ1330" s="15"/>
      <c r="BR1330" s="15"/>
      <c r="BS1330" s="15"/>
      <c r="BT1330" s="15"/>
      <c r="BU1330" s="15"/>
      <c r="BV1330" s="15"/>
      <c r="BW1330" s="15"/>
      <c r="BX1330" s="15"/>
      <c r="BY1330" s="15"/>
      <c r="BZ1330" s="15"/>
      <c r="CA1330" s="15"/>
      <c r="CB1330" s="15"/>
    </row>
    <row r="1331" spans="1:80" ht="12.75" hidden="1" customHeight="1">
      <c r="A1331" s="20">
        <f ca="1">IFERROR(__xludf.DUMMYFUNCTION("""COMPUTED_VALUE"""),2017)</f>
        <v>2017</v>
      </c>
      <c r="B1331" s="45">
        <f ca="1">IFERROR(__xludf.DUMMYFUNCTION("""COMPUTED_VALUE"""),43130)</f>
        <v>43130</v>
      </c>
      <c r="C1331" s="46"/>
      <c r="D1331" s="47" t="str">
        <f ca="1">IFERROR(__xludf.DUMMYFUNCTION("""COMPUTED_VALUE"""),"Hawfinch")</f>
        <v>Hawfinch</v>
      </c>
      <c r="E1331" s="52">
        <f ca="1">IFERROR(__xludf.DUMMYFUNCTION("""COMPUTED_VALUE"""),1)</f>
        <v>1</v>
      </c>
      <c r="F1331" s="25"/>
      <c r="G1331" s="48" t="str">
        <f ca="1">IFERROR(__xludf.DUMMYFUNCTION("""COMPUTED_VALUE"""),"Hale Shore")</f>
        <v>Hale Shore</v>
      </c>
      <c r="H1331" s="22">
        <f ca="1">IFERROR(__xludf.DUMMYFUNCTION("""COMPUTED_VALUE"""),43062)</f>
        <v>43062</v>
      </c>
      <c r="I1331" s="22"/>
      <c r="J1331" s="24" t="str">
        <f ca="1">IFERROR(__xludf.DUMMYFUNCTION("""COMPUTED_VALUE"""),"Cockbain, R")</f>
        <v>Cockbain, R</v>
      </c>
      <c r="K1331" s="25" t="str">
        <f ca="1">IFERROR(__xludf.DUMMYFUNCTION("""COMPUTED_VALUE"""),"Cockbain, R")</f>
        <v>Cockbain, R</v>
      </c>
      <c r="L1331" s="27" t="str">
        <f ca="1">IFERROR(__xludf.DUMMYFUNCTION("""COMPUTED_VALUE"""),"closed")</f>
        <v>closed</v>
      </c>
      <c r="M1331" s="27" t="str">
        <f ca="1">IFERROR(__xludf.DUMMYFUNCTION("""COMPUTED_VALUE"""),"1st U")</f>
        <v>1st U</v>
      </c>
      <c r="N1331" s="25" t="str">
        <f ca="1">IFERROR(__xludf.DUMMYFUNCTION("""COMPUTED_VALUE"""),"accepted")</f>
        <v>accepted</v>
      </c>
      <c r="O1331" s="28"/>
      <c r="P1331" s="40"/>
      <c r="Q1331" s="25"/>
      <c r="R1331" s="25"/>
      <c r="S1331" s="25"/>
      <c r="T1331" s="25"/>
      <c r="U1331" s="25"/>
      <c r="V1331" s="25"/>
      <c r="W1331" s="25"/>
      <c r="X1331" s="25"/>
      <c r="Y1331" s="25"/>
      <c r="Z1331" s="25"/>
      <c r="AA1331" s="25"/>
      <c r="AB1331" s="25"/>
      <c r="AC1331" s="25"/>
      <c r="AD1331" s="25"/>
      <c r="AE1331" s="25"/>
      <c r="AF1331" s="25"/>
      <c r="AG1331" s="25"/>
      <c r="AH1331" s="25"/>
      <c r="AI1331" s="25"/>
      <c r="AJ1331" s="25"/>
      <c r="AK1331" s="25"/>
      <c r="AL1331" s="25"/>
      <c r="AM1331" s="25"/>
      <c r="AN1331" s="25"/>
      <c r="AO1331" s="25"/>
      <c r="AP1331" s="25"/>
      <c r="AQ1331" s="25"/>
      <c r="AR1331" s="25"/>
      <c r="AS1331" s="25"/>
      <c r="AT1331" s="25"/>
      <c r="AU1331" s="25"/>
      <c r="AV1331" s="25"/>
      <c r="AW1331" s="25"/>
      <c r="AX1331" s="25"/>
      <c r="AY1331" s="25"/>
      <c r="AZ1331" s="25"/>
      <c r="BA1331" s="25"/>
      <c r="BB1331" s="25"/>
      <c r="BC1331" s="25"/>
      <c r="BD1331" s="25"/>
      <c r="BE1331" s="25"/>
      <c r="BF1331" s="25"/>
      <c r="BG1331" s="25"/>
      <c r="BH1331" s="25"/>
      <c r="BI1331" s="25"/>
      <c r="BJ1331" s="25"/>
      <c r="BK1331" s="25"/>
      <c r="BL1331" s="25"/>
      <c r="BM1331" s="25"/>
      <c r="BN1331" s="25"/>
      <c r="BO1331" s="25"/>
      <c r="BP1331" s="25"/>
      <c r="BQ1331" s="25"/>
      <c r="BR1331" s="25"/>
      <c r="BS1331" s="25"/>
      <c r="BT1331" s="25"/>
      <c r="BU1331" s="25"/>
      <c r="BV1331" s="25"/>
      <c r="BW1331" s="25"/>
      <c r="BX1331" s="25"/>
      <c r="BY1331" s="25"/>
      <c r="BZ1331" s="25"/>
      <c r="CA1331" s="25"/>
      <c r="CB1331" s="25"/>
    </row>
    <row r="1332" spans="1:80" ht="12.75" hidden="1" customHeight="1">
      <c r="A1332" s="10">
        <f ca="1">IFERROR(__xludf.DUMMYFUNCTION("""COMPUTED_VALUE"""),2018)</f>
        <v>2018</v>
      </c>
      <c r="B1332" s="50">
        <f ca="1">IFERROR(__xludf.DUMMYFUNCTION("""COMPUTED_VALUE"""),44598)</f>
        <v>44598</v>
      </c>
      <c r="C1332" s="41"/>
      <c r="D1332" s="42" t="str">
        <f ca="1">IFERROR(__xludf.DUMMYFUNCTION("""COMPUTED_VALUE"""),"Snow Goose")</f>
        <v>Snow Goose</v>
      </c>
      <c r="E1332" s="53">
        <f ca="1">IFERROR(__xludf.DUMMYFUNCTION("""COMPUTED_VALUE"""),1)</f>
        <v>1</v>
      </c>
      <c r="F1332" s="15" t="str">
        <f ca="1">IFERROR(__xludf.DUMMYFUNCTION("""COMPUTED_VALUE"""),"ad")</f>
        <v>ad</v>
      </c>
      <c r="G1332" s="44" t="str">
        <f ca="1">IFERROR(__xludf.DUMMYFUNCTION("""COMPUTED_VALUE"""),"Burton Marsh")</f>
        <v>Burton Marsh</v>
      </c>
      <c r="H1332" s="12">
        <f ca="1">IFERROR(__xludf.DUMMYFUNCTION("""COMPUTED_VALUE"""),43213)</f>
        <v>43213</v>
      </c>
      <c r="I1332" s="12">
        <f ca="1">IFERROR(__xludf.DUMMYFUNCTION("""COMPUTED_VALUE"""),43214)</f>
        <v>43214</v>
      </c>
      <c r="J1332" s="14" t="str">
        <f ca="1">IFERROR(__xludf.DUMMYFUNCTION("""COMPUTED_VALUE"""),"County recorder")</f>
        <v>County recorder</v>
      </c>
      <c r="K1332" s="15" t="str">
        <f ca="1">IFERROR(__xludf.DUMMYFUNCTION("""COMPUTED_VALUE"""),"Barry Barnacal")</f>
        <v>Barry Barnacal</v>
      </c>
      <c r="L1332" s="17" t="str">
        <f ca="1">IFERROR(__xludf.DUMMYFUNCTION("""COMPUTED_VALUE"""),"closed")</f>
        <v>closed</v>
      </c>
      <c r="M1332" s="17"/>
      <c r="N1332" s="15" t="str">
        <f ca="1">IFERROR(__xludf.DUMMYFUNCTION("""COMPUTED_VALUE"""),"Accepted w/o circ")</f>
        <v>Accepted w/o circ</v>
      </c>
      <c r="O1332" s="18" t="str">
        <f ca="1">IFERROR(__xludf.DUMMYFUNCTION("""COMPUTED_VALUE"""),"ID accepted, potentially a wild bird - in discssion")</f>
        <v>ID accepted, potentially a wild bird - in discssion</v>
      </c>
      <c r="P1332" s="58"/>
      <c r="Q1332" s="15"/>
      <c r="R1332" s="15"/>
      <c r="S1332" s="15"/>
      <c r="T1332" s="15"/>
      <c r="U1332" s="15"/>
      <c r="V1332" s="15"/>
      <c r="W1332" s="15"/>
      <c r="X1332" s="15"/>
      <c r="Y1332" s="15"/>
      <c r="Z1332" s="15"/>
      <c r="AA1332" s="15"/>
      <c r="AB1332" s="15"/>
      <c r="AC1332" s="15"/>
      <c r="AD1332" s="15"/>
      <c r="AE1332" s="15"/>
      <c r="AF1332" s="15"/>
      <c r="AG1332" s="15"/>
      <c r="AH1332" s="15"/>
      <c r="AI1332" s="15"/>
      <c r="AJ1332" s="15"/>
      <c r="AK1332" s="15"/>
      <c r="AL1332" s="15"/>
      <c r="AM1332" s="15"/>
      <c r="AN1332" s="15"/>
      <c r="AO1332" s="15"/>
      <c r="AP1332" s="15"/>
      <c r="AQ1332" s="15"/>
      <c r="AR1332" s="15"/>
      <c r="AS1332" s="15"/>
      <c r="AT1332" s="15"/>
      <c r="AU1332" s="15"/>
      <c r="AV1332" s="15"/>
      <c r="AW1332" s="15"/>
      <c r="AX1332" s="15"/>
      <c r="AY1332" s="15"/>
      <c r="AZ1332" s="15"/>
      <c r="BA1332" s="15"/>
      <c r="BB1332" s="15"/>
      <c r="BC1332" s="15"/>
      <c r="BD1332" s="15"/>
      <c r="BE1332" s="15"/>
      <c r="BF1332" s="15"/>
      <c r="BG1332" s="15"/>
      <c r="BH1332" s="15"/>
      <c r="BI1332" s="15"/>
      <c r="BJ1332" s="15"/>
      <c r="BK1332" s="15"/>
      <c r="BL1332" s="15"/>
      <c r="BM1332" s="15"/>
      <c r="BN1332" s="15"/>
      <c r="BO1332" s="15"/>
      <c r="BP1332" s="15"/>
      <c r="BQ1332" s="15"/>
      <c r="BR1332" s="15"/>
      <c r="BS1332" s="15"/>
      <c r="BT1332" s="15"/>
      <c r="BU1332" s="15"/>
      <c r="BV1332" s="15"/>
      <c r="BW1332" s="15"/>
      <c r="BX1332" s="15"/>
      <c r="BY1332" s="15"/>
      <c r="BZ1332" s="15"/>
      <c r="CA1332" s="15"/>
      <c r="CB1332" s="15"/>
    </row>
    <row r="1333" spans="1:80" ht="12.75" hidden="1" customHeight="1">
      <c r="A1333" s="20">
        <f ca="1">IFERROR(__xludf.DUMMYFUNCTION("""COMPUTED_VALUE"""),2018)</f>
        <v>2018</v>
      </c>
      <c r="B1333" s="45">
        <f ca="1">IFERROR(__xludf.DUMMYFUNCTION("""COMPUTED_VALUE"""),43955)</f>
        <v>43955</v>
      </c>
      <c r="C1333" s="46"/>
      <c r="D1333" s="47" t="str">
        <f ca="1">IFERROR(__xludf.DUMMYFUNCTION("""COMPUTED_VALUE"""),"Green-winged Teal")</f>
        <v>Green-winged Teal</v>
      </c>
      <c r="E1333" s="52">
        <f ca="1">IFERROR(__xludf.DUMMYFUNCTION("""COMPUTED_VALUE"""),1)</f>
        <v>1</v>
      </c>
      <c r="F1333" s="25"/>
      <c r="G1333" s="48" t="str">
        <f ca="1">IFERROR(__xludf.DUMMYFUNCTION("""COMPUTED_VALUE"""),"Heswall")</f>
        <v>Heswall</v>
      </c>
      <c r="H1333" s="22">
        <f ca="1">IFERROR(__xludf.DUMMYFUNCTION("""COMPUTED_VALUE"""),43209)</f>
        <v>43209</v>
      </c>
      <c r="I1333" s="22">
        <f ca="1">IFERROR(__xludf.DUMMYFUNCTION("""COMPUTED_VALUE"""),43213)</f>
        <v>43213</v>
      </c>
      <c r="J1333" s="24" t="str">
        <f ca="1">IFERROR(__xludf.DUMMYFUNCTION("""COMPUTED_VALUE"""),"Hinde, S")</f>
        <v>Hinde, S</v>
      </c>
      <c r="K1333" s="25" t="str">
        <f ca="1">IFERROR(__xludf.DUMMYFUNCTION("""COMPUTED_VALUE"""),"Hinde, S")</f>
        <v>Hinde, S</v>
      </c>
      <c r="L1333" s="27" t="str">
        <f ca="1">IFERROR(__xludf.DUMMYFUNCTION("""COMPUTED_VALUE"""),"closed")</f>
        <v>closed</v>
      </c>
      <c r="M1333" s="27" t="str">
        <f ca="1">IFERROR(__xludf.DUMMYFUNCTION("""COMPUTED_VALUE"""),"1st U")</f>
        <v>1st U</v>
      </c>
      <c r="N1333" s="25" t="str">
        <f ca="1">IFERROR(__xludf.DUMMYFUNCTION("""COMPUTED_VALUE"""),"accepted")</f>
        <v>accepted</v>
      </c>
      <c r="O1333" s="28"/>
      <c r="P1333" s="40"/>
      <c r="Q1333" s="25"/>
      <c r="R1333" s="25"/>
      <c r="S1333" s="25"/>
      <c r="T1333" s="25"/>
      <c r="U1333" s="25"/>
      <c r="V1333" s="25"/>
      <c r="W1333" s="25"/>
      <c r="X1333" s="25"/>
      <c r="Y1333" s="25"/>
      <c r="Z1333" s="25"/>
      <c r="AA1333" s="25"/>
      <c r="AB1333" s="25"/>
      <c r="AC1333" s="25"/>
      <c r="AD1333" s="25"/>
      <c r="AE1333" s="25"/>
      <c r="AF1333" s="25"/>
      <c r="AG1333" s="25"/>
      <c r="AH1333" s="25"/>
      <c r="AI1333" s="25"/>
      <c r="AJ1333" s="25"/>
      <c r="AK1333" s="25"/>
      <c r="AL1333" s="25"/>
      <c r="AM1333" s="25"/>
      <c r="AN1333" s="25"/>
      <c r="AO1333" s="25"/>
      <c r="AP1333" s="25"/>
      <c r="AQ1333" s="25"/>
      <c r="AR1333" s="25"/>
      <c r="AS1333" s="25"/>
      <c r="AT1333" s="25"/>
      <c r="AU1333" s="25"/>
      <c r="AV1333" s="25"/>
      <c r="AW1333" s="25"/>
      <c r="AX1333" s="25"/>
      <c r="AY1333" s="25"/>
      <c r="AZ1333" s="25"/>
      <c r="BA1333" s="25"/>
      <c r="BB1333" s="25"/>
      <c r="BC1333" s="25"/>
      <c r="BD1333" s="25"/>
      <c r="BE1333" s="25"/>
      <c r="BF1333" s="25"/>
      <c r="BG1333" s="25"/>
      <c r="BH1333" s="25"/>
      <c r="BI1333" s="25"/>
      <c r="BJ1333" s="25"/>
      <c r="BK1333" s="25"/>
      <c r="BL1333" s="25"/>
      <c r="BM1333" s="25"/>
      <c r="BN1333" s="25"/>
      <c r="BO1333" s="25"/>
      <c r="BP1333" s="25"/>
      <c r="BQ1333" s="25"/>
      <c r="BR1333" s="25"/>
      <c r="BS1333" s="25"/>
      <c r="BT1333" s="25"/>
      <c r="BU1333" s="25"/>
      <c r="BV1333" s="25"/>
      <c r="BW1333" s="25"/>
      <c r="BX1333" s="25"/>
      <c r="BY1333" s="25"/>
      <c r="BZ1333" s="25"/>
      <c r="CA1333" s="25"/>
      <c r="CB1333" s="25"/>
    </row>
    <row r="1334" spans="1:80" ht="12.75" hidden="1" customHeight="1">
      <c r="A1334" s="10">
        <f ca="1">IFERROR(__xludf.DUMMYFUNCTION("""COMPUTED_VALUE"""),2018)</f>
        <v>2018</v>
      </c>
      <c r="B1334" s="50">
        <f ca="1">IFERROR(__xludf.DUMMYFUNCTION("""COMPUTED_VALUE"""),43132)</f>
        <v>43132</v>
      </c>
      <c r="C1334" s="41"/>
      <c r="D1334" s="42" t="str">
        <f ca="1">IFERROR(__xludf.DUMMYFUNCTION("""COMPUTED_VALUE"""),"Common Redpoll")</f>
        <v>Common Redpoll</v>
      </c>
      <c r="E1334" s="53">
        <f ca="1">IFERROR(__xludf.DUMMYFUNCTION("""COMPUTED_VALUE"""),1)</f>
        <v>1</v>
      </c>
      <c r="F1334" s="15" t="str">
        <f ca="1">IFERROR(__xludf.DUMMYFUNCTION("""COMPUTED_VALUE"""),"M")</f>
        <v>M</v>
      </c>
      <c r="G1334" s="44" t="str">
        <f ca="1">IFERROR(__xludf.DUMMYFUNCTION("""COMPUTED_VALUE"""),"No. 1 Bed, Woolston Eyes")</f>
        <v>No. 1 Bed, Woolston Eyes</v>
      </c>
      <c r="H1334" s="12">
        <f ca="1">IFERROR(__xludf.DUMMYFUNCTION("""COMPUTED_VALUE"""),43389)</f>
        <v>43389</v>
      </c>
      <c r="I1334" s="12">
        <f ca="1">IFERROR(__xludf.DUMMYFUNCTION("""COMPUTED_VALUE"""),42674)</f>
        <v>42674</v>
      </c>
      <c r="J1334" s="14" t="str">
        <f ca="1">IFERROR(__xludf.DUMMYFUNCTION("""COMPUTED_VALUE"""),"Merseyside Ringing Group")</f>
        <v>Merseyside Ringing Group</v>
      </c>
      <c r="K1334" s="15"/>
      <c r="L1334" s="17" t="str">
        <f ca="1">IFERROR(__xludf.DUMMYFUNCTION("""COMPUTED_VALUE"""),"closed")</f>
        <v>closed</v>
      </c>
      <c r="M1334" s="17" t="str">
        <f ca="1">IFERROR(__xludf.DUMMYFUNCTION("""COMPUTED_VALUE"""),"Proxy")</f>
        <v>Proxy</v>
      </c>
      <c r="N1334" s="15" t="str">
        <f ca="1">IFERROR(__xludf.DUMMYFUNCTION("""COMPUTED_VALUE"""),"accepted")</f>
        <v>accepted</v>
      </c>
      <c r="O1334" s="18" t="str">
        <f ca="1">IFERROR(__xludf.DUMMYFUNCTION("""COMPUTED_VALUE"""),"trapped")</f>
        <v>trapped</v>
      </c>
      <c r="P1334" s="58"/>
      <c r="Q1334" s="15"/>
      <c r="R1334" s="15"/>
      <c r="S1334" s="15"/>
      <c r="T1334" s="15"/>
      <c r="U1334" s="15"/>
      <c r="V1334" s="15"/>
      <c r="W1334" s="15"/>
      <c r="X1334" s="15"/>
      <c r="Y1334" s="15"/>
      <c r="Z1334" s="15"/>
      <c r="AA1334" s="15"/>
      <c r="AB1334" s="15"/>
      <c r="AC1334" s="15"/>
      <c r="AD1334" s="15"/>
      <c r="AE1334" s="15"/>
      <c r="AF1334" s="15"/>
      <c r="AG1334" s="15"/>
      <c r="AH1334" s="15"/>
      <c r="AI1334" s="15"/>
      <c r="AJ1334" s="15"/>
      <c r="AK1334" s="15"/>
      <c r="AL1334" s="15"/>
      <c r="AM1334" s="15"/>
      <c r="AN1334" s="15"/>
      <c r="AO1334" s="15"/>
      <c r="AP1334" s="15"/>
      <c r="AQ1334" s="15"/>
      <c r="AR1334" s="15"/>
      <c r="AS1334" s="15"/>
      <c r="AT1334" s="15"/>
      <c r="AU1334" s="15"/>
      <c r="AV1334" s="15"/>
      <c r="AW1334" s="15"/>
      <c r="AX1334" s="15"/>
      <c r="AY1334" s="15"/>
      <c r="AZ1334" s="15"/>
      <c r="BA1334" s="15"/>
      <c r="BB1334" s="15"/>
      <c r="BC1334" s="15"/>
      <c r="BD1334" s="15"/>
      <c r="BE1334" s="15"/>
      <c r="BF1334" s="15"/>
      <c r="BG1334" s="15"/>
      <c r="BH1334" s="15"/>
      <c r="BI1334" s="15"/>
      <c r="BJ1334" s="15"/>
      <c r="BK1334" s="15"/>
      <c r="BL1334" s="15"/>
      <c r="BM1334" s="15"/>
      <c r="BN1334" s="15"/>
      <c r="BO1334" s="15"/>
      <c r="BP1334" s="15"/>
      <c r="BQ1334" s="15"/>
      <c r="BR1334" s="15"/>
      <c r="BS1334" s="15"/>
      <c r="BT1334" s="15"/>
      <c r="BU1334" s="15"/>
      <c r="BV1334" s="15"/>
      <c r="BW1334" s="15"/>
      <c r="BX1334" s="15"/>
      <c r="BY1334" s="15"/>
      <c r="BZ1334" s="15"/>
      <c r="CA1334" s="15"/>
      <c r="CB1334" s="15"/>
    </row>
    <row r="1335" spans="1:80" ht="12.75" hidden="1" customHeight="1">
      <c r="A1335" s="20">
        <f ca="1">IFERROR(__xludf.DUMMYFUNCTION("""COMPUTED_VALUE"""),2018)</f>
        <v>2018</v>
      </c>
      <c r="B1335" s="45">
        <f ca="1">IFERROR(__xludf.DUMMYFUNCTION("""COMPUTED_VALUE"""),43949)</f>
        <v>43949</v>
      </c>
      <c r="C1335" s="46">
        <f ca="1">IFERROR(__xludf.DUMMYFUNCTION("""COMPUTED_VALUE"""),43867)</f>
        <v>43867</v>
      </c>
      <c r="D1335" s="47" t="str">
        <f ca="1">IFERROR(__xludf.DUMMYFUNCTION("""COMPUTED_VALUE"""),"Water Pipit")</f>
        <v>Water Pipit</v>
      </c>
      <c r="E1335" s="52">
        <f ca="1">IFERROR(__xludf.DUMMYFUNCTION("""COMPUTED_VALUE"""),43891)</f>
        <v>43891</v>
      </c>
      <c r="F1335" s="25"/>
      <c r="G1335" s="48" t="str">
        <f ca="1">IFERROR(__xludf.DUMMYFUNCTION("""COMPUTED_VALUE"""),"Hale")</f>
        <v>Hale</v>
      </c>
      <c r="H1335" s="22">
        <f ca="1">IFERROR(__xludf.DUMMYFUNCTION("""COMPUTED_VALUE"""),43130)</f>
        <v>43130</v>
      </c>
      <c r="I1335" s="22">
        <f ca="1">IFERROR(__xludf.DUMMYFUNCTION("""COMPUTED_VALUE"""),43200)</f>
        <v>43200</v>
      </c>
      <c r="J1335" s="24" t="str">
        <f ca="1">IFERROR(__xludf.DUMMYFUNCTION("""COMPUTED_VALUE"""),"Cockbain, Rob &amp; Carol")</f>
        <v>Cockbain, Rob &amp; Carol</v>
      </c>
      <c r="K1335" s="25" t="str">
        <f ca="1">IFERROR(__xludf.DUMMYFUNCTION("""COMPUTED_VALUE"""),"Cockbain, Rob &amp; Carol")</f>
        <v>Cockbain, Rob &amp; Carol</v>
      </c>
      <c r="L1335" s="27" t="str">
        <f ca="1">IFERROR(__xludf.DUMMYFUNCTION("""COMPUTED_VALUE"""),"closed")</f>
        <v>closed</v>
      </c>
      <c r="M1335" s="27" t="str">
        <f ca="1">IFERROR(__xludf.DUMMYFUNCTION("""COMPUTED_VALUE"""),"1st U")</f>
        <v>1st U</v>
      </c>
      <c r="N1335" s="25" t="str">
        <f ca="1">IFERROR(__xludf.DUMMYFUNCTION("""COMPUTED_VALUE"""),"accepted")</f>
        <v>accepted</v>
      </c>
      <c r="O1335" s="28"/>
      <c r="P1335" s="40"/>
      <c r="Q1335" s="25"/>
      <c r="R1335" s="25"/>
      <c r="S1335" s="25"/>
      <c r="T1335" s="25"/>
      <c r="U1335" s="25"/>
      <c r="V1335" s="25"/>
      <c r="W1335" s="25"/>
      <c r="X1335" s="25"/>
      <c r="Y1335" s="25"/>
      <c r="Z1335" s="25"/>
      <c r="AA1335" s="25"/>
      <c r="AB1335" s="25"/>
      <c r="AC1335" s="25"/>
      <c r="AD1335" s="25"/>
      <c r="AE1335" s="25"/>
      <c r="AF1335" s="25"/>
      <c r="AG1335" s="25"/>
      <c r="AH1335" s="25"/>
      <c r="AI1335" s="25"/>
      <c r="AJ1335" s="25"/>
      <c r="AK1335" s="25"/>
      <c r="AL1335" s="25"/>
      <c r="AM1335" s="25"/>
      <c r="AN1335" s="25"/>
      <c r="AO1335" s="25"/>
      <c r="AP1335" s="25"/>
      <c r="AQ1335" s="25"/>
      <c r="AR1335" s="25"/>
      <c r="AS1335" s="25"/>
      <c r="AT1335" s="25"/>
      <c r="AU1335" s="25"/>
      <c r="AV1335" s="25"/>
      <c r="AW1335" s="25"/>
      <c r="AX1335" s="25"/>
      <c r="AY1335" s="25"/>
      <c r="AZ1335" s="25"/>
      <c r="BA1335" s="25"/>
      <c r="BB1335" s="25"/>
      <c r="BC1335" s="25"/>
      <c r="BD1335" s="25"/>
      <c r="BE1335" s="25"/>
      <c r="BF1335" s="25"/>
      <c r="BG1335" s="25"/>
      <c r="BH1335" s="25"/>
      <c r="BI1335" s="25"/>
      <c r="BJ1335" s="25"/>
      <c r="BK1335" s="25"/>
      <c r="BL1335" s="25"/>
      <c r="BM1335" s="25"/>
      <c r="BN1335" s="25"/>
      <c r="BO1335" s="25"/>
      <c r="BP1335" s="25"/>
      <c r="BQ1335" s="25"/>
      <c r="BR1335" s="25"/>
      <c r="BS1335" s="25"/>
      <c r="BT1335" s="25"/>
      <c r="BU1335" s="25"/>
      <c r="BV1335" s="25"/>
      <c r="BW1335" s="25"/>
      <c r="BX1335" s="25"/>
      <c r="BY1335" s="25"/>
      <c r="BZ1335" s="25"/>
      <c r="CA1335" s="25"/>
      <c r="CB1335" s="25"/>
    </row>
    <row r="1336" spans="1:80" ht="12.75" hidden="1" customHeight="1">
      <c r="A1336" s="10">
        <f ca="1">IFERROR(__xludf.DUMMYFUNCTION("""COMPUTED_VALUE"""),2018)</f>
        <v>2018</v>
      </c>
      <c r="B1336" s="50">
        <f ca="1">IFERROR(__xludf.DUMMYFUNCTION("""COMPUTED_VALUE"""),43949)</f>
        <v>43949</v>
      </c>
      <c r="C1336" s="41">
        <f ca="1">IFERROR(__xludf.DUMMYFUNCTION("""COMPUTED_VALUE"""),43867)</f>
        <v>43867</v>
      </c>
      <c r="D1336" s="42" t="str">
        <f ca="1">IFERROR(__xludf.DUMMYFUNCTION("""COMPUTED_VALUE"""),"Water Pipit")</f>
        <v>Water Pipit</v>
      </c>
      <c r="E1336" s="53">
        <f ca="1">IFERROR(__xludf.DUMMYFUNCTION("""COMPUTED_VALUE"""),43952)</f>
        <v>43952</v>
      </c>
      <c r="F1336" s="15"/>
      <c r="G1336" s="44" t="str">
        <f ca="1">IFERROR(__xludf.DUMMYFUNCTION("""COMPUTED_VALUE"""),"Hale")</f>
        <v>Hale</v>
      </c>
      <c r="H1336" s="12">
        <f ca="1">IFERROR(__xludf.DUMMYFUNCTION("""COMPUTED_VALUE"""),43396)</f>
        <v>43396</v>
      </c>
      <c r="I1336" s="12">
        <f ca="1">IFERROR(__xludf.DUMMYFUNCTION("""COMPUTED_VALUE"""),43459)</f>
        <v>43459</v>
      </c>
      <c r="J1336" s="14" t="str">
        <f ca="1">IFERROR(__xludf.DUMMYFUNCTION("""COMPUTED_VALUE"""),"Cockbain, Rob &amp; Carol")</f>
        <v>Cockbain, Rob &amp; Carol</v>
      </c>
      <c r="K1336" s="15" t="str">
        <f ca="1">IFERROR(__xludf.DUMMYFUNCTION("""COMPUTED_VALUE"""),"Cockbain, Rob &amp; Carol")</f>
        <v>Cockbain, Rob &amp; Carol</v>
      </c>
      <c r="L1336" s="17" t="str">
        <f ca="1">IFERROR(__xludf.DUMMYFUNCTION("""COMPUTED_VALUE"""),"closed")</f>
        <v>closed</v>
      </c>
      <c r="M1336" s="17" t="str">
        <f ca="1">IFERROR(__xludf.DUMMYFUNCTION("""COMPUTED_VALUE"""),"1st U")</f>
        <v>1st U</v>
      </c>
      <c r="N1336" s="15" t="str">
        <f ca="1">IFERROR(__xludf.DUMMYFUNCTION("""COMPUTED_VALUE"""),"accepted")</f>
        <v>accepted</v>
      </c>
      <c r="O1336" s="18"/>
      <c r="P1336" s="58"/>
      <c r="Q1336" s="15"/>
      <c r="R1336" s="15"/>
      <c r="S1336" s="15"/>
      <c r="T1336" s="15"/>
      <c r="U1336" s="15"/>
      <c r="V1336" s="15"/>
      <c r="W1336" s="15"/>
      <c r="X1336" s="15"/>
      <c r="Y1336" s="15"/>
      <c r="Z1336" s="15"/>
      <c r="AA1336" s="15"/>
      <c r="AB1336" s="15"/>
      <c r="AC1336" s="15"/>
      <c r="AD1336" s="15"/>
      <c r="AE1336" s="15"/>
      <c r="AF1336" s="15"/>
      <c r="AG1336" s="15"/>
      <c r="AH1336" s="15"/>
      <c r="AI1336" s="15"/>
      <c r="AJ1336" s="15"/>
      <c r="AK1336" s="15"/>
      <c r="AL1336" s="15"/>
      <c r="AM1336" s="15"/>
      <c r="AN1336" s="15"/>
      <c r="AO1336" s="15"/>
      <c r="AP1336" s="15"/>
      <c r="AQ1336" s="15"/>
      <c r="AR1336" s="15"/>
      <c r="AS1336" s="15"/>
      <c r="AT1336" s="15"/>
      <c r="AU1336" s="15"/>
      <c r="AV1336" s="15"/>
      <c r="AW1336" s="15"/>
      <c r="AX1336" s="15"/>
      <c r="AY1336" s="15"/>
      <c r="AZ1336" s="15"/>
      <c r="BA1336" s="15"/>
      <c r="BB1336" s="15"/>
      <c r="BC1336" s="15"/>
      <c r="BD1336" s="15"/>
      <c r="BE1336" s="15"/>
      <c r="BF1336" s="15"/>
      <c r="BG1336" s="15"/>
      <c r="BH1336" s="15"/>
      <c r="BI1336" s="15"/>
      <c r="BJ1336" s="15"/>
      <c r="BK1336" s="15"/>
      <c r="BL1336" s="15"/>
      <c r="BM1336" s="15"/>
      <c r="BN1336" s="15"/>
      <c r="BO1336" s="15"/>
      <c r="BP1336" s="15"/>
      <c r="BQ1336" s="15"/>
      <c r="BR1336" s="15"/>
      <c r="BS1336" s="15"/>
      <c r="BT1336" s="15"/>
      <c r="BU1336" s="15"/>
      <c r="BV1336" s="15"/>
      <c r="BW1336" s="15"/>
      <c r="BX1336" s="15"/>
      <c r="BY1336" s="15"/>
      <c r="BZ1336" s="15"/>
      <c r="CA1336" s="15"/>
      <c r="CB1336" s="15"/>
    </row>
    <row r="1337" spans="1:80" ht="12.75" hidden="1" customHeight="1">
      <c r="A1337" s="20">
        <f ca="1">IFERROR(__xludf.DUMMYFUNCTION("""COMPUTED_VALUE"""),2018)</f>
        <v>2018</v>
      </c>
      <c r="B1337" s="45">
        <f ca="1">IFERROR(__xludf.DUMMYFUNCTION("""COMPUTED_VALUE"""),43947)</f>
        <v>43947</v>
      </c>
      <c r="C1337" s="46">
        <f ca="1">IFERROR(__xludf.DUMMYFUNCTION("""COMPUTED_VALUE"""),43864)</f>
        <v>43864</v>
      </c>
      <c r="D1337" s="47" t="str">
        <f ca="1">IFERROR(__xludf.DUMMYFUNCTION("""COMPUTED_VALUE"""),"Spotted Crake")</f>
        <v>Spotted Crake</v>
      </c>
      <c r="E1337" s="52">
        <f ca="1">IFERROR(__xludf.DUMMYFUNCTION("""COMPUTED_VALUE"""),1)</f>
        <v>1</v>
      </c>
      <c r="F1337" s="25"/>
      <c r="G1337" s="71" t="str">
        <f ca="1">IFERROR(__xludf.DUMMYFUNCTION("""COMPUTED_VALUE"""),"Burton Mere Wetlands RSPB")</f>
        <v>Burton Mere Wetlands RSPB</v>
      </c>
      <c r="H1337" s="22">
        <f ca="1">IFERROR(__xludf.DUMMYFUNCTION("""COMPUTED_VALUE"""),43303)</f>
        <v>43303</v>
      </c>
      <c r="I1337" s="22">
        <f ca="1">IFERROR(__xludf.DUMMYFUNCTION("""COMPUTED_VALUE"""),43360)</f>
        <v>43360</v>
      </c>
      <c r="J1337" s="73" t="str">
        <f ca="1">IFERROR(__xludf.DUMMYFUNCTION("""COMPUTED_VALUE"""),"Williams, E")</f>
        <v>Williams, E</v>
      </c>
      <c r="K1337" s="40" t="str">
        <f ca="1">IFERROR(__xludf.DUMMYFUNCTION("""COMPUTED_VALUE"""),"Williams, E")</f>
        <v>Williams, E</v>
      </c>
      <c r="L1337" s="27" t="str">
        <f ca="1">IFERROR(__xludf.DUMMYFUNCTION("""COMPUTED_VALUE"""),"closed")</f>
        <v>closed</v>
      </c>
      <c r="M1337" s="27" t="str">
        <f ca="1">IFERROR(__xludf.DUMMYFUNCTION("""COMPUTED_VALUE"""),"1st U")</f>
        <v>1st U</v>
      </c>
      <c r="N1337" s="40" t="str">
        <f ca="1">IFERROR(__xludf.DUMMYFUNCTION("""COMPUTED_VALUE"""),"accepted")</f>
        <v>accepted</v>
      </c>
      <c r="O1337" s="74"/>
      <c r="P1337" s="40"/>
      <c r="Q1337" s="25"/>
      <c r="R1337" s="25"/>
      <c r="S1337" s="25"/>
      <c r="T1337" s="25"/>
      <c r="U1337" s="25"/>
      <c r="V1337" s="25"/>
      <c r="W1337" s="25"/>
      <c r="X1337" s="25"/>
      <c r="Y1337" s="25"/>
      <c r="Z1337" s="25"/>
      <c r="AA1337" s="25"/>
      <c r="AB1337" s="25"/>
      <c r="AC1337" s="25"/>
      <c r="AD1337" s="25"/>
      <c r="AE1337" s="25"/>
      <c r="AF1337" s="25"/>
      <c r="AG1337" s="25"/>
      <c r="AH1337" s="25"/>
      <c r="AI1337" s="25"/>
      <c r="AJ1337" s="25"/>
      <c r="AK1337" s="25"/>
      <c r="AL1337" s="25"/>
      <c r="AM1337" s="25"/>
      <c r="AN1337" s="25"/>
      <c r="AO1337" s="25"/>
      <c r="AP1337" s="25"/>
      <c r="AQ1337" s="25"/>
      <c r="AR1337" s="25"/>
      <c r="AS1337" s="25"/>
      <c r="AT1337" s="25"/>
      <c r="AU1337" s="25"/>
      <c r="AV1337" s="25"/>
      <c r="AW1337" s="25"/>
      <c r="AX1337" s="25"/>
      <c r="AY1337" s="25"/>
      <c r="AZ1337" s="25"/>
      <c r="BA1337" s="25"/>
      <c r="BB1337" s="25"/>
      <c r="BC1337" s="25"/>
      <c r="BD1337" s="25"/>
      <c r="BE1337" s="25"/>
      <c r="BF1337" s="25"/>
      <c r="BG1337" s="25"/>
      <c r="BH1337" s="25"/>
      <c r="BI1337" s="25"/>
      <c r="BJ1337" s="25"/>
      <c r="BK1337" s="25"/>
      <c r="BL1337" s="25"/>
      <c r="BM1337" s="25"/>
      <c r="BN1337" s="25"/>
      <c r="BO1337" s="25"/>
      <c r="BP1337" s="25"/>
      <c r="BQ1337" s="25"/>
      <c r="BR1337" s="25"/>
      <c r="BS1337" s="25"/>
      <c r="BT1337" s="25"/>
      <c r="BU1337" s="25"/>
      <c r="BV1337" s="25"/>
      <c r="BW1337" s="25"/>
      <c r="BX1337" s="25"/>
      <c r="BY1337" s="25"/>
      <c r="BZ1337" s="25"/>
      <c r="CA1337" s="25"/>
      <c r="CB1337" s="25"/>
    </row>
    <row r="1338" spans="1:80" ht="12.75" hidden="1" customHeight="1">
      <c r="A1338" s="10">
        <f ca="1">IFERROR(__xludf.DUMMYFUNCTION("""COMPUTED_VALUE"""),2018)</f>
        <v>2018</v>
      </c>
      <c r="B1338" s="50">
        <f ca="1">IFERROR(__xludf.DUMMYFUNCTION("""COMPUTED_VALUE"""),43796)</f>
        <v>43796</v>
      </c>
      <c r="C1338" s="41"/>
      <c r="D1338" s="42" t="str">
        <f ca="1">IFERROR(__xludf.DUMMYFUNCTION("""COMPUTED_VALUE"""),"Red-necked Grebe")</f>
        <v>Red-necked Grebe</v>
      </c>
      <c r="E1338" s="53">
        <f ca="1">IFERROR(__xludf.DUMMYFUNCTION("""COMPUTED_VALUE"""),1)</f>
        <v>1</v>
      </c>
      <c r="F1338" s="15"/>
      <c r="G1338" s="44" t="str">
        <f ca="1">IFERROR(__xludf.DUMMYFUNCTION("""COMPUTED_VALUE"""),"West Kirby Marine Lake")</f>
        <v>West Kirby Marine Lake</v>
      </c>
      <c r="H1338" s="12">
        <f ca="1">IFERROR(__xludf.DUMMYFUNCTION("""COMPUTED_VALUE"""),43433)</f>
        <v>43433</v>
      </c>
      <c r="I1338" s="12">
        <f ca="1">IFERROR(__xludf.DUMMYFUNCTION("""COMPUTED_VALUE"""),43433)</f>
        <v>43433</v>
      </c>
      <c r="J1338" s="14" t="str">
        <f ca="1">IFERROR(__xludf.DUMMYFUNCTION("""COMPUTED_VALUE"""),"Birdguides")</f>
        <v>Birdguides</v>
      </c>
      <c r="K1338" s="15"/>
      <c r="L1338" s="17" t="str">
        <f ca="1">IFERROR(__xludf.DUMMYFUNCTION("""COMPUTED_VALUE"""),"closed")</f>
        <v>closed</v>
      </c>
      <c r="M1338" s="17" t="str">
        <f ca="1">IFERROR(__xludf.DUMMYFUNCTION("""COMPUTED_VALUE"""),"1st U")</f>
        <v>1st U</v>
      </c>
      <c r="N1338" s="15" t="str">
        <f ca="1">IFERROR(__xludf.DUMMYFUNCTION("""COMPUTED_VALUE"""),"unproven")</f>
        <v>unproven</v>
      </c>
      <c r="O1338" s="18" t="str">
        <f ca="1">IFERROR(__xludf.DUMMYFUNCTION("""COMPUTED_VALUE"""),"This bird was a little grebe in photos")</f>
        <v>This bird was a little grebe in photos</v>
      </c>
      <c r="P1338" s="15"/>
      <c r="Q1338" s="15"/>
      <c r="R1338" s="15"/>
      <c r="S1338" s="15"/>
      <c r="T1338" s="15"/>
      <c r="U1338" s="15"/>
      <c r="V1338" s="15"/>
      <c r="W1338" s="15"/>
      <c r="X1338" s="15"/>
      <c r="Y1338" s="15"/>
      <c r="Z1338" s="15"/>
      <c r="AA1338" s="15"/>
      <c r="AB1338" s="15"/>
      <c r="AC1338" s="15"/>
      <c r="AD1338" s="15"/>
      <c r="AE1338" s="15"/>
      <c r="AF1338" s="15"/>
      <c r="AG1338" s="15"/>
      <c r="AH1338" s="15"/>
      <c r="AI1338" s="15"/>
      <c r="AJ1338" s="15"/>
      <c r="AK1338" s="15"/>
      <c r="AL1338" s="15"/>
      <c r="AM1338" s="15"/>
      <c r="AN1338" s="15"/>
      <c r="AO1338" s="15"/>
      <c r="AP1338" s="15"/>
      <c r="AQ1338" s="15"/>
      <c r="AR1338" s="15"/>
      <c r="AS1338" s="15"/>
      <c r="AT1338" s="15"/>
      <c r="AU1338" s="15"/>
      <c r="AV1338" s="15"/>
      <c r="AW1338" s="15"/>
      <c r="AX1338" s="15"/>
      <c r="AY1338" s="15"/>
      <c r="AZ1338" s="15"/>
      <c r="BA1338" s="15"/>
      <c r="BB1338" s="15"/>
      <c r="BC1338" s="15"/>
      <c r="BD1338" s="15"/>
      <c r="BE1338" s="15"/>
      <c r="BF1338" s="15"/>
      <c r="BG1338" s="15"/>
      <c r="BH1338" s="15"/>
      <c r="BI1338" s="15"/>
      <c r="BJ1338" s="15"/>
      <c r="BK1338" s="15"/>
      <c r="BL1338" s="15"/>
      <c r="BM1338" s="15"/>
      <c r="BN1338" s="15"/>
      <c r="BO1338" s="15"/>
      <c r="BP1338" s="15"/>
      <c r="BQ1338" s="15"/>
      <c r="BR1338" s="15"/>
      <c r="BS1338" s="15"/>
      <c r="BT1338" s="15"/>
      <c r="BU1338" s="15"/>
      <c r="BV1338" s="15"/>
      <c r="BW1338" s="15"/>
      <c r="BX1338" s="15"/>
      <c r="BY1338" s="15"/>
      <c r="BZ1338" s="15"/>
      <c r="CA1338" s="15"/>
      <c r="CB1338" s="15"/>
    </row>
    <row r="1339" spans="1:80" ht="12.75" hidden="1" customHeight="1">
      <c r="A1339" s="20">
        <f ca="1">IFERROR(__xludf.DUMMYFUNCTION("""COMPUTED_VALUE"""),2018)</f>
        <v>2018</v>
      </c>
      <c r="B1339" s="45">
        <f ca="1">IFERROR(__xludf.DUMMYFUNCTION("""COMPUTED_VALUE"""),44568)</f>
        <v>44568</v>
      </c>
      <c r="C1339" s="46"/>
      <c r="D1339" s="47" t="str">
        <f ca="1">IFERROR(__xludf.DUMMYFUNCTION("""COMPUTED_VALUE"""),"Bonaparte's Gull")</f>
        <v>Bonaparte's Gull</v>
      </c>
      <c r="E1339" s="52">
        <f ca="1">IFERROR(__xludf.DUMMYFUNCTION("""COMPUTED_VALUE"""),1)</f>
        <v>1</v>
      </c>
      <c r="F1339" s="25" t="str">
        <f ca="1">IFERROR(__xludf.DUMMYFUNCTION("""COMPUTED_VALUE"""),"3rdCY")</f>
        <v>3rdCY</v>
      </c>
      <c r="G1339" s="48" t="str">
        <f ca="1">IFERROR(__xludf.DUMMYFUNCTION("""COMPUTED_VALUE"""),"Hoylake and Hilbre")</f>
        <v>Hoylake and Hilbre</v>
      </c>
      <c r="H1339" s="22">
        <f ca="1">IFERROR(__xludf.DUMMYFUNCTION("""COMPUTED_VALUE"""),43324)</f>
        <v>43324</v>
      </c>
      <c r="I1339" s="22">
        <f ca="1">IFERROR(__xludf.DUMMYFUNCTION("""COMPUTED_VALUE"""),43341)</f>
        <v>43341</v>
      </c>
      <c r="J1339" s="24"/>
      <c r="K1339" s="25"/>
      <c r="L1339" s="27" t="str">
        <f ca="1">IFERROR(__xludf.DUMMYFUNCTION("""COMPUTED_VALUE"""),"closed")</f>
        <v>closed</v>
      </c>
      <c r="M1339" s="27"/>
      <c r="N1339" s="25" t="str">
        <f ca="1">IFERROR(__xludf.DUMMYFUNCTION("""COMPUTED_VALUE"""),"BBRC-OK")</f>
        <v>BBRC-OK</v>
      </c>
      <c r="O1339" s="28" t="str">
        <f ca="1">IFERROR(__xludf.DUMMYFUNCTION("""COMPUTED_VALUE"""),"Hoylake and Hilbre Island, 3CY+, 12-29 August, photo")</f>
        <v>Hoylake and Hilbre Island, 3CY+, 12-29 August, photo</v>
      </c>
      <c r="P1339" s="25"/>
      <c r="Q1339" s="25"/>
      <c r="R1339" s="25"/>
      <c r="S1339" s="25"/>
      <c r="T1339" s="25"/>
      <c r="U1339" s="25"/>
      <c r="V1339" s="25"/>
      <c r="W1339" s="25"/>
      <c r="X1339" s="25"/>
      <c r="Y1339" s="25"/>
      <c r="Z1339" s="25"/>
      <c r="AA1339" s="25"/>
      <c r="AB1339" s="25"/>
      <c r="AC1339" s="25"/>
      <c r="AD1339" s="25"/>
      <c r="AE1339" s="25"/>
      <c r="AF1339" s="25"/>
      <c r="AG1339" s="25"/>
      <c r="AH1339" s="25"/>
      <c r="AI1339" s="25"/>
      <c r="AJ1339" s="25"/>
      <c r="AK1339" s="25"/>
      <c r="AL1339" s="25"/>
      <c r="AM1339" s="25"/>
      <c r="AN1339" s="25"/>
      <c r="AO1339" s="25"/>
      <c r="AP1339" s="25"/>
      <c r="AQ1339" s="25"/>
      <c r="AR1339" s="25"/>
      <c r="AS1339" s="25"/>
      <c r="AT1339" s="25"/>
      <c r="AU1339" s="25"/>
      <c r="AV1339" s="25"/>
      <c r="AW1339" s="25"/>
      <c r="AX1339" s="25"/>
      <c r="AY1339" s="25"/>
      <c r="AZ1339" s="25"/>
      <c r="BA1339" s="25"/>
      <c r="BB1339" s="25"/>
      <c r="BC1339" s="25"/>
      <c r="BD1339" s="25"/>
      <c r="BE1339" s="25"/>
      <c r="BF1339" s="25"/>
      <c r="BG1339" s="25"/>
      <c r="BH1339" s="25"/>
      <c r="BI1339" s="25"/>
      <c r="BJ1339" s="25"/>
      <c r="BK1339" s="25"/>
      <c r="BL1339" s="25"/>
      <c r="BM1339" s="25"/>
      <c r="BN1339" s="25"/>
      <c r="BO1339" s="25"/>
      <c r="BP1339" s="25"/>
      <c r="BQ1339" s="25"/>
      <c r="BR1339" s="25"/>
      <c r="BS1339" s="25"/>
      <c r="BT1339" s="25"/>
      <c r="BU1339" s="25"/>
      <c r="BV1339" s="25"/>
      <c r="BW1339" s="25"/>
      <c r="BX1339" s="25"/>
      <c r="BY1339" s="25"/>
      <c r="BZ1339" s="25"/>
      <c r="CA1339" s="25"/>
      <c r="CB1339" s="25"/>
    </row>
    <row r="1340" spans="1:80" ht="12.75" hidden="1" customHeight="1">
      <c r="A1340" s="10">
        <f ca="1">IFERROR(__xludf.DUMMYFUNCTION("""COMPUTED_VALUE"""),2018)</f>
        <v>2018</v>
      </c>
      <c r="B1340" s="50">
        <f ca="1">IFERROR(__xludf.DUMMYFUNCTION("""COMPUTED_VALUE"""),43955)</f>
        <v>43955</v>
      </c>
      <c r="C1340" s="41">
        <f ca="1">IFERROR(__xludf.DUMMYFUNCTION("""COMPUTED_VALUE"""),43896)</f>
        <v>43896</v>
      </c>
      <c r="D1340" s="42" t="str">
        <f ca="1">IFERROR(__xludf.DUMMYFUNCTION("""COMPUTED_VALUE"""),"Kumlien's Gull")</f>
        <v>Kumlien's Gull</v>
      </c>
      <c r="E1340" s="53">
        <f ca="1">IFERROR(__xludf.DUMMYFUNCTION("""COMPUTED_VALUE"""),1)</f>
        <v>1</v>
      </c>
      <c r="F1340" s="15" t="str">
        <f ca="1">IFERROR(__xludf.DUMMYFUNCTION("""COMPUTED_VALUE"""),"1st w")</f>
        <v>1st w</v>
      </c>
      <c r="G1340" s="44" t="str">
        <f ca="1">IFERROR(__xludf.DUMMYFUNCTION("""COMPUTED_VALUE"""),"Sandbach Flashes")</f>
        <v>Sandbach Flashes</v>
      </c>
      <c r="H1340" s="12">
        <f ca="1">IFERROR(__xludf.DUMMYFUNCTION("""COMPUTED_VALUE"""),43125)</f>
        <v>43125</v>
      </c>
      <c r="I1340" s="12">
        <f ca="1">IFERROR(__xludf.DUMMYFUNCTION("""COMPUTED_VALUE"""),43142)</f>
        <v>43142</v>
      </c>
      <c r="J1340" s="14" t="str">
        <f ca="1">IFERROR(__xludf.DUMMYFUNCTION("""COMPUTED_VALUE"""),"Goodwin, A")</f>
        <v>Goodwin, A</v>
      </c>
      <c r="K1340" s="15" t="str">
        <f ca="1">IFERROR(__xludf.DUMMYFUNCTION("""COMPUTED_VALUE"""),"Goodwin, A")</f>
        <v>Goodwin, A</v>
      </c>
      <c r="L1340" s="17" t="str">
        <f ca="1">IFERROR(__xludf.DUMMYFUNCTION("""COMPUTED_VALUE"""),"closed")</f>
        <v>closed</v>
      </c>
      <c r="M1340" s="17" t="str">
        <f ca="1">IFERROR(__xludf.DUMMYFUNCTION("""COMPUTED_VALUE"""),"1st U")</f>
        <v>1st U</v>
      </c>
      <c r="N1340" s="15" t="str">
        <f ca="1">IFERROR(__xludf.DUMMYFUNCTION("""COMPUTED_VALUE"""),"accepted")</f>
        <v>accepted</v>
      </c>
      <c r="O1340" s="18"/>
      <c r="P1340" s="15"/>
      <c r="Q1340" s="15"/>
      <c r="R1340" s="15"/>
      <c r="S1340" s="15"/>
      <c r="T1340" s="15"/>
      <c r="U1340" s="15"/>
      <c r="V1340" s="15"/>
      <c r="W1340" s="15"/>
      <c r="X1340" s="15"/>
      <c r="Y1340" s="15"/>
      <c r="Z1340" s="15"/>
      <c r="AA1340" s="15"/>
      <c r="AB1340" s="15"/>
      <c r="AC1340" s="15"/>
      <c r="AD1340" s="15"/>
      <c r="AE1340" s="15"/>
      <c r="AF1340" s="15"/>
      <c r="AG1340" s="15"/>
      <c r="AH1340" s="15"/>
      <c r="AI1340" s="15"/>
      <c r="AJ1340" s="15"/>
      <c r="AK1340" s="15"/>
      <c r="AL1340" s="15"/>
      <c r="AM1340" s="15"/>
      <c r="AN1340" s="15"/>
      <c r="AO1340" s="15"/>
      <c r="AP1340" s="15"/>
      <c r="AQ1340" s="15"/>
      <c r="AR1340" s="15"/>
      <c r="AS1340" s="15"/>
      <c r="AT1340" s="15"/>
      <c r="AU1340" s="15"/>
      <c r="AV1340" s="15"/>
      <c r="AW1340" s="15"/>
      <c r="AX1340" s="15"/>
      <c r="AY1340" s="15"/>
      <c r="AZ1340" s="15"/>
      <c r="BA1340" s="15"/>
      <c r="BB1340" s="15"/>
      <c r="BC1340" s="15"/>
      <c r="BD1340" s="15"/>
      <c r="BE1340" s="15"/>
      <c r="BF1340" s="15"/>
      <c r="BG1340" s="15"/>
      <c r="BH1340" s="15"/>
      <c r="BI1340" s="15"/>
      <c r="BJ1340" s="15"/>
      <c r="BK1340" s="15"/>
      <c r="BL1340" s="15"/>
      <c r="BM1340" s="15"/>
      <c r="BN1340" s="15"/>
      <c r="BO1340" s="15"/>
      <c r="BP1340" s="15"/>
      <c r="BQ1340" s="15"/>
      <c r="BR1340" s="15"/>
      <c r="BS1340" s="15"/>
      <c r="BT1340" s="15"/>
      <c r="BU1340" s="15"/>
      <c r="BV1340" s="15"/>
      <c r="BW1340" s="15"/>
      <c r="BX1340" s="15"/>
      <c r="BY1340" s="15"/>
      <c r="BZ1340" s="15"/>
      <c r="CA1340" s="15"/>
      <c r="CB1340" s="15"/>
    </row>
    <row r="1341" spans="1:80" ht="12.75" hidden="1" customHeight="1">
      <c r="A1341" s="20">
        <f ca="1">IFERROR(__xludf.DUMMYFUNCTION("""COMPUTED_VALUE"""),2018)</f>
        <v>2018</v>
      </c>
      <c r="B1341" s="45">
        <f ca="1">IFERROR(__xludf.DUMMYFUNCTION("""COMPUTED_VALUE"""),43955)</f>
        <v>43955</v>
      </c>
      <c r="C1341" s="46">
        <f ca="1">IFERROR(__xludf.DUMMYFUNCTION("""COMPUTED_VALUE"""),43903)</f>
        <v>43903</v>
      </c>
      <c r="D1341" s="47" t="str">
        <f ca="1">IFERROR(__xludf.DUMMYFUNCTION("""COMPUTED_VALUE"""),"Kumlien's Gull")</f>
        <v>Kumlien's Gull</v>
      </c>
      <c r="E1341" s="52">
        <f ca="1">IFERROR(__xludf.DUMMYFUNCTION("""COMPUTED_VALUE"""),1)</f>
        <v>1</v>
      </c>
      <c r="F1341" s="25" t="str">
        <f ca="1">IFERROR(__xludf.DUMMYFUNCTION("""COMPUTED_VALUE"""),"1st w")</f>
        <v>1st w</v>
      </c>
      <c r="G1341" s="48" t="str">
        <f ca="1">IFERROR(__xludf.DUMMYFUNCTION("""COMPUTED_VALUE"""),"Sandbach Flashes")</f>
        <v>Sandbach Flashes</v>
      </c>
      <c r="H1341" s="22">
        <f ca="1">IFERROR(__xludf.DUMMYFUNCTION("""COMPUTED_VALUE"""),43142)</f>
        <v>43142</v>
      </c>
      <c r="I1341" s="22">
        <f ca="1">IFERROR(__xludf.DUMMYFUNCTION("""COMPUTED_VALUE"""),43142)</f>
        <v>43142</v>
      </c>
      <c r="J1341" s="24" t="str">
        <f ca="1">IFERROR(__xludf.DUMMYFUNCTION("""COMPUTED_VALUE"""),"Black, Rob")</f>
        <v>Black, Rob</v>
      </c>
      <c r="K1341" s="25" t="str">
        <f ca="1">IFERROR(__xludf.DUMMYFUNCTION("""COMPUTED_VALUE"""),"Black, Rob")</f>
        <v>Black, Rob</v>
      </c>
      <c r="L1341" s="27" t="str">
        <f ca="1">IFERROR(__xludf.DUMMYFUNCTION("""COMPUTED_VALUE"""),"closed")</f>
        <v>closed</v>
      </c>
      <c r="M1341" s="27" t="str">
        <f ca="1">IFERROR(__xludf.DUMMYFUNCTION("""COMPUTED_VALUE"""),"1st U")</f>
        <v>1st U</v>
      </c>
      <c r="N1341" s="25" t="str">
        <f ca="1">IFERROR(__xludf.DUMMYFUNCTION("""COMPUTED_VALUE"""),"accepted")</f>
        <v>accepted</v>
      </c>
      <c r="O1341" s="28"/>
      <c r="P1341" s="25"/>
      <c r="Q1341" s="25"/>
      <c r="R1341" s="25"/>
      <c r="S1341" s="25"/>
      <c r="T1341" s="25"/>
      <c r="U1341" s="25"/>
      <c r="V1341" s="25"/>
      <c r="W1341" s="25"/>
      <c r="X1341" s="25"/>
      <c r="Y1341" s="25"/>
      <c r="Z1341" s="25"/>
      <c r="AA1341" s="25"/>
      <c r="AB1341" s="25"/>
      <c r="AC1341" s="25"/>
      <c r="AD1341" s="25"/>
      <c r="AE1341" s="25"/>
      <c r="AF1341" s="25"/>
      <c r="AG1341" s="25"/>
      <c r="AH1341" s="25"/>
      <c r="AI1341" s="25"/>
      <c r="AJ1341" s="25"/>
      <c r="AK1341" s="25"/>
      <c r="AL1341" s="25"/>
      <c r="AM1341" s="25"/>
      <c r="AN1341" s="25"/>
      <c r="AO1341" s="25"/>
      <c r="AP1341" s="25"/>
      <c r="AQ1341" s="25"/>
      <c r="AR1341" s="25"/>
      <c r="AS1341" s="25"/>
      <c r="AT1341" s="25"/>
      <c r="AU1341" s="25"/>
      <c r="AV1341" s="25"/>
      <c r="AW1341" s="25"/>
      <c r="AX1341" s="25"/>
      <c r="AY1341" s="25"/>
      <c r="AZ1341" s="25"/>
      <c r="BA1341" s="25"/>
      <c r="BB1341" s="25"/>
      <c r="BC1341" s="25"/>
      <c r="BD1341" s="25"/>
      <c r="BE1341" s="25"/>
      <c r="BF1341" s="25"/>
      <c r="BG1341" s="25"/>
      <c r="BH1341" s="25"/>
      <c r="BI1341" s="25"/>
      <c r="BJ1341" s="25"/>
      <c r="BK1341" s="25"/>
      <c r="BL1341" s="25"/>
      <c r="BM1341" s="25"/>
      <c r="BN1341" s="25"/>
      <c r="BO1341" s="25"/>
      <c r="BP1341" s="25"/>
      <c r="BQ1341" s="25"/>
      <c r="BR1341" s="25"/>
      <c r="BS1341" s="25"/>
      <c r="BT1341" s="25"/>
      <c r="BU1341" s="25"/>
      <c r="BV1341" s="25"/>
      <c r="BW1341" s="25"/>
      <c r="BX1341" s="25"/>
      <c r="BY1341" s="25"/>
      <c r="BZ1341" s="25"/>
      <c r="CA1341" s="25"/>
      <c r="CB1341" s="25"/>
    </row>
    <row r="1342" spans="1:80" ht="12.75" hidden="1" customHeight="1">
      <c r="A1342" s="10">
        <f ca="1">IFERROR(__xludf.DUMMYFUNCTION("""COMPUTED_VALUE"""),2018)</f>
        <v>2018</v>
      </c>
      <c r="B1342" s="50">
        <f ca="1">IFERROR(__xludf.DUMMYFUNCTION("""COMPUTED_VALUE"""),43864)</f>
        <v>43864</v>
      </c>
      <c r="C1342" s="41">
        <f ca="1">IFERROR(__xludf.DUMMYFUNCTION("""COMPUTED_VALUE"""),43532)</f>
        <v>43532</v>
      </c>
      <c r="D1342" s="42" t="str">
        <f ca="1">IFERROR(__xludf.DUMMYFUNCTION("""COMPUTED_VALUE"""),"Honey-Buzzard")</f>
        <v>Honey-Buzzard</v>
      </c>
      <c r="E1342" s="53">
        <f ca="1">IFERROR(__xludf.DUMMYFUNCTION("""COMPUTED_VALUE"""),1)</f>
        <v>1</v>
      </c>
      <c r="F1342" s="15" t="str">
        <f ca="1">IFERROR(__xludf.DUMMYFUNCTION("""COMPUTED_VALUE"""),"ad")</f>
        <v>ad</v>
      </c>
      <c r="G1342" s="44" t="str">
        <f ca="1">IFERROR(__xludf.DUMMYFUNCTION("""COMPUTED_VALUE"""),"Pickering's Pasture LNR, Widnes")</f>
        <v>Pickering's Pasture LNR, Widnes</v>
      </c>
      <c r="H1342" s="12">
        <f ca="1">IFERROR(__xludf.DUMMYFUNCTION("""COMPUTED_VALUE"""),43354)</f>
        <v>43354</v>
      </c>
      <c r="I1342" s="12">
        <f ca="1">IFERROR(__xludf.DUMMYFUNCTION("""COMPUTED_VALUE"""),43354)</f>
        <v>43354</v>
      </c>
      <c r="J1342" s="14"/>
      <c r="K1342" s="15"/>
      <c r="L1342" s="17" t="str">
        <f ca="1">IFERROR(__xludf.DUMMYFUNCTION("""COMPUTED_VALUE"""),"closed")</f>
        <v>closed</v>
      </c>
      <c r="M1342" s="17" t="str">
        <f ca="1">IFERROR(__xludf.DUMMYFUNCTION("""COMPUTED_VALUE"""),"1st M")</f>
        <v>1st M</v>
      </c>
      <c r="N1342" s="15" t="str">
        <f ca="1">IFERROR(__xludf.DUMMYFUNCTION("""COMPUTED_VALUE"""),"unproven")</f>
        <v>unproven</v>
      </c>
      <c r="O1342" s="18"/>
      <c r="P1342" s="15"/>
      <c r="Q1342" s="15"/>
      <c r="R1342" s="15"/>
      <c r="S1342" s="15"/>
      <c r="T1342" s="15"/>
      <c r="U1342" s="15"/>
      <c r="V1342" s="15"/>
      <c r="W1342" s="15"/>
      <c r="X1342" s="15"/>
      <c r="Y1342" s="15"/>
      <c r="Z1342" s="15"/>
      <c r="AA1342" s="15"/>
      <c r="AB1342" s="15"/>
      <c r="AC1342" s="15"/>
      <c r="AD1342" s="15"/>
      <c r="AE1342" s="15"/>
      <c r="AF1342" s="15"/>
      <c r="AG1342" s="15"/>
      <c r="AH1342" s="15"/>
      <c r="AI1342" s="15"/>
      <c r="AJ1342" s="15"/>
      <c r="AK1342" s="15"/>
      <c r="AL1342" s="15"/>
      <c r="AM1342" s="15"/>
      <c r="AN1342" s="15"/>
      <c r="AO1342" s="15"/>
      <c r="AP1342" s="15"/>
      <c r="AQ1342" s="15"/>
      <c r="AR1342" s="15"/>
      <c r="AS1342" s="15"/>
      <c r="AT1342" s="15"/>
      <c r="AU1342" s="15"/>
      <c r="AV1342" s="15"/>
      <c r="AW1342" s="15"/>
      <c r="AX1342" s="15"/>
      <c r="AY1342" s="15"/>
      <c r="AZ1342" s="15"/>
      <c r="BA1342" s="15"/>
      <c r="BB1342" s="15"/>
      <c r="BC1342" s="15"/>
      <c r="BD1342" s="15"/>
      <c r="BE1342" s="15"/>
      <c r="BF1342" s="15"/>
      <c r="BG1342" s="15"/>
      <c r="BH1342" s="15"/>
      <c r="BI1342" s="15"/>
      <c r="BJ1342" s="15"/>
      <c r="BK1342" s="15"/>
      <c r="BL1342" s="15"/>
      <c r="BM1342" s="15"/>
      <c r="BN1342" s="15"/>
      <c r="BO1342" s="15"/>
      <c r="BP1342" s="15"/>
      <c r="BQ1342" s="15"/>
      <c r="BR1342" s="15"/>
      <c r="BS1342" s="15"/>
      <c r="BT1342" s="15"/>
      <c r="BU1342" s="15"/>
      <c r="BV1342" s="15"/>
      <c r="BW1342" s="15"/>
      <c r="BX1342" s="15"/>
      <c r="BY1342" s="15"/>
      <c r="BZ1342" s="15"/>
      <c r="CA1342" s="15"/>
      <c r="CB1342" s="15"/>
    </row>
    <row r="1343" spans="1:80" ht="12.75" hidden="1" customHeight="1">
      <c r="A1343" s="20">
        <f ca="1">IFERROR(__xludf.DUMMYFUNCTION("""COMPUTED_VALUE"""),2018)</f>
        <v>2018</v>
      </c>
      <c r="B1343" s="45">
        <f ca="1">IFERROR(__xludf.DUMMYFUNCTION("""COMPUTED_VALUE"""),43857)</f>
        <v>43857</v>
      </c>
      <c r="C1343" s="46">
        <f ca="1">IFERROR(__xludf.DUMMYFUNCTION("""COMPUTED_VALUE"""),43864)</f>
        <v>43864</v>
      </c>
      <c r="D1343" s="47" t="str">
        <f ca="1">IFERROR(__xludf.DUMMYFUNCTION("""COMPUTED_VALUE"""),"Goshawk")</f>
        <v>Goshawk</v>
      </c>
      <c r="E1343" s="52">
        <f ca="1">IFERROR(__xludf.DUMMYFUNCTION("""COMPUTED_VALUE"""),1)</f>
        <v>1</v>
      </c>
      <c r="F1343" s="25"/>
      <c r="G1343" s="48" t="str">
        <f ca="1">IFERROR(__xludf.DUMMYFUNCTION("""COMPUTED_VALUE"""),"Mottram St. Andrew")</f>
        <v>Mottram St. Andrew</v>
      </c>
      <c r="H1343" s="22">
        <f ca="1">IFERROR(__xludf.DUMMYFUNCTION("""COMPUTED_VALUE"""),43226)</f>
        <v>43226</v>
      </c>
      <c r="I1343" s="22">
        <f ca="1">IFERROR(__xludf.DUMMYFUNCTION("""COMPUTED_VALUE"""),43226)</f>
        <v>43226</v>
      </c>
      <c r="J1343" s="24"/>
      <c r="K1343" s="25"/>
      <c r="L1343" s="27" t="str">
        <f ca="1">IFERROR(__xludf.DUMMYFUNCTION("""COMPUTED_VALUE"""),"closed")</f>
        <v>closed</v>
      </c>
      <c r="M1343" s="27" t="str">
        <f ca="1">IFERROR(__xludf.DUMMYFUNCTION("""COMPUTED_VALUE"""),"1st U")</f>
        <v>1st U</v>
      </c>
      <c r="N1343" s="25" t="str">
        <f ca="1">IFERROR(__xludf.DUMMYFUNCTION("""COMPUTED_VALUE"""),"unproven")</f>
        <v>unproven</v>
      </c>
      <c r="O1343" s="28"/>
      <c r="P1343" s="25"/>
      <c r="Q1343" s="25"/>
      <c r="R1343" s="25"/>
      <c r="S1343" s="25"/>
      <c r="T1343" s="25"/>
      <c r="U1343" s="25"/>
      <c r="V1343" s="25"/>
      <c r="W1343" s="25"/>
      <c r="X1343" s="25"/>
      <c r="Y1343" s="25"/>
      <c r="Z1343" s="25"/>
      <c r="AA1343" s="25"/>
      <c r="AB1343" s="25"/>
      <c r="AC1343" s="25"/>
      <c r="AD1343" s="25"/>
      <c r="AE1343" s="25"/>
      <c r="AF1343" s="25"/>
      <c r="AG1343" s="25"/>
      <c r="AH1343" s="25"/>
      <c r="AI1343" s="25"/>
      <c r="AJ1343" s="25"/>
      <c r="AK1343" s="25"/>
      <c r="AL1343" s="25"/>
      <c r="AM1343" s="25"/>
      <c r="AN1343" s="25"/>
      <c r="AO1343" s="25"/>
      <c r="AP1343" s="25"/>
      <c r="AQ1343" s="25"/>
      <c r="AR1343" s="25"/>
      <c r="AS1343" s="25"/>
      <c r="AT1343" s="25"/>
      <c r="AU1343" s="25"/>
      <c r="AV1343" s="25"/>
      <c r="AW1343" s="25"/>
      <c r="AX1343" s="25"/>
      <c r="AY1343" s="25"/>
      <c r="AZ1343" s="25"/>
      <c r="BA1343" s="25"/>
      <c r="BB1343" s="25"/>
      <c r="BC1343" s="25"/>
      <c r="BD1343" s="25"/>
      <c r="BE1343" s="25"/>
      <c r="BF1343" s="25"/>
      <c r="BG1343" s="25"/>
      <c r="BH1343" s="25"/>
      <c r="BI1343" s="25"/>
      <c r="BJ1343" s="25"/>
      <c r="BK1343" s="25"/>
      <c r="BL1343" s="25"/>
      <c r="BM1343" s="25"/>
      <c r="BN1343" s="25"/>
      <c r="BO1343" s="25"/>
      <c r="BP1343" s="25"/>
      <c r="BQ1343" s="25"/>
      <c r="BR1343" s="25"/>
      <c r="BS1343" s="25"/>
      <c r="BT1343" s="25"/>
      <c r="BU1343" s="25"/>
      <c r="BV1343" s="25"/>
      <c r="BW1343" s="25"/>
      <c r="BX1343" s="25"/>
      <c r="BY1343" s="25"/>
      <c r="BZ1343" s="25"/>
      <c r="CA1343" s="25"/>
      <c r="CB1343" s="25"/>
    </row>
    <row r="1344" spans="1:80" ht="12.75" hidden="1" customHeight="1">
      <c r="A1344" s="10">
        <f ca="1">IFERROR(__xludf.DUMMYFUNCTION("""COMPUTED_VALUE"""),2018)</f>
        <v>2018</v>
      </c>
      <c r="B1344" s="50">
        <f ca="1">IFERROR(__xludf.DUMMYFUNCTION("""COMPUTED_VALUE"""),43949)</f>
        <v>43949</v>
      </c>
      <c r="C1344" s="41">
        <f ca="1">IFERROR(__xludf.DUMMYFUNCTION("""COMPUTED_VALUE"""),43864)</f>
        <v>43864</v>
      </c>
      <c r="D1344" s="42" t="str">
        <f ca="1">IFERROR(__xludf.DUMMYFUNCTION("""COMPUTED_VALUE"""),"Goshawk")</f>
        <v>Goshawk</v>
      </c>
      <c r="E1344" s="53" t="str">
        <f ca="1">IFERROR(__xludf.DUMMYFUNCTION("""COMPUTED_VALUE"""),"1f")</f>
        <v>1f</v>
      </c>
      <c r="F1344" s="15" t="str">
        <f ca="1">IFERROR(__xludf.DUMMYFUNCTION("""COMPUTED_VALUE"""),"
")</f>
        <v xml:space="preserve">
</v>
      </c>
      <c r="G1344" s="44" t="str">
        <f ca="1">IFERROR(__xludf.DUMMYFUNCTION("""COMPUTED_VALUE"""),"Teggsnose Wood")</f>
        <v>Teggsnose Wood</v>
      </c>
      <c r="H1344" s="12">
        <f ca="1">IFERROR(__xludf.DUMMYFUNCTION("""COMPUTED_VALUE"""),43304)</f>
        <v>43304</v>
      </c>
      <c r="I1344" s="12">
        <f ca="1">IFERROR(__xludf.DUMMYFUNCTION("""COMPUTED_VALUE"""),43304)</f>
        <v>43304</v>
      </c>
      <c r="J1344" s="14" t="str">
        <f ca="1">IFERROR(__xludf.DUMMYFUNCTION("""COMPUTED_VALUE"""),"Miles, Michael")</f>
        <v>Miles, Michael</v>
      </c>
      <c r="K1344" s="15"/>
      <c r="L1344" s="17" t="str">
        <f ca="1">IFERROR(__xludf.DUMMYFUNCTION("""COMPUTED_VALUE"""),"closed")</f>
        <v>closed</v>
      </c>
      <c r="M1344" s="17" t="str">
        <f ca="1">IFERROR(__xludf.DUMMYFUNCTION("""COMPUTED_VALUE"""),"1st U")</f>
        <v>1st U</v>
      </c>
      <c r="N1344" s="15" t="str">
        <f ca="1">IFERROR(__xludf.DUMMYFUNCTION("""COMPUTED_VALUE"""),"accepted")</f>
        <v>accepted</v>
      </c>
      <c r="O1344" s="18" t="str">
        <f ca="1">IFERROR(__xludf.DUMMYFUNCTION("""COMPUTED_VALUE"""),"Female")</f>
        <v>Female</v>
      </c>
      <c r="P1344" s="58"/>
      <c r="Q1344" s="15"/>
      <c r="R1344" s="15"/>
      <c r="S1344" s="15"/>
      <c r="T1344" s="15"/>
      <c r="U1344" s="15"/>
      <c r="V1344" s="15"/>
      <c r="W1344" s="15"/>
      <c r="X1344" s="15"/>
      <c r="Y1344" s="15"/>
      <c r="Z1344" s="15"/>
      <c r="AA1344" s="15"/>
      <c r="AB1344" s="15"/>
      <c r="AC1344" s="15"/>
      <c r="AD1344" s="15"/>
      <c r="AE1344" s="15"/>
      <c r="AF1344" s="15"/>
      <c r="AG1344" s="15"/>
      <c r="AH1344" s="15"/>
      <c r="AI1344" s="15"/>
      <c r="AJ1344" s="15"/>
      <c r="AK1344" s="15"/>
      <c r="AL1344" s="15"/>
      <c r="AM1344" s="15"/>
      <c r="AN1344" s="15"/>
      <c r="AO1344" s="15"/>
      <c r="AP1344" s="15"/>
      <c r="AQ1344" s="15"/>
      <c r="AR1344" s="15"/>
      <c r="AS1344" s="15"/>
      <c r="AT1344" s="15"/>
      <c r="AU1344" s="15"/>
      <c r="AV1344" s="15"/>
      <c r="AW1344" s="15"/>
      <c r="AX1344" s="15"/>
      <c r="AY1344" s="15"/>
      <c r="AZ1344" s="15"/>
      <c r="BA1344" s="15"/>
      <c r="BB1344" s="15"/>
      <c r="BC1344" s="15"/>
      <c r="BD1344" s="15"/>
      <c r="BE1344" s="15"/>
      <c r="BF1344" s="15"/>
      <c r="BG1344" s="15"/>
      <c r="BH1344" s="15"/>
      <c r="BI1344" s="15"/>
      <c r="BJ1344" s="15"/>
      <c r="BK1344" s="15"/>
      <c r="BL1344" s="15"/>
      <c r="BM1344" s="15"/>
      <c r="BN1344" s="15"/>
      <c r="BO1344" s="15"/>
      <c r="BP1344" s="15"/>
      <c r="BQ1344" s="15"/>
      <c r="BR1344" s="15"/>
      <c r="BS1344" s="15"/>
      <c r="BT1344" s="15"/>
      <c r="BU1344" s="15"/>
      <c r="BV1344" s="15"/>
      <c r="BW1344" s="15"/>
      <c r="BX1344" s="15"/>
      <c r="BY1344" s="15"/>
      <c r="BZ1344" s="15"/>
      <c r="CA1344" s="15"/>
      <c r="CB1344" s="15"/>
    </row>
    <row r="1345" spans="1:80" ht="12.75" hidden="1" customHeight="1">
      <c r="A1345" s="20">
        <f ca="1">IFERROR(__xludf.DUMMYFUNCTION("""COMPUTED_VALUE"""),2018)</f>
        <v>2018</v>
      </c>
      <c r="B1345" s="45">
        <f ca="1">IFERROR(__xludf.DUMMYFUNCTION("""COMPUTED_VALUE"""),43881)</f>
        <v>43881</v>
      </c>
      <c r="C1345" s="46" t="str">
        <f ca="1">IFERROR(__xludf.DUMMYFUNCTION("""COMPUTED_VALUE"""),"30//11/20")</f>
        <v>30//11/20</v>
      </c>
      <c r="D1345" s="47" t="str">
        <f ca="1">IFERROR(__xludf.DUMMYFUNCTION("""COMPUTED_VALUE"""),"Rough-legged Buzzard")</f>
        <v>Rough-legged Buzzard</v>
      </c>
      <c r="E1345" s="52">
        <f ca="1">IFERROR(__xludf.DUMMYFUNCTION("""COMPUTED_VALUE"""),1)</f>
        <v>1</v>
      </c>
      <c r="F1345" s="25"/>
      <c r="G1345" s="71" t="str">
        <f ca="1">IFERROR(__xludf.DUMMYFUNCTION("""COMPUTED_VALUE"""),"Eaton Hall Sand Quarry, Congleton")</f>
        <v>Eaton Hall Sand Quarry, Congleton</v>
      </c>
      <c r="H1345" s="22">
        <f ca="1">IFERROR(__xludf.DUMMYFUNCTION("""COMPUTED_VALUE"""),43172)</f>
        <v>43172</v>
      </c>
      <c r="I1345" s="22">
        <f ca="1">IFERROR(__xludf.DUMMYFUNCTION("""COMPUTED_VALUE"""),43172)</f>
        <v>43172</v>
      </c>
      <c r="J1345" s="73"/>
      <c r="K1345" s="25"/>
      <c r="L1345" s="27" t="str">
        <f ca="1">IFERROR(__xludf.DUMMYFUNCTION("""COMPUTED_VALUE"""),"closed")</f>
        <v>closed</v>
      </c>
      <c r="M1345" s="27" t="str">
        <f ca="1">IFERROR(__xludf.DUMMYFUNCTION("""COMPUTED_VALUE"""),"1st U")</f>
        <v>1st U</v>
      </c>
      <c r="N1345" s="40" t="str">
        <f ca="1">IFERROR(__xludf.DUMMYFUNCTION("""COMPUTED_VALUE"""),"unproven")</f>
        <v>unproven</v>
      </c>
      <c r="O1345" s="74" t="str">
        <f ca="1">IFERROR(__xludf.DUMMYFUNCTION("""COMPUTED_VALUE"""),"Pale Buzzard not excluded")</f>
        <v>Pale Buzzard not excluded</v>
      </c>
      <c r="P1345" s="25"/>
      <c r="Q1345" s="40"/>
      <c r="R1345" s="40"/>
      <c r="S1345" s="25"/>
      <c r="T1345" s="25"/>
      <c r="U1345" s="25"/>
      <c r="V1345" s="25"/>
      <c r="W1345" s="25"/>
      <c r="X1345" s="25"/>
      <c r="Y1345" s="25"/>
      <c r="Z1345" s="25"/>
      <c r="AA1345" s="25"/>
      <c r="AB1345" s="25"/>
      <c r="AC1345" s="25"/>
      <c r="AD1345" s="25"/>
      <c r="AE1345" s="25"/>
      <c r="AF1345" s="25"/>
      <c r="AG1345" s="25"/>
      <c r="AH1345" s="25"/>
      <c r="AI1345" s="25"/>
      <c r="AJ1345" s="25"/>
      <c r="AK1345" s="25"/>
      <c r="AL1345" s="25"/>
      <c r="AM1345" s="25"/>
      <c r="AN1345" s="25"/>
      <c r="AO1345" s="25"/>
      <c r="AP1345" s="25"/>
      <c r="AQ1345" s="25"/>
      <c r="AR1345" s="25"/>
      <c r="AS1345" s="25"/>
      <c r="AT1345" s="25"/>
      <c r="AU1345" s="25"/>
      <c r="AV1345" s="25"/>
      <c r="AW1345" s="25"/>
      <c r="AX1345" s="25"/>
      <c r="AY1345" s="25"/>
      <c r="AZ1345" s="25"/>
      <c r="BA1345" s="25"/>
      <c r="BB1345" s="25"/>
      <c r="BC1345" s="25"/>
      <c r="BD1345" s="25"/>
      <c r="BE1345" s="25"/>
      <c r="BF1345" s="25"/>
      <c r="BG1345" s="25"/>
      <c r="BH1345" s="25"/>
      <c r="BI1345" s="25"/>
      <c r="BJ1345" s="25"/>
      <c r="BK1345" s="25"/>
      <c r="BL1345" s="25"/>
      <c r="BM1345" s="25"/>
      <c r="BN1345" s="25"/>
      <c r="BO1345" s="25"/>
      <c r="BP1345" s="25"/>
      <c r="BQ1345" s="25"/>
      <c r="BR1345" s="25"/>
      <c r="BS1345" s="25"/>
      <c r="BT1345" s="25"/>
      <c r="BU1345" s="25"/>
      <c r="BV1345" s="25"/>
      <c r="BW1345" s="25"/>
      <c r="BX1345" s="25"/>
      <c r="BY1345" s="25"/>
      <c r="BZ1345" s="25"/>
      <c r="CA1345" s="25"/>
      <c r="CB1345" s="25"/>
    </row>
    <row r="1346" spans="1:80" ht="12.75" hidden="1" customHeight="1">
      <c r="A1346" s="10">
        <f ca="1">IFERROR(__xludf.DUMMYFUNCTION("""COMPUTED_VALUE"""),2018)</f>
        <v>2018</v>
      </c>
      <c r="B1346" s="50">
        <f ca="1">IFERROR(__xludf.DUMMYFUNCTION("""COMPUTED_VALUE"""),43881)</f>
        <v>43881</v>
      </c>
      <c r="C1346" s="41"/>
      <c r="D1346" s="42" t="str">
        <f ca="1">IFERROR(__xludf.DUMMYFUNCTION("""COMPUTED_VALUE"""),"Chough")</f>
        <v>Chough</v>
      </c>
      <c r="E1346" s="53">
        <f ca="1">IFERROR(__xludf.DUMMYFUNCTION("""COMPUTED_VALUE"""),1)</f>
        <v>1</v>
      </c>
      <c r="F1346" s="15"/>
      <c r="G1346" s="44" t="str">
        <f ca="1">IFERROR(__xludf.DUMMYFUNCTION("""COMPUTED_VALUE"""),"Hilbre")</f>
        <v>Hilbre</v>
      </c>
      <c r="H1346" s="12">
        <f ca="1">IFERROR(__xludf.DUMMYFUNCTION("""COMPUTED_VALUE"""),43359)</f>
        <v>43359</v>
      </c>
      <c r="I1346" s="12">
        <f ca="1">IFERROR(__xludf.DUMMYFUNCTION("""COMPUTED_VALUE"""),43359)</f>
        <v>43359</v>
      </c>
      <c r="J1346" s="14" t="str">
        <f ca="1">IFERROR(__xludf.DUMMYFUNCTION("""COMPUTED_VALUE"""),"Hilbre Bird Observatory")</f>
        <v>Hilbre Bird Observatory</v>
      </c>
      <c r="K1346" s="15"/>
      <c r="L1346" s="17" t="str">
        <f ca="1">IFERROR(__xludf.DUMMYFUNCTION("""COMPUTED_VALUE"""),"closed")</f>
        <v>closed</v>
      </c>
      <c r="M1346" s="17" t="str">
        <f ca="1">IFERROR(__xludf.DUMMYFUNCTION("""COMPUTED_VALUE"""),"1st U")</f>
        <v>1st U</v>
      </c>
      <c r="N1346" s="15" t="str">
        <f ca="1">IFERROR(__xludf.DUMMYFUNCTION("""COMPUTED_VALUE"""),"Accepted")</f>
        <v>Accepted</v>
      </c>
      <c r="O1346" s="18"/>
      <c r="P1346" s="15"/>
      <c r="Q1346" s="15"/>
      <c r="R1346" s="15"/>
      <c r="S1346" s="15"/>
      <c r="T1346" s="15"/>
      <c r="U1346" s="15"/>
      <c r="V1346" s="15"/>
      <c r="W1346" s="15"/>
      <c r="X1346" s="15"/>
      <c r="Y1346" s="15"/>
      <c r="Z1346" s="15"/>
      <c r="AA1346" s="15"/>
      <c r="AB1346" s="15"/>
      <c r="AC1346" s="15"/>
      <c r="AD1346" s="15"/>
      <c r="AE1346" s="15"/>
      <c r="AF1346" s="15"/>
      <c r="AG1346" s="15"/>
      <c r="AH1346" s="15"/>
      <c r="AI1346" s="15"/>
      <c r="AJ1346" s="15"/>
      <c r="AK1346" s="15"/>
      <c r="AL1346" s="15"/>
      <c r="AM1346" s="15"/>
      <c r="AN1346" s="15"/>
      <c r="AO1346" s="15"/>
      <c r="AP1346" s="15"/>
      <c r="AQ1346" s="15"/>
      <c r="AR1346" s="15"/>
      <c r="AS1346" s="15"/>
      <c r="AT1346" s="15"/>
      <c r="AU1346" s="15"/>
      <c r="AV1346" s="15"/>
      <c r="AW1346" s="15"/>
      <c r="AX1346" s="15"/>
      <c r="AY1346" s="15"/>
      <c r="AZ1346" s="15"/>
      <c r="BA1346" s="15"/>
      <c r="BB1346" s="15"/>
      <c r="BC1346" s="15"/>
      <c r="BD1346" s="15"/>
      <c r="BE1346" s="15"/>
      <c r="BF1346" s="15"/>
      <c r="BG1346" s="15"/>
      <c r="BH1346" s="15"/>
      <c r="BI1346" s="15"/>
      <c r="BJ1346" s="15"/>
      <c r="BK1346" s="15"/>
      <c r="BL1346" s="15"/>
      <c r="BM1346" s="15"/>
      <c r="BN1346" s="15"/>
      <c r="BO1346" s="15"/>
      <c r="BP1346" s="15"/>
      <c r="BQ1346" s="15"/>
      <c r="BR1346" s="15"/>
      <c r="BS1346" s="15"/>
      <c r="BT1346" s="15"/>
      <c r="BU1346" s="15"/>
      <c r="BV1346" s="15"/>
      <c r="BW1346" s="15"/>
      <c r="BX1346" s="15"/>
      <c r="BY1346" s="15"/>
      <c r="BZ1346" s="15"/>
      <c r="CA1346" s="15"/>
      <c r="CB1346" s="15"/>
    </row>
    <row r="1347" spans="1:80" ht="12.75" hidden="1" customHeight="1">
      <c r="A1347" s="20">
        <f ca="1">IFERROR(__xludf.DUMMYFUNCTION("""COMPUTED_VALUE"""),2018)</f>
        <v>2018</v>
      </c>
      <c r="B1347" s="45">
        <f ca="1">IFERROR(__xludf.DUMMYFUNCTION("""COMPUTED_VALUE"""),43881)</f>
        <v>43881</v>
      </c>
      <c r="C1347" s="46"/>
      <c r="D1347" s="47" t="str">
        <f ca="1">IFERROR(__xludf.DUMMYFUNCTION("""COMPUTED_VALUE"""),"Chough")</f>
        <v>Chough</v>
      </c>
      <c r="E1347" s="52">
        <f ca="1">IFERROR(__xludf.DUMMYFUNCTION("""COMPUTED_VALUE"""),1)</f>
        <v>1</v>
      </c>
      <c r="F1347" s="25"/>
      <c r="G1347" s="48" t="str">
        <f ca="1">IFERROR(__xludf.DUMMYFUNCTION("""COMPUTED_VALUE"""),"Thurstaston/Caldy")</f>
        <v>Thurstaston/Caldy</v>
      </c>
      <c r="H1347" s="22">
        <f ca="1">IFERROR(__xludf.DUMMYFUNCTION("""COMPUTED_VALUE"""),43389)</f>
        <v>43389</v>
      </c>
      <c r="I1347" s="22">
        <f ca="1">IFERROR(__xludf.DUMMYFUNCTION("""COMPUTED_VALUE"""),43390)</f>
        <v>43390</v>
      </c>
      <c r="J1347" s="24" t="str">
        <f ca="1">IFERROR(__xludf.DUMMYFUNCTION("""COMPUTED_VALUE"""),"Hind, Steve")</f>
        <v>Hind, Steve</v>
      </c>
      <c r="K1347" s="25" t="str">
        <f ca="1">IFERROR(__xludf.DUMMYFUNCTION("""COMPUTED_VALUE"""),"same?")</f>
        <v>same?</v>
      </c>
      <c r="L1347" s="27" t="str">
        <f ca="1">IFERROR(__xludf.DUMMYFUNCTION("""COMPUTED_VALUE"""),"closed")</f>
        <v>closed</v>
      </c>
      <c r="M1347" s="27" t="str">
        <f ca="1">IFERROR(__xludf.DUMMYFUNCTION("""COMPUTED_VALUE"""),"1st U")</f>
        <v>1st U</v>
      </c>
      <c r="N1347" s="25" t="str">
        <f ca="1">IFERROR(__xludf.DUMMYFUNCTION("""COMPUTED_VALUE"""),"Accepted")</f>
        <v>Accepted</v>
      </c>
      <c r="O1347" s="28" t="str">
        <f ca="1">IFERROR(__xludf.DUMMYFUNCTION("""COMPUTED_VALUE"""),"by Dee Sailing club")</f>
        <v>by Dee Sailing club</v>
      </c>
      <c r="P1347" s="25"/>
      <c r="Q1347" s="25"/>
      <c r="R1347" s="25"/>
      <c r="S1347" s="25"/>
      <c r="T1347" s="25"/>
      <c r="U1347" s="25"/>
      <c r="V1347" s="25"/>
      <c r="W1347" s="25"/>
      <c r="X1347" s="25"/>
      <c r="Y1347" s="25"/>
      <c r="Z1347" s="25"/>
      <c r="AA1347" s="25"/>
      <c r="AB1347" s="25"/>
      <c r="AC1347" s="25"/>
      <c r="AD1347" s="25"/>
      <c r="AE1347" s="25"/>
      <c r="AF1347" s="25"/>
      <c r="AG1347" s="25"/>
      <c r="AH1347" s="25"/>
      <c r="AI1347" s="25"/>
      <c r="AJ1347" s="25"/>
      <c r="AK1347" s="25"/>
      <c r="AL1347" s="25"/>
      <c r="AM1347" s="25"/>
      <c r="AN1347" s="25"/>
      <c r="AO1347" s="25"/>
      <c r="AP1347" s="25"/>
      <c r="AQ1347" s="25"/>
      <c r="AR1347" s="25"/>
      <c r="AS1347" s="25"/>
      <c r="AT1347" s="25"/>
      <c r="AU1347" s="25"/>
      <c r="AV1347" s="25"/>
      <c r="AW1347" s="25"/>
      <c r="AX1347" s="25"/>
      <c r="AY1347" s="25"/>
      <c r="AZ1347" s="25"/>
      <c r="BA1347" s="25"/>
      <c r="BB1347" s="25"/>
      <c r="BC1347" s="25"/>
      <c r="BD1347" s="25"/>
      <c r="BE1347" s="25"/>
      <c r="BF1347" s="25"/>
      <c r="BG1347" s="25"/>
      <c r="BH1347" s="25"/>
      <c r="BI1347" s="25"/>
      <c r="BJ1347" s="25"/>
      <c r="BK1347" s="25"/>
      <c r="BL1347" s="25"/>
      <c r="BM1347" s="25"/>
      <c r="BN1347" s="25"/>
      <c r="BO1347" s="25"/>
      <c r="BP1347" s="25"/>
      <c r="BQ1347" s="25"/>
      <c r="BR1347" s="25"/>
      <c r="BS1347" s="25"/>
      <c r="BT1347" s="25"/>
      <c r="BU1347" s="25"/>
      <c r="BV1347" s="25"/>
      <c r="BW1347" s="25"/>
      <c r="BX1347" s="25"/>
      <c r="BY1347" s="25"/>
      <c r="BZ1347" s="25"/>
      <c r="CA1347" s="25"/>
      <c r="CB1347" s="25"/>
    </row>
    <row r="1348" spans="1:80" ht="12.75" hidden="1" customHeight="1">
      <c r="A1348" s="10">
        <f ca="1">IFERROR(__xludf.DUMMYFUNCTION("""COMPUTED_VALUE"""),2018)</f>
        <v>2018</v>
      </c>
      <c r="B1348" s="50">
        <f ca="1">IFERROR(__xludf.DUMMYFUNCTION("""COMPUTED_VALUE"""),43881)</f>
        <v>43881</v>
      </c>
      <c r="C1348" s="41"/>
      <c r="D1348" s="42" t="str">
        <f ca="1">IFERROR(__xludf.DUMMYFUNCTION("""COMPUTED_VALUE"""),"Willow Tit")</f>
        <v>Willow Tit</v>
      </c>
      <c r="E1348" s="53">
        <f ca="1">IFERROR(__xludf.DUMMYFUNCTION("""COMPUTED_VALUE"""),44013)</f>
        <v>44013</v>
      </c>
      <c r="F1348" s="15"/>
      <c r="G1348" s="44" t="str">
        <f ca="1">IFERROR(__xludf.DUMMYFUNCTION("""COMPUTED_VALUE"""),"Birchwood/Risley")</f>
        <v>Birchwood/Risley</v>
      </c>
      <c r="H1348" s="12">
        <f ca="1">IFERROR(__xludf.DUMMYFUNCTION("""COMPUTED_VALUE"""),43160)</f>
        <v>43160</v>
      </c>
      <c r="I1348" s="12">
        <f ca="1">IFERROR(__xludf.DUMMYFUNCTION("""COMPUTED_VALUE"""),43412)</f>
        <v>43412</v>
      </c>
      <c r="J1348" s="14"/>
      <c r="K1348" s="15"/>
      <c r="L1348" s="17" t="str">
        <f ca="1">IFERROR(__xludf.DUMMYFUNCTION("""COMPUTED_VALUE"""),"closed")</f>
        <v>closed</v>
      </c>
      <c r="M1348" s="17"/>
      <c r="N1348" s="15" t="str">
        <f ca="1">IFERROR(__xludf.DUMMYFUNCTION("""COMPUTED_VALUE"""),"known site")</f>
        <v>known site</v>
      </c>
      <c r="O1348" s="18"/>
      <c r="P1348" s="15"/>
      <c r="Q1348" s="15"/>
      <c r="R1348" s="58"/>
      <c r="S1348" s="15"/>
      <c r="T1348" s="15"/>
      <c r="U1348" s="15"/>
      <c r="V1348" s="15"/>
      <c r="W1348" s="15"/>
      <c r="X1348" s="15"/>
      <c r="Y1348" s="15"/>
      <c r="Z1348" s="15"/>
      <c r="AA1348" s="15"/>
      <c r="AB1348" s="15"/>
      <c r="AC1348" s="15"/>
      <c r="AD1348" s="15"/>
      <c r="AE1348" s="15"/>
      <c r="AF1348" s="15"/>
      <c r="AG1348" s="15"/>
      <c r="AH1348" s="15"/>
      <c r="AI1348" s="15"/>
      <c r="AJ1348" s="15"/>
      <c r="AK1348" s="15"/>
      <c r="AL1348" s="15"/>
      <c r="AM1348" s="15"/>
      <c r="AN1348" s="15"/>
      <c r="AO1348" s="15"/>
      <c r="AP1348" s="15"/>
      <c r="AQ1348" s="15"/>
      <c r="AR1348" s="15"/>
      <c r="AS1348" s="15"/>
      <c r="AT1348" s="15"/>
      <c r="AU1348" s="15"/>
      <c r="AV1348" s="15"/>
      <c r="AW1348" s="15"/>
      <c r="AX1348" s="15"/>
      <c r="AY1348" s="15"/>
      <c r="AZ1348" s="15"/>
      <c r="BA1348" s="15"/>
      <c r="BB1348" s="15"/>
      <c r="BC1348" s="15"/>
      <c r="BD1348" s="15"/>
      <c r="BE1348" s="15"/>
      <c r="BF1348" s="15"/>
      <c r="BG1348" s="15"/>
      <c r="BH1348" s="15"/>
      <c r="BI1348" s="15"/>
      <c r="BJ1348" s="15"/>
      <c r="BK1348" s="15"/>
      <c r="BL1348" s="15"/>
      <c r="BM1348" s="15"/>
      <c r="BN1348" s="15"/>
      <c r="BO1348" s="15"/>
      <c r="BP1348" s="15"/>
      <c r="BQ1348" s="15"/>
      <c r="BR1348" s="15"/>
      <c r="BS1348" s="15"/>
      <c r="BT1348" s="15"/>
      <c r="BU1348" s="15"/>
      <c r="BV1348" s="15"/>
      <c r="BW1348" s="15"/>
      <c r="BX1348" s="15"/>
      <c r="BY1348" s="15"/>
      <c r="BZ1348" s="15"/>
      <c r="CA1348" s="15"/>
      <c r="CB1348" s="15"/>
    </row>
    <row r="1349" spans="1:80" ht="12.75" hidden="1" customHeight="1">
      <c r="A1349" s="20">
        <f ca="1">IFERROR(__xludf.DUMMYFUNCTION("""COMPUTED_VALUE"""),2018)</f>
        <v>2018</v>
      </c>
      <c r="B1349" s="45">
        <f ca="1">IFERROR(__xludf.DUMMYFUNCTION("""COMPUTED_VALUE"""),43949)</f>
        <v>43949</v>
      </c>
      <c r="C1349" s="46">
        <f ca="1">IFERROR(__xludf.DUMMYFUNCTION("""COMPUTED_VALUE"""),43864)</f>
        <v>43864</v>
      </c>
      <c r="D1349" s="47" t="str">
        <f ca="1">IFERROR(__xludf.DUMMYFUNCTION("""COMPUTED_VALUE"""),"Willow Tit")</f>
        <v>Willow Tit</v>
      </c>
      <c r="E1349" s="52">
        <f ca="1">IFERROR(__xludf.DUMMYFUNCTION("""COMPUTED_VALUE"""),1)</f>
        <v>1</v>
      </c>
      <c r="F1349" s="25"/>
      <c r="G1349" s="48" t="str">
        <f ca="1">IFERROR(__xludf.DUMMYFUNCTION("""COMPUTED_VALUE"""),"Burton Mere Wetlands RSPB")</f>
        <v>Burton Mere Wetlands RSPB</v>
      </c>
      <c r="H1349" s="22">
        <f ca="1">IFERROR(__xludf.DUMMYFUNCTION("""COMPUTED_VALUE"""),43348)</f>
        <v>43348</v>
      </c>
      <c r="I1349" s="22">
        <f ca="1">IFERROR(__xludf.DUMMYFUNCTION("""COMPUTED_VALUE"""),43348)</f>
        <v>43348</v>
      </c>
      <c r="J1349" s="24" t="str">
        <f ca="1">IFERROR(__xludf.DUMMYFUNCTION("""COMPUTED_VALUE"""),"Williams, E")</f>
        <v>Williams, E</v>
      </c>
      <c r="K1349" s="25" t="str">
        <f ca="1">IFERROR(__xludf.DUMMYFUNCTION("""COMPUTED_VALUE"""),"Williams, E")</f>
        <v>Williams, E</v>
      </c>
      <c r="L1349" s="27" t="str">
        <f ca="1">IFERROR(__xludf.DUMMYFUNCTION("""COMPUTED_VALUE"""),"closed")</f>
        <v>closed</v>
      </c>
      <c r="M1349" s="27" t="str">
        <f ca="1">IFERROR(__xludf.DUMMYFUNCTION("""COMPUTED_VALUE"""),"1st U")</f>
        <v>1st U</v>
      </c>
      <c r="N1349" s="25" t="str">
        <f ca="1">IFERROR(__xludf.DUMMYFUNCTION("""COMPUTED_VALUE"""),"Accepted")</f>
        <v>Accepted</v>
      </c>
      <c r="O1349" s="28"/>
      <c r="P1349" s="25"/>
      <c r="Q1349" s="25"/>
      <c r="R1349" s="25"/>
      <c r="S1349" s="25"/>
      <c r="T1349" s="25"/>
      <c r="U1349" s="25"/>
      <c r="V1349" s="25"/>
      <c r="W1349" s="25"/>
      <c r="X1349" s="25"/>
      <c r="Y1349" s="25"/>
      <c r="Z1349" s="25"/>
      <c r="AA1349" s="25"/>
      <c r="AB1349" s="25"/>
      <c r="AC1349" s="25"/>
      <c r="AD1349" s="25"/>
      <c r="AE1349" s="25"/>
      <c r="AF1349" s="25"/>
      <c r="AG1349" s="25"/>
      <c r="AH1349" s="25"/>
      <c r="AI1349" s="25"/>
      <c r="AJ1349" s="25"/>
      <c r="AK1349" s="25"/>
      <c r="AL1349" s="25"/>
      <c r="AM1349" s="25"/>
      <c r="AN1349" s="25"/>
      <c r="AO1349" s="25"/>
      <c r="AP1349" s="25"/>
      <c r="AQ1349" s="25"/>
      <c r="AR1349" s="25"/>
      <c r="AS1349" s="25"/>
      <c r="AT1349" s="25"/>
      <c r="AU1349" s="25"/>
      <c r="AV1349" s="25"/>
      <c r="AW1349" s="25"/>
      <c r="AX1349" s="25"/>
      <c r="AY1349" s="25"/>
      <c r="AZ1349" s="25"/>
      <c r="BA1349" s="25"/>
      <c r="BB1349" s="25"/>
      <c r="BC1349" s="25"/>
      <c r="BD1349" s="25"/>
      <c r="BE1349" s="25"/>
      <c r="BF1349" s="25"/>
      <c r="BG1349" s="25"/>
      <c r="BH1349" s="25"/>
      <c r="BI1349" s="25"/>
      <c r="BJ1349" s="25"/>
      <c r="BK1349" s="25"/>
      <c r="BL1349" s="25"/>
      <c r="BM1349" s="25"/>
      <c r="BN1349" s="25"/>
      <c r="BO1349" s="25"/>
      <c r="BP1349" s="25"/>
      <c r="BQ1349" s="25"/>
      <c r="BR1349" s="25"/>
      <c r="BS1349" s="25"/>
      <c r="BT1349" s="25"/>
      <c r="BU1349" s="25"/>
      <c r="BV1349" s="25"/>
      <c r="BW1349" s="25"/>
      <c r="BX1349" s="25"/>
      <c r="BY1349" s="25"/>
      <c r="BZ1349" s="25"/>
      <c r="CA1349" s="25"/>
      <c r="CB1349" s="25"/>
    </row>
    <row r="1350" spans="1:80" ht="12.75" hidden="1" customHeight="1">
      <c r="A1350" s="10">
        <f ca="1">IFERROR(__xludf.DUMMYFUNCTION("""COMPUTED_VALUE"""),2018)</f>
        <v>2018</v>
      </c>
      <c r="B1350" s="50">
        <f ca="1">IFERROR(__xludf.DUMMYFUNCTION("""COMPUTED_VALUE"""),40735)</f>
        <v>40735</v>
      </c>
      <c r="C1350" s="41">
        <f ca="1">IFERROR(__xludf.DUMMYFUNCTION("""COMPUTED_VALUE"""),40613)</f>
        <v>40613</v>
      </c>
      <c r="D1350" s="42" t="str">
        <f ca="1">IFERROR(__xludf.DUMMYFUNCTION("""COMPUTED_VALUE"""),"Willow Tit")</f>
        <v>Willow Tit</v>
      </c>
      <c r="E1350" s="53">
        <f ca="1">IFERROR(__xludf.DUMMYFUNCTION("""COMPUTED_VALUE"""),2)</f>
        <v>2</v>
      </c>
      <c r="F1350" s="15"/>
      <c r="G1350" s="44" t="str">
        <f ca="1">IFERROR(__xludf.DUMMYFUNCTION("""COMPUTED_VALUE"""),"Neumann's Flash")</f>
        <v>Neumann's Flash</v>
      </c>
      <c r="H1350" s="12" t="str">
        <f ca="1">IFERROR(__xludf.DUMMYFUNCTION("""COMPUTED_VALUE"""),"all year")</f>
        <v>all year</v>
      </c>
      <c r="I1350" s="12"/>
      <c r="J1350" s="75" t="str">
        <f ca="1">IFERROR(__xludf.DUMMYFUNCTION("""COMPUTED_VALUE"""),"Baker, G")</f>
        <v>Baker, G</v>
      </c>
      <c r="K1350" s="15" t="str">
        <f ca="1">IFERROR(__xludf.DUMMYFUNCTION("""COMPUTED_VALUE"""),"Baker, G")</f>
        <v>Baker, G</v>
      </c>
      <c r="L1350" s="17" t="str">
        <f ca="1">IFERROR(__xludf.DUMMYFUNCTION("""COMPUTED_VALUE"""),"closed")</f>
        <v>closed</v>
      </c>
      <c r="M1350" s="17" t="str">
        <f ca="1">IFERROR(__xludf.DUMMYFUNCTION("""COMPUTED_VALUE"""),"1st U")</f>
        <v>1st U</v>
      </c>
      <c r="N1350" s="15" t="str">
        <f ca="1">IFERROR(__xludf.DUMMYFUNCTION("""COMPUTED_VALUE"""),"Accepted")</f>
        <v>Accepted</v>
      </c>
      <c r="O1350" s="76"/>
      <c r="P1350" s="15"/>
      <c r="Q1350" s="15"/>
      <c r="R1350" s="58"/>
      <c r="S1350" s="15"/>
      <c r="T1350" s="15"/>
      <c r="U1350" s="15"/>
      <c r="V1350" s="15"/>
      <c r="W1350" s="15"/>
      <c r="X1350" s="15"/>
      <c r="Y1350" s="15"/>
      <c r="Z1350" s="15"/>
      <c r="AA1350" s="15"/>
      <c r="AB1350" s="15"/>
      <c r="AC1350" s="15"/>
      <c r="AD1350" s="15"/>
      <c r="AE1350" s="15"/>
      <c r="AF1350" s="15"/>
      <c r="AG1350" s="15"/>
      <c r="AH1350" s="15"/>
      <c r="AI1350" s="15"/>
      <c r="AJ1350" s="15"/>
      <c r="AK1350" s="15"/>
      <c r="AL1350" s="15"/>
      <c r="AM1350" s="15"/>
      <c r="AN1350" s="15"/>
      <c r="AO1350" s="15"/>
      <c r="AP1350" s="15"/>
      <c r="AQ1350" s="15"/>
      <c r="AR1350" s="15"/>
      <c r="AS1350" s="15"/>
      <c r="AT1350" s="15"/>
      <c r="AU1350" s="15"/>
      <c r="AV1350" s="15"/>
      <c r="AW1350" s="15"/>
      <c r="AX1350" s="15"/>
      <c r="AY1350" s="15"/>
      <c r="AZ1350" s="15"/>
      <c r="BA1350" s="15"/>
      <c r="BB1350" s="15"/>
      <c r="BC1350" s="15"/>
      <c r="BD1350" s="15"/>
      <c r="BE1350" s="15"/>
      <c r="BF1350" s="15"/>
      <c r="BG1350" s="15"/>
      <c r="BH1350" s="15"/>
      <c r="BI1350" s="15"/>
      <c r="BJ1350" s="15"/>
      <c r="BK1350" s="15"/>
      <c r="BL1350" s="15"/>
      <c r="BM1350" s="15"/>
      <c r="BN1350" s="15"/>
      <c r="BO1350" s="15"/>
      <c r="BP1350" s="15"/>
      <c r="BQ1350" s="15"/>
      <c r="BR1350" s="15"/>
      <c r="BS1350" s="15"/>
      <c r="BT1350" s="15"/>
      <c r="BU1350" s="15"/>
      <c r="BV1350" s="15"/>
      <c r="BW1350" s="15"/>
      <c r="BX1350" s="15"/>
      <c r="BY1350" s="15"/>
      <c r="BZ1350" s="15"/>
      <c r="CA1350" s="15"/>
      <c r="CB1350" s="15"/>
    </row>
    <row r="1351" spans="1:80" ht="12.75" hidden="1" customHeight="1">
      <c r="A1351" s="20">
        <f ca="1">IFERROR(__xludf.DUMMYFUNCTION("""COMPUTED_VALUE"""),2018)</f>
        <v>2018</v>
      </c>
      <c r="B1351" s="45">
        <f ca="1">IFERROR(__xludf.DUMMYFUNCTION("""COMPUTED_VALUE"""),43881)</f>
        <v>43881</v>
      </c>
      <c r="C1351" s="46"/>
      <c r="D1351" s="47" t="str">
        <f ca="1">IFERROR(__xludf.DUMMYFUNCTION("""COMPUTED_VALUE"""),"Yellow-browed Warbler")</f>
        <v>Yellow-browed Warbler</v>
      </c>
      <c r="E1351" s="52">
        <f ca="1">IFERROR(__xludf.DUMMYFUNCTION("""COMPUTED_VALUE"""),1)</f>
        <v>1</v>
      </c>
      <c r="F1351" s="25"/>
      <c r="G1351" s="71" t="str">
        <f ca="1">IFERROR(__xludf.DUMMYFUNCTION("""COMPUTED_VALUE"""),"Hilbre")</f>
        <v>Hilbre</v>
      </c>
      <c r="H1351" s="22">
        <f ca="1">IFERROR(__xludf.DUMMYFUNCTION("""COMPUTED_VALUE"""),43383)</f>
        <v>43383</v>
      </c>
      <c r="I1351" s="22">
        <f ca="1">IFERROR(__xludf.DUMMYFUNCTION("""COMPUTED_VALUE"""),43383)</f>
        <v>43383</v>
      </c>
      <c r="J1351" s="73"/>
      <c r="K1351" s="25"/>
      <c r="L1351" s="27" t="str">
        <f ca="1">IFERROR(__xludf.DUMMYFUNCTION("""COMPUTED_VALUE"""),"closed")</f>
        <v>closed</v>
      </c>
      <c r="M1351" s="27" t="str">
        <f ca="1">IFERROR(__xludf.DUMMYFUNCTION("""COMPUTED_VALUE"""),"-")</f>
        <v>-</v>
      </c>
      <c r="N1351" s="40" t="str">
        <f ca="1">IFERROR(__xludf.DUMMYFUNCTION("""COMPUTED_VALUE"""),"exemption")</f>
        <v>exemption</v>
      </c>
      <c r="O1351" s="74" t="str">
        <f ca="1">IFERROR(__xludf.DUMMYFUNCTION("""COMPUTED_VALUE"""),"not assessed but publish as reported from")</f>
        <v>not assessed but publish as reported from</v>
      </c>
      <c r="P1351" s="25"/>
      <c r="Q1351" s="25"/>
      <c r="R1351" s="40"/>
      <c r="S1351" s="25"/>
      <c r="T1351" s="25"/>
      <c r="U1351" s="25"/>
      <c r="V1351" s="25"/>
      <c r="W1351" s="25"/>
      <c r="X1351" s="25"/>
      <c r="Y1351" s="25"/>
      <c r="Z1351" s="25"/>
      <c r="AA1351" s="25"/>
      <c r="AB1351" s="25"/>
      <c r="AC1351" s="25"/>
      <c r="AD1351" s="25"/>
      <c r="AE1351" s="25"/>
      <c r="AF1351" s="25"/>
      <c r="AG1351" s="25"/>
      <c r="AH1351" s="25"/>
      <c r="AI1351" s="25"/>
      <c r="AJ1351" s="25"/>
      <c r="AK1351" s="25"/>
      <c r="AL1351" s="25"/>
      <c r="AM1351" s="25"/>
      <c r="AN1351" s="25"/>
      <c r="AO1351" s="25"/>
      <c r="AP1351" s="25"/>
      <c r="AQ1351" s="25"/>
      <c r="AR1351" s="25"/>
      <c r="AS1351" s="25"/>
      <c r="AT1351" s="25"/>
      <c r="AU1351" s="25"/>
      <c r="AV1351" s="25"/>
      <c r="AW1351" s="25"/>
      <c r="AX1351" s="25"/>
      <c r="AY1351" s="25"/>
      <c r="AZ1351" s="25"/>
      <c r="BA1351" s="25"/>
      <c r="BB1351" s="25"/>
      <c r="BC1351" s="25"/>
      <c r="BD1351" s="25"/>
      <c r="BE1351" s="25"/>
      <c r="BF1351" s="25"/>
      <c r="BG1351" s="25"/>
      <c r="BH1351" s="25"/>
      <c r="BI1351" s="25"/>
      <c r="BJ1351" s="25"/>
      <c r="BK1351" s="25"/>
      <c r="BL1351" s="25"/>
      <c r="BM1351" s="25"/>
      <c r="BN1351" s="25"/>
      <c r="BO1351" s="25"/>
      <c r="BP1351" s="25"/>
      <c r="BQ1351" s="25"/>
      <c r="BR1351" s="25"/>
      <c r="BS1351" s="25"/>
      <c r="BT1351" s="25"/>
      <c r="BU1351" s="25"/>
      <c r="BV1351" s="25"/>
      <c r="BW1351" s="25"/>
      <c r="BX1351" s="25"/>
      <c r="BY1351" s="25"/>
      <c r="BZ1351" s="25"/>
      <c r="CA1351" s="25"/>
      <c r="CB1351" s="25"/>
    </row>
    <row r="1352" spans="1:80" ht="12.75" hidden="1" customHeight="1">
      <c r="A1352" s="10">
        <f ca="1">IFERROR(__xludf.DUMMYFUNCTION("""COMPUTED_VALUE"""),2018)</f>
        <v>2018</v>
      </c>
      <c r="B1352" s="50">
        <f ca="1">IFERROR(__xludf.DUMMYFUNCTION("""COMPUTED_VALUE"""),43955)</f>
        <v>43955</v>
      </c>
      <c r="C1352" s="41">
        <f ca="1">IFERROR(__xludf.DUMMYFUNCTION("""COMPUTED_VALUE"""),43867)</f>
        <v>43867</v>
      </c>
      <c r="D1352" s="42" t="str">
        <f ca="1">IFERROR(__xludf.DUMMYFUNCTION("""COMPUTED_VALUE"""),"Yellow-browed Warbler")</f>
        <v>Yellow-browed Warbler</v>
      </c>
      <c r="E1352" s="53">
        <f ca="1">IFERROR(__xludf.DUMMYFUNCTION("""COMPUTED_VALUE"""),1)</f>
        <v>1</v>
      </c>
      <c r="F1352" s="15"/>
      <c r="G1352" s="44" t="str">
        <f ca="1">IFERROR(__xludf.DUMMYFUNCTION("""COMPUTED_VALUE"""),"Red Rocks, Hoylake")</f>
        <v>Red Rocks, Hoylake</v>
      </c>
      <c r="H1352" s="12">
        <f ca="1">IFERROR(__xludf.DUMMYFUNCTION("""COMPUTED_VALUE"""),43383)</f>
        <v>43383</v>
      </c>
      <c r="I1352" s="12">
        <f ca="1">IFERROR(__xludf.DUMMYFUNCTION("""COMPUTED_VALUE"""),43383)</f>
        <v>43383</v>
      </c>
      <c r="J1352" s="14" t="str">
        <f ca="1">IFERROR(__xludf.DUMMYFUNCTION("""COMPUTED_VALUE"""),"Turner, JE")</f>
        <v>Turner, JE</v>
      </c>
      <c r="K1352" s="15" t="str">
        <f ca="1">IFERROR(__xludf.DUMMYFUNCTION("""COMPUTED_VALUE"""),"Turner, JE")</f>
        <v>Turner, JE</v>
      </c>
      <c r="L1352" s="17" t="str">
        <f ca="1">IFERROR(__xludf.DUMMYFUNCTION("""COMPUTED_VALUE"""),"closed")</f>
        <v>closed</v>
      </c>
      <c r="M1352" s="17" t="str">
        <f ca="1">IFERROR(__xludf.DUMMYFUNCTION("""COMPUTED_VALUE"""),"1st U")</f>
        <v>1st U</v>
      </c>
      <c r="N1352" s="15" t="str">
        <f ca="1">IFERROR(__xludf.DUMMYFUNCTION("""COMPUTED_VALUE"""),"accepted")</f>
        <v>accepted</v>
      </c>
      <c r="O1352" s="18"/>
      <c r="P1352" s="15"/>
      <c r="Q1352" s="15"/>
      <c r="R1352" s="15"/>
      <c r="S1352" s="15"/>
      <c r="T1352" s="15"/>
      <c r="U1352" s="15"/>
      <c r="V1352" s="15"/>
      <c r="W1352" s="15"/>
      <c r="X1352" s="15"/>
      <c r="Y1352" s="15"/>
      <c r="Z1352" s="15"/>
      <c r="AA1352" s="15"/>
      <c r="AB1352" s="15"/>
      <c r="AC1352" s="15"/>
      <c r="AD1352" s="15"/>
      <c r="AE1352" s="15"/>
      <c r="AF1352" s="15"/>
      <c r="AG1352" s="15"/>
      <c r="AH1352" s="15"/>
      <c r="AI1352" s="15"/>
      <c r="AJ1352" s="15"/>
      <c r="AK1352" s="15"/>
      <c r="AL1352" s="15"/>
      <c r="AM1352" s="15"/>
      <c r="AN1352" s="15"/>
      <c r="AO1352" s="15"/>
      <c r="AP1352" s="15"/>
      <c r="AQ1352" s="15"/>
      <c r="AR1352" s="15"/>
      <c r="AS1352" s="15"/>
      <c r="AT1352" s="15"/>
      <c r="AU1352" s="15"/>
      <c r="AV1352" s="15"/>
      <c r="AW1352" s="15"/>
      <c r="AX1352" s="15"/>
      <c r="AY1352" s="15"/>
      <c r="AZ1352" s="15"/>
      <c r="BA1352" s="15"/>
      <c r="BB1352" s="15"/>
      <c r="BC1352" s="15"/>
      <c r="BD1352" s="15"/>
      <c r="BE1352" s="15"/>
      <c r="BF1352" s="15"/>
      <c r="BG1352" s="15"/>
      <c r="BH1352" s="15"/>
      <c r="BI1352" s="15"/>
      <c r="BJ1352" s="15"/>
      <c r="BK1352" s="15"/>
      <c r="BL1352" s="15"/>
      <c r="BM1352" s="15"/>
      <c r="BN1352" s="15"/>
      <c r="BO1352" s="15"/>
      <c r="BP1352" s="15"/>
      <c r="BQ1352" s="15"/>
      <c r="BR1352" s="15"/>
      <c r="BS1352" s="15"/>
      <c r="BT1352" s="15"/>
      <c r="BU1352" s="15"/>
      <c r="BV1352" s="15"/>
      <c r="BW1352" s="15"/>
      <c r="BX1352" s="15"/>
      <c r="BY1352" s="15"/>
      <c r="BZ1352" s="15"/>
      <c r="CA1352" s="15"/>
      <c r="CB1352" s="15"/>
    </row>
    <row r="1353" spans="1:80" ht="12.75" hidden="1" customHeight="1">
      <c r="A1353" s="20">
        <f ca="1">IFERROR(__xludf.DUMMYFUNCTION("""COMPUTED_VALUE"""),2018)</f>
        <v>2018</v>
      </c>
      <c r="B1353" s="45">
        <f ca="1">IFERROR(__xludf.DUMMYFUNCTION("""COMPUTED_VALUE"""),43881)</f>
        <v>43881</v>
      </c>
      <c r="C1353" s="46"/>
      <c r="D1353" s="47" t="str">
        <f ca="1">IFERROR(__xludf.DUMMYFUNCTION("""COMPUTED_VALUE"""),"Yellow-browed Warbler")</f>
        <v>Yellow-browed Warbler</v>
      </c>
      <c r="E1353" s="52">
        <f ca="1">IFERROR(__xludf.DUMMYFUNCTION("""COMPUTED_VALUE"""),1)</f>
        <v>1</v>
      </c>
      <c r="F1353" s="25"/>
      <c r="G1353" s="48" t="str">
        <f ca="1">IFERROR(__xludf.DUMMYFUNCTION("""COMPUTED_VALUE"""),"Hilbre")</f>
        <v>Hilbre</v>
      </c>
      <c r="H1353" s="22">
        <f ca="1">IFERROR(__xludf.DUMMYFUNCTION("""COMPUTED_VALUE"""),43384)</f>
        <v>43384</v>
      </c>
      <c r="I1353" s="22">
        <f ca="1">IFERROR(__xludf.DUMMYFUNCTION("""COMPUTED_VALUE"""),43384)</f>
        <v>43384</v>
      </c>
      <c r="J1353" s="24"/>
      <c r="K1353" s="25"/>
      <c r="L1353" s="27" t="str">
        <f ca="1">IFERROR(__xludf.DUMMYFUNCTION("""COMPUTED_VALUE"""),"closed")</f>
        <v>closed</v>
      </c>
      <c r="M1353" s="27" t="str">
        <f ca="1">IFERROR(__xludf.DUMMYFUNCTION("""COMPUTED_VALUE"""),"-")</f>
        <v>-</v>
      </c>
      <c r="N1353" s="25" t="str">
        <f ca="1">IFERROR(__xludf.DUMMYFUNCTION("""COMPUTED_VALUE"""),"exemption")</f>
        <v>exemption</v>
      </c>
      <c r="O1353" s="28" t="str">
        <f ca="1">IFERROR(__xludf.DUMMYFUNCTION("""COMPUTED_VALUE"""),"not assessed but publish as reported from")</f>
        <v>not assessed but publish as reported from</v>
      </c>
      <c r="P1353" s="25"/>
      <c r="Q1353" s="25"/>
      <c r="R1353" s="25"/>
      <c r="S1353" s="25"/>
      <c r="T1353" s="25"/>
      <c r="U1353" s="25"/>
      <c r="V1353" s="25"/>
      <c r="W1353" s="25"/>
      <c r="X1353" s="25"/>
      <c r="Y1353" s="25"/>
      <c r="Z1353" s="25"/>
      <c r="AA1353" s="25"/>
      <c r="AB1353" s="25"/>
      <c r="AC1353" s="25"/>
      <c r="AD1353" s="25"/>
      <c r="AE1353" s="25"/>
      <c r="AF1353" s="25"/>
      <c r="AG1353" s="25"/>
      <c r="AH1353" s="25"/>
      <c r="AI1353" s="25"/>
      <c r="AJ1353" s="25"/>
      <c r="AK1353" s="25"/>
      <c r="AL1353" s="25"/>
      <c r="AM1353" s="25"/>
      <c r="AN1353" s="25"/>
      <c r="AO1353" s="25"/>
      <c r="AP1353" s="25"/>
      <c r="AQ1353" s="25"/>
      <c r="AR1353" s="25"/>
      <c r="AS1353" s="25"/>
      <c r="AT1353" s="25"/>
      <c r="AU1353" s="25"/>
      <c r="AV1353" s="25"/>
      <c r="AW1353" s="25"/>
      <c r="AX1353" s="25"/>
      <c r="AY1353" s="25"/>
      <c r="AZ1353" s="25"/>
      <c r="BA1353" s="25"/>
      <c r="BB1353" s="25"/>
      <c r="BC1353" s="25"/>
      <c r="BD1353" s="25"/>
      <c r="BE1353" s="25"/>
      <c r="BF1353" s="25"/>
      <c r="BG1353" s="25"/>
      <c r="BH1353" s="25"/>
      <c r="BI1353" s="25"/>
      <c r="BJ1353" s="25"/>
      <c r="BK1353" s="25"/>
      <c r="BL1353" s="25"/>
      <c r="BM1353" s="25"/>
      <c r="BN1353" s="25"/>
      <c r="BO1353" s="25"/>
      <c r="BP1353" s="25"/>
      <c r="BQ1353" s="25"/>
      <c r="BR1353" s="25"/>
      <c r="BS1353" s="25"/>
      <c r="BT1353" s="25"/>
      <c r="BU1353" s="25"/>
      <c r="BV1353" s="25"/>
      <c r="BW1353" s="25"/>
      <c r="BX1353" s="25"/>
      <c r="BY1353" s="25"/>
      <c r="BZ1353" s="25"/>
      <c r="CA1353" s="25"/>
      <c r="CB1353" s="25"/>
    </row>
    <row r="1354" spans="1:80" ht="12.75" hidden="1" customHeight="1">
      <c r="A1354" s="10">
        <f ca="1">IFERROR(__xludf.DUMMYFUNCTION("""COMPUTED_VALUE"""),2018)</f>
        <v>2018</v>
      </c>
      <c r="B1354" s="50">
        <f ca="1">IFERROR(__xludf.DUMMYFUNCTION("""COMPUTED_VALUE"""),43955)</f>
        <v>43955</v>
      </c>
      <c r="C1354" s="41">
        <f ca="1">IFERROR(__xludf.DUMMYFUNCTION("""COMPUTED_VALUE"""),43868)</f>
        <v>43868</v>
      </c>
      <c r="D1354" s="42" t="str">
        <f ca="1">IFERROR(__xludf.DUMMYFUNCTION("""COMPUTED_VALUE"""),"Yellow-browed Warbler")</f>
        <v>Yellow-browed Warbler</v>
      </c>
      <c r="E1354" s="53">
        <f ca="1">IFERROR(__xludf.DUMMYFUNCTION("""COMPUTED_VALUE"""),1)</f>
        <v>1</v>
      </c>
      <c r="F1354" s="15"/>
      <c r="G1354" s="44" t="str">
        <f ca="1">IFERROR(__xludf.DUMMYFUNCTION("""COMPUTED_VALUE"""),"Leasowe")</f>
        <v>Leasowe</v>
      </c>
      <c r="H1354" s="12">
        <f ca="1">IFERROR(__xludf.DUMMYFUNCTION("""COMPUTED_VALUE"""),43384)</f>
        <v>43384</v>
      </c>
      <c r="I1354" s="12">
        <f ca="1">IFERROR(__xludf.DUMMYFUNCTION("""COMPUTED_VALUE"""),43387)</f>
        <v>43387</v>
      </c>
      <c r="J1354" s="14" t="str">
        <f ca="1">IFERROR(__xludf.DUMMYFUNCTION("""COMPUTED_VALUE"""),"Williams, E")</f>
        <v>Williams, E</v>
      </c>
      <c r="K1354" s="15" t="str">
        <f ca="1">IFERROR(__xludf.DUMMYFUNCTION("""COMPUTED_VALUE"""),"Williams, E")</f>
        <v>Williams, E</v>
      </c>
      <c r="L1354" s="17" t="str">
        <f ca="1">IFERROR(__xludf.DUMMYFUNCTION("""COMPUTED_VALUE"""),"closed")</f>
        <v>closed</v>
      </c>
      <c r="M1354" s="17" t="str">
        <f ca="1">IFERROR(__xludf.DUMMYFUNCTION("""COMPUTED_VALUE"""),"1st U")</f>
        <v>1st U</v>
      </c>
      <c r="N1354" s="15" t="str">
        <f ca="1">IFERROR(__xludf.DUMMYFUNCTION("""COMPUTED_VALUE"""),"accepted")</f>
        <v>accepted</v>
      </c>
      <c r="O1354" s="18"/>
      <c r="P1354" s="15"/>
      <c r="Q1354" s="15"/>
      <c r="R1354" s="15"/>
      <c r="S1354" s="15"/>
      <c r="T1354" s="15"/>
      <c r="U1354" s="15"/>
      <c r="V1354" s="15"/>
      <c r="W1354" s="15"/>
      <c r="X1354" s="15"/>
      <c r="Y1354" s="15"/>
      <c r="Z1354" s="15"/>
      <c r="AA1354" s="15"/>
      <c r="AB1354" s="15"/>
      <c r="AC1354" s="15"/>
      <c r="AD1354" s="15"/>
      <c r="AE1354" s="15"/>
      <c r="AF1354" s="15"/>
      <c r="AG1354" s="15"/>
      <c r="AH1354" s="15"/>
      <c r="AI1354" s="15"/>
      <c r="AJ1354" s="15"/>
      <c r="AK1354" s="15"/>
      <c r="AL1354" s="15"/>
      <c r="AM1354" s="15"/>
      <c r="AN1354" s="15"/>
      <c r="AO1354" s="15"/>
      <c r="AP1354" s="15"/>
      <c r="AQ1354" s="15"/>
      <c r="AR1354" s="15"/>
      <c r="AS1354" s="15"/>
      <c r="AT1354" s="15"/>
      <c r="AU1354" s="15"/>
      <c r="AV1354" s="15"/>
      <c r="AW1354" s="15"/>
      <c r="AX1354" s="15"/>
      <c r="AY1354" s="15"/>
      <c r="AZ1354" s="15"/>
      <c r="BA1354" s="15"/>
      <c r="BB1354" s="15"/>
      <c r="BC1354" s="15"/>
      <c r="BD1354" s="15"/>
      <c r="BE1354" s="15"/>
      <c r="BF1354" s="15"/>
      <c r="BG1354" s="15"/>
      <c r="BH1354" s="15"/>
      <c r="BI1354" s="15"/>
      <c r="BJ1354" s="15"/>
      <c r="BK1354" s="15"/>
      <c r="BL1354" s="15"/>
      <c r="BM1354" s="15"/>
      <c r="BN1354" s="15"/>
      <c r="BO1354" s="15"/>
      <c r="BP1354" s="15"/>
      <c r="BQ1354" s="15"/>
      <c r="BR1354" s="15"/>
      <c r="BS1354" s="15"/>
      <c r="BT1354" s="15"/>
      <c r="BU1354" s="15"/>
      <c r="BV1354" s="15"/>
      <c r="BW1354" s="15"/>
      <c r="BX1354" s="15"/>
      <c r="BY1354" s="15"/>
      <c r="BZ1354" s="15"/>
      <c r="CA1354" s="15"/>
      <c r="CB1354" s="15"/>
    </row>
    <row r="1355" spans="1:80" ht="12.75" hidden="1" customHeight="1">
      <c r="A1355" s="20">
        <f ca="1">IFERROR(__xludf.DUMMYFUNCTION("""COMPUTED_VALUE"""),2018)</f>
        <v>2018</v>
      </c>
      <c r="B1355" s="45">
        <f ca="1">IFERROR(__xludf.DUMMYFUNCTION("""COMPUTED_VALUE"""),43881)</f>
        <v>43881</v>
      </c>
      <c r="C1355" s="46"/>
      <c r="D1355" s="47" t="str">
        <f ca="1">IFERROR(__xludf.DUMMYFUNCTION("""COMPUTED_VALUE"""),"Yellow-browed Warbler")</f>
        <v>Yellow-browed Warbler</v>
      </c>
      <c r="E1355" s="52">
        <f ca="1">IFERROR(__xludf.DUMMYFUNCTION("""COMPUTED_VALUE"""),1)</f>
        <v>1</v>
      </c>
      <c r="F1355" s="25"/>
      <c r="G1355" s="48" t="str">
        <f ca="1">IFERROR(__xludf.DUMMYFUNCTION("""COMPUTED_VALUE"""),"Houghton Green Pool")</f>
        <v>Houghton Green Pool</v>
      </c>
      <c r="H1355" s="22">
        <f ca="1">IFERROR(__xludf.DUMMYFUNCTION("""COMPUTED_VALUE"""),43387)</f>
        <v>43387</v>
      </c>
      <c r="I1355" s="22">
        <f ca="1">IFERROR(__xludf.DUMMYFUNCTION("""COMPUTED_VALUE"""),43387)</f>
        <v>43387</v>
      </c>
      <c r="J1355" s="24"/>
      <c r="K1355" s="25"/>
      <c r="L1355" s="27" t="str">
        <f ca="1">IFERROR(__xludf.DUMMYFUNCTION("""COMPUTED_VALUE"""),"closed")</f>
        <v>closed</v>
      </c>
      <c r="M1355" s="27" t="str">
        <f ca="1">IFERROR(__xludf.DUMMYFUNCTION("""COMPUTED_VALUE"""),"-")</f>
        <v>-</v>
      </c>
      <c r="N1355" s="25" t="str">
        <f ca="1">IFERROR(__xludf.DUMMYFUNCTION("""COMPUTED_VALUE"""),"exemption")</f>
        <v>exemption</v>
      </c>
      <c r="O1355" s="28" t="str">
        <f ca="1">IFERROR(__xludf.DUMMYFUNCTION("""COMPUTED_VALUE"""),"not assessed but publish as reported from")</f>
        <v>not assessed but publish as reported from</v>
      </c>
      <c r="P1355" s="25"/>
      <c r="Q1355" s="25"/>
      <c r="R1355" s="25"/>
      <c r="S1355" s="25"/>
      <c r="T1355" s="25"/>
      <c r="U1355" s="25"/>
      <c r="V1355" s="25"/>
      <c r="W1355" s="25"/>
      <c r="X1355" s="25"/>
      <c r="Y1355" s="25"/>
      <c r="Z1355" s="25"/>
      <c r="AA1355" s="25"/>
      <c r="AB1355" s="25"/>
      <c r="AC1355" s="25"/>
      <c r="AD1355" s="25"/>
      <c r="AE1355" s="25"/>
      <c r="AF1355" s="25"/>
      <c r="AG1355" s="25"/>
      <c r="AH1355" s="25"/>
      <c r="AI1355" s="25"/>
      <c r="AJ1355" s="25"/>
      <c r="AK1355" s="25"/>
      <c r="AL1355" s="25"/>
      <c r="AM1355" s="25"/>
      <c r="AN1355" s="25"/>
      <c r="AO1355" s="25"/>
      <c r="AP1355" s="25"/>
      <c r="AQ1355" s="25"/>
      <c r="AR1355" s="25"/>
      <c r="AS1355" s="25"/>
      <c r="AT1355" s="25"/>
      <c r="AU1355" s="25"/>
      <c r="AV1355" s="25"/>
      <c r="AW1355" s="25"/>
      <c r="AX1355" s="25"/>
      <c r="AY1355" s="25"/>
      <c r="AZ1355" s="25"/>
      <c r="BA1355" s="25"/>
      <c r="BB1355" s="25"/>
      <c r="BC1355" s="25"/>
      <c r="BD1355" s="25"/>
      <c r="BE1355" s="25"/>
      <c r="BF1355" s="25"/>
      <c r="BG1355" s="25"/>
      <c r="BH1355" s="25"/>
      <c r="BI1355" s="25"/>
      <c r="BJ1355" s="25"/>
      <c r="BK1355" s="25"/>
      <c r="BL1355" s="25"/>
      <c r="BM1355" s="25"/>
      <c r="BN1355" s="25"/>
      <c r="BO1355" s="25"/>
      <c r="BP1355" s="25"/>
      <c r="BQ1355" s="25"/>
      <c r="BR1355" s="25"/>
      <c r="BS1355" s="25"/>
      <c r="BT1355" s="25"/>
      <c r="BU1355" s="25"/>
      <c r="BV1355" s="25"/>
      <c r="BW1355" s="25"/>
      <c r="BX1355" s="25"/>
      <c r="BY1355" s="25"/>
      <c r="BZ1355" s="25"/>
      <c r="CA1355" s="25"/>
      <c r="CB1355" s="25"/>
    </row>
    <row r="1356" spans="1:80" ht="12.75" hidden="1" customHeight="1">
      <c r="A1356" s="10">
        <f ca="1">IFERROR(__xludf.DUMMYFUNCTION("""COMPUTED_VALUE"""),2018)</f>
        <v>2018</v>
      </c>
      <c r="B1356" s="50">
        <f ca="1">IFERROR(__xludf.DUMMYFUNCTION("""COMPUTED_VALUE"""),43881)</f>
        <v>43881</v>
      </c>
      <c r="C1356" s="41"/>
      <c r="D1356" s="42" t="str">
        <f ca="1">IFERROR(__xludf.DUMMYFUNCTION("""COMPUTED_VALUE"""),"Yellow-browed Warbler")</f>
        <v>Yellow-browed Warbler</v>
      </c>
      <c r="E1356" s="53">
        <f ca="1">IFERROR(__xludf.DUMMYFUNCTION("""COMPUTED_VALUE"""),1)</f>
        <v>1</v>
      </c>
      <c r="F1356" s="15"/>
      <c r="G1356" s="44" t="str">
        <f ca="1">IFERROR(__xludf.DUMMYFUNCTION("""COMPUTED_VALUE"""),"Hilbre")</f>
        <v>Hilbre</v>
      </c>
      <c r="H1356" s="12">
        <f ca="1">IFERROR(__xludf.DUMMYFUNCTION("""COMPUTED_VALUE"""),43388)</f>
        <v>43388</v>
      </c>
      <c r="I1356" s="12">
        <f ca="1">IFERROR(__xludf.DUMMYFUNCTION("""COMPUTED_VALUE"""),43388)</f>
        <v>43388</v>
      </c>
      <c r="J1356" s="14"/>
      <c r="K1356" s="15"/>
      <c r="L1356" s="17" t="str">
        <f ca="1">IFERROR(__xludf.DUMMYFUNCTION("""COMPUTED_VALUE"""),"closed")</f>
        <v>closed</v>
      </c>
      <c r="M1356" s="17" t="str">
        <f ca="1">IFERROR(__xludf.DUMMYFUNCTION("""COMPUTED_VALUE"""),"-")</f>
        <v>-</v>
      </c>
      <c r="N1356" s="15" t="str">
        <f ca="1">IFERROR(__xludf.DUMMYFUNCTION("""COMPUTED_VALUE"""),"exemption")</f>
        <v>exemption</v>
      </c>
      <c r="O1356" s="18" t="str">
        <f ca="1">IFERROR(__xludf.DUMMYFUNCTION("""COMPUTED_VALUE"""),"not assessed but publish as reported from")</f>
        <v>not assessed but publish as reported from</v>
      </c>
      <c r="P1356" s="15"/>
      <c r="Q1356" s="15"/>
      <c r="R1356" s="15"/>
      <c r="S1356" s="15"/>
      <c r="T1356" s="15"/>
      <c r="U1356" s="15"/>
      <c r="V1356" s="15"/>
      <c r="W1356" s="15"/>
      <c r="X1356" s="15"/>
      <c r="Y1356" s="15"/>
      <c r="Z1356" s="15"/>
      <c r="AA1356" s="15"/>
      <c r="AB1356" s="15"/>
      <c r="AC1356" s="15"/>
      <c r="AD1356" s="15"/>
      <c r="AE1356" s="15"/>
      <c r="AF1356" s="15"/>
      <c r="AG1356" s="15"/>
      <c r="AH1356" s="15"/>
      <c r="AI1356" s="15"/>
      <c r="AJ1356" s="15"/>
      <c r="AK1356" s="15"/>
      <c r="AL1356" s="15"/>
      <c r="AM1356" s="15"/>
      <c r="AN1356" s="15"/>
      <c r="AO1356" s="15"/>
      <c r="AP1356" s="15"/>
      <c r="AQ1356" s="15"/>
      <c r="AR1356" s="15"/>
      <c r="AS1356" s="15"/>
      <c r="AT1356" s="15"/>
      <c r="AU1356" s="15"/>
      <c r="AV1356" s="15"/>
      <c r="AW1356" s="15"/>
      <c r="AX1356" s="15"/>
      <c r="AY1356" s="15"/>
      <c r="AZ1356" s="15"/>
      <c r="BA1356" s="15"/>
      <c r="BB1356" s="15"/>
      <c r="BC1356" s="15"/>
      <c r="BD1356" s="15"/>
      <c r="BE1356" s="15"/>
      <c r="BF1356" s="15"/>
      <c r="BG1356" s="15"/>
      <c r="BH1356" s="15"/>
      <c r="BI1356" s="15"/>
      <c r="BJ1356" s="15"/>
      <c r="BK1356" s="15"/>
      <c r="BL1356" s="15"/>
      <c r="BM1356" s="15"/>
      <c r="BN1356" s="15"/>
      <c r="BO1356" s="15"/>
      <c r="BP1356" s="15"/>
      <c r="BQ1356" s="15"/>
      <c r="BR1356" s="15"/>
      <c r="BS1356" s="15"/>
      <c r="BT1356" s="15"/>
      <c r="BU1356" s="15"/>
      <c r="BV1356" s="15"/>
      <c r="BW1356" s="15"/>
      <c r="BX1356" s="15"/>
      <c r="BY1356" s="15"/>
      <c r="BZ1356" s="15"/>
      <c r="CA1356" s="15"/>
      <c r="CB1356" s="15"/>
    </row>
    <row r="1357" spans="1:80" ht="12.75" hidden="1" customHeight="1">
      <c r="A1357" s="20">
        <f ca="1">IFERROR(__xludf.DUMMYFUNCTION("""COMPUTED_VALUE"""),2018)</f>
        <v>2018</v>
      </c>
      <c r="B1357" s="45">
        <f ca="1">IFERROR(__xludf.DUMMYFUNCTION("""COMPUTED_VALUE"""),43955)</f>
        <v>43955</v>
      </c>
      <c r="C1357" s="46">
        <f ca="1">IFERROR(__xludf.DUMMYFUNCTION("""COMPUTED_VALUE"""),43867)</f>
        <v>43867</v>
      </c>
      <c r="D1357" s="47" t="str">
        <f ca="1">IFERROR(__xludf.DUMMYFUNCTION("""COMPUTED_VALUE"""),"Yellow-browed Warbler")</f>
        <v>Yellow-browed Warbler</v>
      </c>
      <c r="E1357" s="52">
        <f ca="1">IFERROR(__xludf.DUMMYFUNCTION("""COMPUTED_VALUE"""),3)</f>
        <v>3</v>
      </c>
      <c r="F1357" s="25"/>
      <c r="G1357" s="48" t="str">
        <f ca="1">IFERROR(__xludf.DUMMYFUNCTION("""COMPUTED_VALUE"""),"Red Rocks, Hoylake")</f>
        <v>Red Rocks, Hoylake</v>
      </c>
      <c r="H1357" s="22">
        <f ca="1">IFERROR(__xludf.DUMMYFUNCTION("""COMPUTED_VALUE"""),43388)</f>
        <v>43388</v>
      </c>
      <c r="I1357" s="22">
        <f ca="1">IFERROR(__xludf.DUMMYFUNCTION("""COMPUTED_VALUE"""),43388)</f>
        <v>43388</v>
      </c>
      <c r="J1357" s="24" t="str">
        <f ca="1">IFERROR(__xludf.DUMMYFUNCTION("""COMPUTED_VALUE"""),"Turner, JE")</f>
        <v>Turner, JE</v>
      </c>
      <c r="K1357" s="25" t="str">
        <f ca="1">IFERROR(__xludf.DUMMYFUNCTION("""COMPUTED_VALUE"""),"Turner, JE")</f>
        <v>Turner, JE</v>
      </c>
      <c r="L1357" s="27" t="str">
        <f ca="1">IFERROR(__xludf.DUMMYFUNCTION("""COMPUTED_VALUE"""),"closed")</f>
        <v>closed</v>
      </c>
      <c r="M1357" s="27" t="str">
        <f ca="1">IFERROR(__xludf.DUMMYFUNCTION("""COMPUTED_VALUE"""),"1st U")</f>
        <v>1st U</v>
      </c>
      <c r="N1357" s="25" t="str">
        <f ca="1">IFERROR(__xludf.DUMMYFUNCTION("""COMPUTED_VALUE"""),"accepted")</f>
        <v>accepted</v>
      </c>
      <c r="O1357" s="28" t="str">
        <f ca="1">IFERROR(__xludf.DUMMYFUNCTION("""COMPUTED_VALUE"""),"one before 8 left high south. 2 together before 9am - also left to the south - all sound recorded")</f>
        <v>one before 8 left high south. 2 together before 9am - also left to the south - all sound recorded</v>
      </c>
      <c r="P1357" s="25"/>
      <c r="Q1357" s="25"/>
      <c r="R1357" s="25"/>
      <c r="S1357" s="25"/>
      <c r="T1357" s="25"/>
      <c r="U1357" s="25"/>
      <c r="V1357" s="25"/>
      <c r="W1357" s="25"/>
      <c r="X1357" s="25"/>
      <c r="Y1357" s="25"/>
      <c r="Z1357" s="25"/>
      <c r="AA1357" s="25"/>
      <c r="AB1357" s="25"/>
      <c r="AC1357" s="25"/>
      <c r="AD1357" s="25"/>
      <c r="AE1357" s="25"/>
      <c r="AF1357" s="25"/>
      <c r="AG1357" s="25"/>
      <c r="AH1357" s="25"/>
      <c r="AI1357" s="25"/>
      <c r="AJ1357" s="25"/>
      <c r="AK1357" s="25"/>
      <c r="AL1357" s="25"/>
      <c r="AM1357" s="25"/>
      <c r="AN1357" s="25"/>
      <c r="AO1357" s="25"/>
      <c r="AP1357" s="25"/>
      <c r="AQ1357" s="25"/>
      <c r="AR1357" s="25"/>
      <c r="AS1357" s="25"/>
      <c r="AT1357" s="25"/>
      <c r="AU1357" s="25"/>
      <c r="AV1357" s="25"/>
      <c r="AW1357" s="25"/>
      <c r="AX1357" s="25"/>
      <c r="AY1357" s="25"/>
      <c r="AZ1357" s="25"/>
      <c r="BA1357" s="25"/>
      <c r="BB1357" s="25"/>
      <c r="BC1357" s="25"/>
      <c r="BD1357" s="25"/>
      <c r="BE1357" s="25"/>
      <c r="BF1357" s="25"/>
      <c r="BG1357" s="25"/>
      <c r="BH1357" s="25"/>
      <c r="BI1357" s="25"/>
      <c r="BJ1357" s="25"/>
      <c r="BK1357" s="25"/>
      <c r="BL1357" s="25"/>
      <c r="BM1357" s="25"/>
      <c r="BN1357" s="25"/>
      <c r="BO1357" s="25"/>
      <c r="BP1357" s="25"/>
      <c r="BQ1357" s="25"/>
      <c r="BR1357" s="25"/>
      <c r="BS1357" s="25"/>
      <c r="BT1357" s="25"/>
      <c r="BU1357" s="25"/>
      <c r="BV1357" s="25"/>
      <c r="BW1357" s="25"/>
      <c r="BX1357" s="25"/>
      <c r="BY1357" s="25"/>
      <c r="BZ1357" s="25"/>
      <c r="CA1357" s="25"/>
      <c r="CB1357" s="25"/>
    </row>
    <row r="1358" spans="1:80" ht="12.75" hidden="1" customHeight="1">
      <c r="A1358" s="10">
        <f ca="1">IFERROR(__xludf.DUMMYFUNCTION("""COMPUTED_VALUE"""),2018)</f>
        <v>2018</v>
      </c>
      <c r="B1358" s="50">
        <f ca="1">IFERROR(__xludf.DUMMYFUNCTION("""COMPUTED_VALUE"""),43955)</f>
        <v>43955</v>
      </c>
      <c r="C1358" s="41">
        <f ca="1">IFERROR(__xludf.DUMMYFUNCTION("""COMPUTED_VALUE"""),43867)</f>
        <v>43867</v>
      </c>
      <c r="D1358" s="42" t="str">
        <f ca="1">IFERROR(__xludf.DUMMYFUNCTION("""COMPUTED_VALUE"""),"Yellow-browed Warbler")</f>
        <v>Yellow-browed Warbler</v>
      </c>
      <c r="E1358" s="53">
        <f ca="1">IFERROR(__xludf.DUMMYFUNCTION("""COMPUTED_VALUE"""),1)</f>
        <v>1</v>
      </c>
      <c r="F1358" s="15"/>
      <c r="G1358" s="62" t="str">
        <f ca="1">IFERROR(__xludf.DUMMYFUNCTION("""COMPUTED_VALUE"""),"Red Rocks, Hoylake")</f>
        <v>Red Rocks, Hoylake</v>
      </c>
      <c r="H1358" s="12">
        <f ca="1">IFERROR(__xludf.DUMMYFUNCTION("""COMPUTED_VALUE"""),43390)</f>
        <v>43390</v>
      </c>
      <c r="I1358" s="12">
        <f ca="1">IFERROR(__xludf.DUMMYFUNCTION("""COMPUTED_VALUE"""),43390)</f>
        <v>43390</v>
      </c>
      <c r="J1358" s="75" t="str">
        <f ca="1">IFERROR(__xludf.DUMMYFUNCTION("""COMPUTED_VALUE"""),"Turner, JE")</f>
        <v>Turner, JE</v>
      </c>
      <c r="K1358" s="15" t="str">
        <f ca="1">IFERROR(__xludf.DUMMYFUNCTION("""COMPUTED_VALUE"""),"Turner, JE")</f>
        <v>Turner, JE</v>
      </c>
      <c r="L1358" s="17" t="str">
        <f ca="1">IFERROR(__xludf.DUMMYFUNCTION("""COMPUTED_VALUE"""),"closed")</f>
        <v>closed</v>
      </c>
      <c r="M1358" s="17" t="str">
        <f ca="1">IFERROR(__xludf.DUMMYFUNCTION("""COMPUTED_VALUE"""),"1st U")</f>
        <v>1st U</v>
      </c>
      <c r="N1358" s="58" t="str">
        <f ca="1">IFERROR(__xludf.DUMMYFUNCTION("""COMPUTED_VALUE"""),"accepted")</f>
        <v>accepted</v>
      </c>
      <c r="O1358" s="76" t="str">
        <f ca="1">IFERROR(__xludf.DUMMYFUNCTION("""COMPUTED_VALUE"""),"moving south down the outer edge of the reed bed - sound recorded and seen departing high south")</f>
        <v>moving south down the outer edge of the reed bed - sound recorded and seen departing high south</v>
      </c>
      <c r="P1358" s="15"/>
      <c r="Q1358" s="15"/>
      <c r="R1358" s="58"/>
      <c r="S1358" s="15"/>
      <c r="T1358" s="15"/>
      <c r="U1358" s="15"/>
      <c r="V1358" s="15"/>
      <c r="W1358" s="15"/>
      <c r="X1358" s="15"/>
      <c r="Y1358" s="15"/>
      <c r="Z1358" s="15"/>
      <c r="AA1358" s="15"/>
      <c r="AB1358" s="15"/>
      <c r="AC1358" s="15"/>
      <c r="AD1358" s="15"/>
      <c r="AE1358" s="15"/>
      <c r="AF1358" s="15"/>
      <c r="AG1358" s="15"/>
      <c r="AH1358" s="15"/>
      <c r="AI1358" s="15"/>
      <c r="AJ1358" s="15"/>
      <c r="AK1358" s="15"/>
      <c r="AL1358" s="15"/>
      <c r="AM1358" s="15"/>
      <c r="AN1358" s="15"/>
      <c r="AO1358" s="15"/>
      <c r="AP1358" s="15"/>
      <c r="AQ1358" s="15"/>
      <c r="AR1358" s="15"/>
      <c r="AS1358" s="15"/>
      <c r="AT1358" s="15"/>
      <c r="AU1358" s="15"/>
      <c r="AV1358" s="15"/>
      <c r="AW1358" s="15"/>
      <c r="AX1358" s="15"/>
      <c r="AY1358" s="15"/>
      <c r="AZ1358" s="15"/>
      <c r="BA1358" s="15"/>
      <c r="BB1358" s="15"/>
      <c r="BC1358" s="15"/>
      <c r="BD1358" s="15"/>
      <c r="BE1358" s="15"/>
      <c r="BF1358" s="15"/>
      <c r="BG1358" s="15"/>
      <c r="BH1358" s="15"/>
      <c r="BI1358" s="15"/>
      <c r="BJ1358" s="15"/>
      <c r="BK1358" s="15"/>
      <c r="BL1358" s="15"/>
      <c r="BM1358" s="15"/>
      <c r="BN1358" s="15"/>
      <c r="BO1358" s="15"/>
      <c r="BP1358" s="15"/>
      <c r="BQ1358" s="15"/>
      <c r="BR1358" s="15"/>
      <c r="BS1358" s="15"/>
      <c r="BT1358" s="15"/>
      <c r="BU1358" s="15"/>
      <c r="BV1358" s="15"/>
      <c r="BW1358" s="15"/>
      <c r="BX1358" s="15"/>
      <c r="BY1358" s="15"/>
      <c r="BZ1358" s="15"/>
      <c r="CA1358" s="15"/>
      <c r="CB1358" s="15"/>
    </row>
    <row r="1359" spans="1:80" ht="12.75" hidden="1" customHeight="1">
      <c r="A1359" s="20">
        <f ca="1">IFERROR(__xludf.DUMMYFUNCTION("""COMPUTED_VALUE"""),2018)</f>
        <v>2018</v>
      </c>
      <c r="B1359" s="45">
        <f ca="1">IFERROR(__xludf.DUMMYFUNCTION("""COMPUTED_VALUE"""),43955)</f>
        <v>43955</v>
      </c>
      <c r="C1359" s="46">
        <f ca="1">IFERROR(__xludf.DUMMYFUNCTION("""COMPUTED_VALUE"""),43867)</f>
        <v>43867</v>
      </c>
      <c r="D1359" s="47" t="str">
        <f ca="1">IFERROR(__xludf.DUMMYFUNCTION("""COMPUTED_VALUE"""),"Yellow-browed Warbler")</f>
        <v>Yellow-browed Warbler</v>
      </c>
      <c r="E1359" s="52">
        <f ca="1">IFERROR(__xludf.DUMMYFUNCTION("""COMPUTED_VALUE"""),1)</f>
        <v>1</v>
      </c>
      <c r="F1359" s="25"/>
      <c r="G1359" s="48" t="str">
        <f ca="1">IFERROR(__xludf.DUMMYFUNCTION("""COMPUTED_VALUE"""),"Hale")</f>
        <v>Hale</v>
      </c>
      <c r="H1359" s="22">
        <f ca="1">IFERROR(__xludf.DUMMYFUNCTION("""COMPUTED_VALUE"""),43392)</f>
        <v>43392</v>
      </c>
      <c r="I1359" s="22">
        <f ca="1">IFERROR(__xludf.DUMMYFUNCTION("""COMPUTED_VALUE"""),43392)</f>
        <v>43392</v>
      </c>
      <c r="J1359" s="24" t="str">
        <f ca="1">IFERROR(__xludf.DUMMYFUNCTION("""COMPUTED_VALUE"""),"Cockbain, Rob &amp; Carol")</f>
        <v>Cockbain, Rob &amp; Carol</v>
      </c>
      <c r="K1359" s="25"/>
      <c r="L1359" s="27" t="str">
        <f ca="1">IFERROR(__xludf.DUMMYFUNCTION("""COMPUTED_VALUE"""),"closed")</f>
        <v>closed</v>
      </c>
      <c r="M1359" s="27" t="str">
        <f ca="1">IFERROR(__xludf.DUMMYFUNCTION("""COMPUTED_VALUE"""),"1st U")</f>
        <v>1st U</v>
      </c>
      <c r="N1359" s="25" t="str">
        <f ca="1">IFERROR(__xludf.DUMMYFUNCTION("""COMPUTED_VALUE"""),"accepted")</f>
        <v>accepted</v>
      </c>
      <c r="O1359" s="28"/>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K1359" s="25"/>
      <c r="AL1359" s="25"/>
      <c r="AM1359" s="25"/>
      <c r="AN1359" s="25"/>
      <c r="AO1359" s="25"/>
      <c r="AP1359" s="25"/>
      <c r="AQ1359" s="25"/>
      <c r="AR1359" s="25"/>
      <c r="AS1359" s="25"/>
      <c r="AT1359" s="25"/>
      <c r="AU1359" s="25"/>
      <c r="AV1359" s="25"/>
      <c r="AW1359" s="25"/>
      <c r="AX1359" s="25"/>
      <c r="AY1359" s="25"/>
      <c r="AZ1359" s="25"/>
      <c r="BA1359" s="25"/>
      <c r="BB1359" s="25"/>
      <c r="BC1359" s="25"/>
      <c r="BD1359" s="25"/>
      <c r="BE1359" s="25"/>
      <c r="BF1359" s="25"/>
      <c r="BG1359" s="25"/>
      <c r="BH1359" s="25"/>
      <c r="BI1359" s="25"/>
      <c r="BJ1359" s="25"/>
      <c r="BK1359" s="25"/>
      <c r="BL1359" s="25"/>
      <c r="BM1359" s="25"/>
      <c r="BN1359" s="25"/>
      <c r="BO1359" s="25"/>
      <c r="BP1359" s="25"/>
      <c r="BQ1359" s="25"/>
      <c r="BR1359" s="25"/>
      <c r="BS1359" s="25"/>
      <c r="BT1359" s="25"/>
      <c r="BU1359" s="25"/>
      <c r="BV1359" s="25"/>
      <c r="BW1359" s="25"/>
      <c r="BX1359" s="25"/>
      <c r="BY1359" s="25"/>
      <c r="BZ1359" s="25"/>
      <c r="CA1359" s="25"/>
      <c r="CB1359" s="25"/>
    </row>
    <row r="1360" spans="1:80" ht="12.75" hidden="1" customHeight="1">
      <c r="A1360" s="10">
        <f ca="1">IFERROR(__xludf.DUMMYFUNCTION("""COMPUTED_VALUE"""),2018)</f>
        <v>2018</v>
      </c>
      <c r="B1360" s="50">
        <f ca="1">IFERROR(__xludf.DUMMYFUNCTION("""COMPUTED_VALUE"""),43881)</f>
        <v>43881</v>
      </c>
      <c r="C1360" s="41"/>
      <c r="D1360" s="42" t="str">
        <f ca="1">IFERROR(__xludf.DUMMYFUNCTION("""COMPUTED_VALUE"""),"Yellow-browed Warbler")</f>
        <v>Yellow-browed Warbler</v>
      </c>
      <c r="E1360" s="53">
        <f ca="1">IFERROR(__xludf.DUMMYFUNCTION("""COMPUTED_VALUE"""),1)</f>
        <v>1</v>
      </c>
      <c r="F1360" s="15"/>
      <c r="G1360" s="44" t="str">
        <f ca="1">IFERROR(__xludf.DUMMYFUNCTION("""COMPUTED_VALUE"""),"No. 3 Bed, Woolston Eyes")</f>
        <v>No. 3 Bed, Woolston Eyes</v>
      </c>
      <c r="H1360" s="12">
        <f ca="1">IFERROR(__xludf.DUMMYFUNCTION("""COMPUTED_VALUE"""),43394)</f>
        <v>43394</v>
      </c>
      <c r="I1360" s="12">
        <f ca="1">IFERROR(__xludf.DUMMYFUNCTION("""COMPUTED_VALUE"""),43394)</f>
        <v>43394</v>
      </c>
      <c r="J1360" s="14"/>
      <c r="K1360" s="15"/>
      <c r="L1360" s="17" t="str">
        <f ca="1">IFERROR(__xludf.DUMMYFUNCTION("""COMPUTED_VALUE"""),"closed")</f>
        <v>closed</v>
      </c>
      <c r="M1360" s="17" t="str">
        <f ca="1">IFERROR(__xludf.DUMMYFUNCTION("""COMPUTED_VALUE"""),"-")</f>
        <v>-</v>
      </c>
      <c r="N1360" s="15" t="str">
        <f ca="1">IFERROR(__xludf.DUMMYFUNCTION("""COMPUTED_VALUE"""),"exemption")</f>
        <v>exemption</v>
      </c>
      <c r="O1360" s="18" t="str">
        <f ca="1">IFERROR(__xludf.DUMMYFUNCTION("""COMPUTED_VALUE"""),"not assessed but publish as reported from")</f>
        <v>not assessed but publish as reported from</v>
      </c>
      <c r="P1360" s="15"/>
      <c r="Q1360" s="15"/>
      <c r="R1360" s="15"/>
      <c r="S1360" s="15"/>
      <c r="T1360" s="15"/>
      <c r="U1360" s="15"/>
      <c r="V1360" s="15"/>
      <c r="W1360" s="15"/>
      <c r="X1360" s="15"/>
      <c r="Y1360" s="15"/>
      <c r="Z1360" s="15"/>
      <c r="AA1360" s="15"/>
      <c r="AB1360" s="15"/>
      <c r="AC1360" s="15"/>
      <c r="AD1360" s="15"/>
      <c r="AE1360" s="15"/>
      <c r="AF1360" s="15"/>
      <c r="AG1360" s="15"/>
      <c r="AH1360" s="15"/>
      <c r="AI1360" s="15"/>
      <c r="AJ1360" s="15"/>
      <c r="AK1360" s="15"/>
      <c r="AL1360" s="15"/>
      <c r="AM1360" s="15"/>
      <c r="AN1360" s="15"/>
      <c r="AO1360" s="15"/>
      <c r="AP1360" s="15"/>
      <c r="AQ1360" s="15"/>
      <c r="AR1360" s="15"/>
      <c r="AS1360" s="15"/>
      <c r="AT1360" s="15"/>
      <c r="AU1360" s="15"/>
      <c r="AV1360" s="15"/>
      <c r="AW1360" s="15"/>
      <c r="AX1360" s="15"/>
      <c r="AY1360" s="15"/>
      <c r="AZ1360" s="15"/>
      <c r="BA1360" s="15"/>
      <c r="BB1360" s="15"/>
      <c r="BC1360" s="15"/>
      <c r="BD1360" s="15"/>
      <c r="BE1360" s="15"/>
      <c r="BF1360" s="15"/>
      <c r="BG1360" s="15"/>
      <c r="BH1360" s="15"/>
      <c r="BI1360" s="15"/>
      <c r="BJ1360" s="15"/>
      <c r="BK1360" s="15"/>
      <c r="BL1360" s="15"/>
      <c r="BM1360" s="15"/>
      <c r="BN1360" s="15"/>
      <c r="BO1360" s="15"/>
      <c r="BP1360" s="15"/>
      <c r="BQ1360" s="15"/>
      <c r="BR1360" s="15"/>
      <c r="BS1360" s="15"/>
      <c r="BT1360" s="15"/>
      <c r="BU1360" s="15"/>
      <c r="BV1360" s="15"/>
      <c r="BW1360" s="15"/>
      <c r="BX1360" s="15"/>
      <c r="BY1360" s="15"/>
      <c r="BZ1360" s="15"/>
      <c r="CA1360" s="15"/>
      <c r="CB1360" s="15"/>
    </row>
    <row r="1361" spans="1:80" ht="12.75" hidden="1" customHeight="1">
      <c r="A1361" s="20">
        <f ca="1">IFERROR(__xludf.DUMMYFUNCTION("""COMPUTED_VALUE"""),2018)</f>
        <v>2018</v>
      </c>
      <c r="B1361" s="45">
        <f ca="1">IFERROR(__xludf.DUMMYFUNCTION("""COMPUTED_VALUE"""),44568)</f>
        <v>44568</v>
      </c>
      <c r="C1361" s="46"/>
      <c r="D1361" s="47" t="str">
        <f ca="1">IFERROR(__xludf.DUMMYFUNCTION("""COMPUTED_VALUE"""),"Iberian Chiffchaff")</f>
        <v>Iberian Chiffchaff</v>
      </c>
      <c r="E1361" s="52">
        <f ca="1">IFERROR(__xludf.DUMMYFUNCTION("""COMPUTED_VALUE"""),1)</f>
        <v>1</v>
      </c>
      <c r="F1361" s="25"/>
      <c r="G1361" s="48" t="str">
        <f ca="1">IFERROR(__xludf.DUMMYFUNCTION("""COMPUTED_VALUE"""),"Delamere Forest")</f>
        <v>Delamere Forest</v>
      </c>
      <c r="H1361" s="22">
        <f ca="1">IFERROR(__xludf.DUMMYFUNCTION("""COMPUTED_VALUE"""),43210)</f>
        <v>43210</v>
      </c>
      <c r="I1361" s="22"/>
      <c r="J1361" s="24"/>
      <c r="K1361" s="25"/>
      <c r="L1361" s="27" t="str">
        <f ca="1">IFERROR(__xludf.DUMMYFUNCTION("""COMPUTED_VALUE"""),"open")</f>
        <v>open</v>
      </c>
      <c r="M1361" s="27"/>
      <c r="N1361" s="25" t="str">
        <f ca="1">IFERROR(__xludf.DUMMYFUNCTION("""COMPUTED_VALUE"""),"BBRC-IC")</f>
        <v>BBRC-IC</v>
      </c>
      <c r="O1361" s="28"/>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K1361" s="25"/>
      <c r="AL1361" s="25"/>
      <c r="AM1361" s="25"/>
      <c r="AN1361" s="25"/>
      <c r="AO1361" s="25"/>
      <c r="AP1361" s="25"/>
      <c r="AQ1361" s="25"/>
      <c r="AR1361" s="25"/>
      <c r="AS1361" s="25"/>
      <c r="AT1361" s="25"/>
      <c r="AU1361" s="25"/>
      <c r="AV1361" s="25"/>
      <c r="AW1361" s="25"/>
      <c r="AX1361" s="25"/>
      <c r="AY1361" s="25"/>
      <c r="AZ1361" s="25"/>
      <c r="BA1361" s="25"/>
      <c r="BB1361" s="25"/>
      <c r="BC1361" s="25"/>
      <c r="BD1361" s="25"/>
      <c r="BE1361" s="25"/>
      <c r="BF1361" s="25"/>
      <c r="BG1361" s="25"/>
      <c r="BH1361" s="25"/>
      <c r="BI1361" s="25"/>
      <c r="BJ1361" s="25"/>
      <c r="BK1361" s="25"/>
      <c r="BL1361" s="25"/>
      <c r="BM1361" s="25"/>
      <c r="BN1361" s="25"/>
      <c r="BO1361" s="25"/>
      <c r="BP1361" s="25"/>
      <c r="BQ1361" s="25"/>
      <c r="BR1361" s="25"/>
      <c r="BS1361" s="25"/>
      <c r="BT1361" s="25"/>
      <c r="BU1361" s="25"/>
      <c r="BV1361" s="25"/>
      <c r="BW1361" s="25"/>
      <c r="BX1361" s="25"/>
      <c r="BY1361" s="25"/>
      <c r="BZ1361" s="25"/>
      <c r="CA1361" s="25"/>
      <c r="CB1361" s="25"/>
    </row>
    <row r="1362" spans="1:80" ht="12.75" hidden="1" customHeight="1">
      <c r="A1362" s="10">
        <f ca="1">IFERROR(__xludf.DUMMYFUNCTION("""COMPUTED_VALUE"""),2018)</f>
        <v>2018</v>
      </c>
      <c r="B1362" s="50">
        <f ca="1">IFERROR(__xludf.DUMMYFUNCTION("""COMPUTED_VALUE"""),44568)</f>
        <v>44568</v>
      </c>
      <c r="C1362" s="41"/>
      <c r="D1362" s="42" t="str">
        <f ca="1">IFERROR(__xludf.DUMMYFUNCTION("""COMPUTED_VALUE"""),"Iberian Chiffchaff")</f>
        <v>Iberian Chiffchaff</v>
      </c>
      <c r="E1362" s="53">
        <f ca="1">IFERROR(__xludf.DUMMYFUNCTION("""COMPUTED_VALUE"""),1)</f>
        <v>1</v>
      </c>
      <c r="F1362" s="15"/>
      <c r="G1362" s="44" t="str">
        <f ca="1">IFERROR(__xludf.DUMMYFUNCTION("""COMPUTED_VALUE"""),"Thustaston")</f>
        <v>Thustaston</v>
      </c>
      <c r="H1362" s="12">
        <f ca="1">IFERROR(__xludf.DUMMYFUNCTION("""COMPUTED_VALUE"""),43221)</f>
        <v>43221</v>
      </c>
      <c r="I1362" s="12">
        <f ca="1">IFERROR(__xludf.DUMMYFUNCTION("""COMPUTED_VALUE"""),43287)</f>
        <v>43287</v>
      </c>
      <c r="J1362" s="14"/>
      <c r="K1362" s="15"/>
      <c r="L1362" s="17" t="str">
        <f ca="1">IFERROR(__xludf.DUMMYFUNCTION("""COMPUTED_VALUE"""),"closed")</f>
        <v>closed</v>
      </c>
      <c r="M1362" s="17"/>
      <c r="N1362" s="15" t="str">
        <f ca="1">IFERROR(__xludf.DUMMYFUNCTION("""COMPUTED_VALUE"""),"BBRC-OK")</f>
        <v>BBRC-OK</v>
      </c>
      <c r="O1362" s="18" t="str">
        <f ca="1">IFERROR(__xludf.DUMMYFUNCTION("""COMPUTED_VALUE"""),"singing male")</f>
        <v>singing male</v>
      </c>
      <c r="P1362" s="15"/>
      <c r="Q1362" s="15"/>
      <c r="R1362" s="15"/>
      <c r="S1362" s="15"/>
      <c r="T1362" s="15"/>
      <c r="U1362" s="15"/>
      <c r="V1362" s="15"/>
      <c r="W1362" s="15"/>
      <c r="X1362" s="15"/>
      <c r="Y1362" s="15"/>
      <c r="Z1362" s="15"/>
      <c r="AA1362" s="15"/>
      <c r="AB1362" s="15"/>
      <c r="AC1362" s="15"/>
      <c r="AD1362" s="15"/>
      <c r="AE1362" s="15"/>
      <c r="AF1362" s="15"/>
      <c r="AG1362" s="15"/>
      <c r="AH1362" s="15"/>
      <c r="AI1362" s="15"/>
      <c r="AJ1362" s="15"/>
      <c r="AK1362" s="15"/>
      <c r="AL1362" s="15"/>
      <c r="AM1362" s="15"/>
      <c r="AN1362" s="15"/>
      <c r="AO1362" s="15"/>
      <c r="AP1362" s="15"/>
      <c r="AQ1362" s="15"/>
      <c r="AR1362" s="15"/>
      <c r="AS1362" s="15"/>
      <c r="AT1362" s="15"/>
      <c r="AU1362" s="15"/>
      <c r="AV1362" s="15"/>
      <c r="AW1362" s="15"/>
      <c r="AX1362" s="15"/>
      <c r="AY1362" s="15"/>
      <c r="AZ1362" s="15"/>
      <c r="BA1362" s="15"/>
      <c r="BB1362" s="15"/>
      <c r="BC1362" s="15"/>
      <c r="BD1362" s="15"/>
      <c r="BE1362" s="15"/>
      <c r="BF1362" s="15"/>
      <c r="BG1362" s="15"/>
      <c r="BH1362" s="15"/>
      <c r="BI1362" s="15"/>
      <c r="BJ1362" s="15"/>
      <c r="BK1362" s="15"/>
      <c r="BL1362" s="15"/>
      <c r="BM1362" s="15"/>
      <c r="BN1362" s="15"/>
      <c r="BO1362" s="15"/>
      <c r="BP1362" s="15"/>
      <c r="BQ1362" s="15"/>
      <c r="BR1362" s="15"/>
      <c r="BS1362" s="15"/>
      <c r="BT1362" s="15"/>
      <c r="BU1362" s="15"/>
      <c r="BV1362" s="15"/>
      <c r="BW1362" s="15"/>
      <c r="BX1362" s="15"/>
      <c r="BY1362" s="15"/>
      <c r="BZ1362" s="15"/>
      <c r="CA1362" s="15"/>
      <c r="CB1362" s="15"/>
    </row>
    <row r="1363" spans="1:80" ht="12.75" hidden="1" customHeight="1">
      <c r="A1363" s="20">
        <f ca="1">IFERROR(__xludf.DUMMYFUNCTION("""COMPUTED_VALUE"""),2018)</f>
        <v>2018</v>
      </c>
      <c r="B1363" s="45">
        <f ca="1">IFERROR(__xludf.DUMMYFUNCTION("""COMPUTED_VALUE"""),44568)</f>
        <v>44568</v>
      </c>
      <c r="C1363" s="46"/>
      <c r="D1363" s="47" t="str">
        <f ca="1">IFERROR(__xludf.DUMMYFUNCTION("""COMPUTED_VALUE"""),"Iberian Chiffchaff")</f>
        <v>Iberian Chiffchaff</v>
      </c>
      <c r="E1363" s="52">
        <f ca="1">IFERROR(__xludf.DUMMYFUNCTION("""COMPUTED_VALUE"""),1)</f>
        <v>1</v>
      </c>
      <c r="F1363" s="25"/>
      <c r="G1363" s="48" t="str">
        <f ca="1">IFERROR(__xludf.DUMMYFUNCTION("""COMPUTED_VALUE"""),"Red Rocks, Hoylake")</f>
        <v>Red Rocks, Hoylake</v>
      </c>
      <c r="H1363" s="22">
        <f ca="1">IFERROR(__xludf.DUMMYFUNCTION("""COMPUTED_VALUE"""),43244)</f>
        <v>43244</v>
      </c>
      <c r="I1363" s="22">
        <f ca="1">IFERROR(__xludf.DUMMYFUNCTION("""COMPUTED_VALUE"""),43245)</f>
        <v>43245</v>
      </c>
      <c r="J1363" s="24"/>
      <c r="K1363" s="25"/>
      <c r="L1363" s="27" t="str">
        <f ca="1">IFERROR(__xludf.DUMMYFUNCTION("""COMPUTED_VALUE"""),"closed")</f>
        <v>closed</v>
      </c>
      <c r="M1363" s="27"/>
      <c r="N1363" s="25" t="str">
        <f ca="1">IFERROR(__xludf.DUMMYFUNCTION("""COMPUTED_VALUE"""),"BBRC-OK")</f>
        <v>BBRC-OK</v>
      </c>
      <c r="O1363" s="28" t="str">
        <f ca="1">IFERROR(__xludf.DUMMYFUNCTION("""COMPUTED_VALUE"""),"non-singng bird, calls recorded")</f>
        <v>non-singng bird, calls recorded</v>
      </c>
      <c r="P1363" s="25"/>
      <c r="Q1363" s="25"/>
      <c r="R1363" s="25"/>
      <c r="S1363" s="25"/>
      <c r="T1363" s="25"/>
      <c r="U1363" s="25"/>
      <c r="V1363" s="25"/>
      <c r="W1363" s="25"/>
      <c r="X1363" s="25"/>
      <c r="Y1363" s="25"/>
      <c r="Z1363" s="25"/>
      <c r="AA1363" s="25"/>
      <c r="AB1363" s="25"/>
      <c r="AC1363" s="25"/>
      <c r="AD1363" s="25"/>
      <c r="AE1363" s="25"/>
      <c r="AF1363" s="25"/>
      <c r="AG1363" s="25"/>
      <c r="AH1363" s="25"/>
      <c r="AI1363" s="25"/>
      <c r="AJ1363" s="25"/>
      <c r="AK1363" s="25"/>
      <c r="AL1363" s="25"/>
      <c r="AM1363" s="25"/>
      <c r="AN1363" s="25"/>
      <c r="AO1363" s="25"/>
      <c r="AP1363" s="25"/>
      <c r="AQ1363" s="25"/>
      <c r="AR1363" s="25"/>
      <c r="AS1363" s="25"/>
      <c r="AT1363" s="25"/>
      <c r="AU1363" s="25"/>
      <c r="AV1363" s="25"/>
      <c r="AW1363" s="25"/>
      <c r="AX1363" s="25"/>
      <c r="AY1363" s="25"/>
      <c r="AZ1363" s="25"/>
      <c r="BA1363" s="25"/>
      <c r="BB1363" s="25"/>
      <c r="BC1363" s="25"/>
      <c r="BD1363" s="25"/>
      <c r="BE1363" s="25"/>
      <c r="BF1363" s="25"/>
      <c r="BG1363" s="25"/>
      <c r="BH1363" s="25"/>
      <c r="BI1363" s="25"/>
      <c r="BJ1363" s="25"/>
      <c r="BK1363" s="25"/>
      <c r="BL1363" s="25"/>
      <c r="BM1363" s="25"/>
      <c r="BN1363" s="25"/>
      <c r="BO1363" s="25"/>
      <c r="BP1363" s="25"/>
      <c r="BQ1363" s="25"/>
      <c r="BR1363" s="25"/>
      <c r="BS1363" s="25"/>
      <c r="BT1363" s="25"/>
      <c r="BU1363" s="25"/>
      <c r="BV1363" s="25"/>
      <c r="BW1363" s="25"/>
      <c r="BX1363" s="25"/>
      <c r="BY1363" s="25"/>
      <c r="BZ1363" s="25"/>
      <c r="CA1363" s="25"/>
      <c r="CB1363" s="25"/>
    </row>
    <row r="1364" spans="1:80" ht="12.75" hidden="1" customHeight="1">
      <c r="A1364" s="10">
        <f ca="1">IFERROR(__xludf.DUMMYFUNCTION("""COMPUTED_VALUE"""),2018)</f>
        <v>2018</v>
      </c>
      <c r="B1364" s="50">
        <f ca="1">IFERROR(__xludf.DUMMYFUNCTION("""COMPUTED_VALUE"""),44568)</f>
        <v>44568</v>
      </c>
      <c r="C1364" s="41"/>
      <c r="D1364" s="42" t="str">
        <f ca="1">IFERROR(__xludf.DUMMYFUNCTION("""COMPUTED_VALUE"""),"Iberian Chiffchaff")</f>
        <v>Iberian Chiffchaff</v>
      </c>
      <c r="E1364" s="53">
        <f ca="1">IFERROR(__xludf.DUMMYFUNCTION("""COMPUTED_VALUE"""),1)</f>
        <v>1</v>
      </c>
      <c r="F1364" s="15"/>
      <c r="G1364" s="44" t="str">
        <f ca="1">IFERROR(__xludf.DUMMYFUNCTION("""COMPUTED_VALUE"""),"Red Rocks, Hoylake")</f>
        <v>Red Rocks, Hoylake</v>
      </c>
      <c r="H1364" s="12">
        <f ca="1">IFERROR(__xludf.DUMMYFUNCTION("""COMPUTED_VALUE"""),43249)</f>
        <v>43249</v>
      </c>
      <c r="I1364" s="12"/>
      <c r="J1364" s="14"/>
      <c r="K1364" s="15"/>
      <c r="L1364" s="17" t="str">
        <f ca="1">IFERROR(__xludf.DUMMYFUNCTION("""COMPUTED_VALUE"""),"closed")</f>
        <v>closed</v>
      </c>
      <c r="M1364" s="17"/>
      <c r="N1364" s="15" t="str">
        <f ca="1">IFERROR(__xludf.DUMMYFUNCTION("""COMPUTED_VALUE"""),"BBRC-OK")</f>
        <v>BBRC-OK</v>
      </c>
      <c r="O1364" s="18" t="str">
        <f ca="1">IFERROR(__xludf.DUMMYFUNCTION("""COMPUTED_VALUE"""),"singing male, calls recorded")</f>
        <v>singing male, calls recorded</v>
      </c>
      <c r="P1364" s="15"/>
      <c r="Q1364" s="15"/>
      <c r="R1364" s="15"/>
      <c r="S1364" s="15"/>
      <c r="T1364" s="15"/>
      <c r="U1364" s="15"/>
      <c r="V1364" s="15"/>
      <c r="W1364" s="15"/>
      <c r="X1364" s="15"/>
      <c r="Y1364" s="15"/>
      <c r="Z1364" s="15"/>
      <c r="AA1364" s="15"/>
      <c r="AB1364" s="15"/>
      <c r="AC1364" s="15"/>
      <c r="AD1364" s="15"/>
      <c r="AE1364" s="15"/>
      <c r="AF1364" s="15"/>
      <c r="AG1364" s="15"/>
      <c r="AH1364" s="15"/>
      <c r="AI1364" s="15"/>
      <c r="AJ1364" s="15"/>
      <c r="AK1364" s="15"/>
      <c r="AL1364" s="15"/>
      <c r="AM1364" s="15"/>
      <c r="AN1364" s="15"/>
      <c r="AO1364" s="15"/>
      <c r="AP1364" s="15"/>
      <c r="AQ1364" s="15"/>
      <c r="AR1364" s="15"/>
      <c r="AS1364" s="15"/>
      <c r="AT1364" s="15"/>
      <c r="AU1364" s="15"/>
      <c r="AV1364" s="15"/>
      <c r="AW1364" s="15"/>
      <c r="AX1364" s="15"/>
      <c r="AY1364" s="15"/>
      <c r="AZ1364" s="15"/>
      <c r="BA1364" s="15"/>
      <c r="BB1364" s="15"/>
      <c r="BC1364" s="15"/>
      <c r="BD1364" s="15"/>
      <c r="BE1364" s="15"/>
      <c r="BF1364" s="15"/>
      <c r="BG1364" s="15"/>
      <c r="BH1364" s="15"/>
      <c r="BI1364" s="15"/>
      <c r="BJ1364" s="15"/>
      <c r="BK1364" s="15"/>
      <c r="BL1364" s="15"/>
      <c r="BM1364" s="15"/>
      <c r="BN1364" s="15"/>
      <c r="BO1364" s="15"/>
      <c r="BP1364" s="15"/>
      <c r="BQ1364" s="15"/>
      <c r="BR1364" s="15"/>
      <c r="BS1364" s="15"/>
      <c r="BT1364" s="15"/>
      <c r="BU1364" s="15"/>
      <c r="BV1364" s="15"/>
      <c r="BW1364" s="15"/>
      <c r="BX1364" s="15"/>
      <c r="BY1364" s="15"/>
      <c r="BZ1364" s="15"/>
      <c r="CA1364" s="15"/>
      <c r="CB1364" s="15"/>
    </row>
    <row r="1365" spans="1:80" ht="12.75" hidden="1" customHeight="1">
      <c r="A1365" s="20">
        <f ca="1">IFERROR(__xludf.DUMMYFUNCTION("""COMPUTED_VALUE"""),2018)</f>
        <v>2018</v>
      </c>
      <c r="B1365" s="45">
        <f ca="1">IFERROR(__xludf.DUMMYFUNCTION("""COMPUTED_VALUE"""),43175)</f>
        <v>43175</v>
      </c>
      <c r="C1365" s="46"/>
      <c r="D1365" s="47" t="str">
        <f ca="1">IFERROR(__xludf.DUMMYFUNCTION("""COMPUTED_VALUE"""),"Greenish Warbler")</f>
        <v>Greenish Warbler</v>
      </c>
      <c r="E1365" s="52">
        <f ca="1">IFERROR(__xludf.DUMMYFUNCTION("""COMPUTED_VALUE"""),1)</f>
        <v>1</v>
      </c>
      <c r="F1365" s="25"/>
      <c r="G1365" s="48" t="str">
        <f ca="1">IFERROR(__xludf.DUMMYFUNCTION("""COMPUTED_VALUE"""),"Red Rocks, Hoylake")</f>
        <v>Red Rocks, Hoylake</v>
      </c>
      <c r="H1365" s="22">
        <f ca="1">IFERROR(__xludf.DUMMYFUNCTION("""COMPUTED_VALUE"""),43373)</f>
        <v>43373</v>
      </c>
      <c r="I1365" s="22"/>
      <c r="J1365" s="24" t="str">
        <f ca="1">IFERROR(__xludf.DUMMYFUNCTION("""COMPUTED_VALUE"""),"Turner, JE")</f>
        <v>Turner, JE</v>
      </c>
      <c r="K1365" s="25" t="str">
        <f ca="1">IFERROR(__xludf.DUMMYFUNCTION("""COMPUTED_VALUE"""),"Turner, JE")</f>
        <v>Turner, JE</v>
      </c>
      <c r="L1365" s="27" t="str">
        <f ca="1">IFERROR(__xludf.DUMMYFUNCTION("""COMPUTED_VALUE"""),"closed")</f>
        <v>closed</v>
      </c>
      <c r="M1365" s="27" t="str">
        <f ca="1">IFERROR(__xludf.DUMMYFUNCTION("""COMPUTED_VALUE"""),"1st U")</f>
        <v>1st U</v>
      </c>
      <c r="N1365" s="25" t="str">
        <f ca="1">IFERROR(__xludf.DUMMYFUNCTION("""COMPUTED_VALUE"""),"accepted")</f>
        <v>accepted</v>
      </c>
      <c r="O1365" s="28"/>
      <c r="P1365" s="25"/>
      <c r="Q1365" s="25"/>
      <c r="R1365" s="25"/>
      <c r="S1365" s="25"/>
      <c r="T1365" s="25"/>
      <c r="U1365" s="25"/>
      <c r="V1365" s="25"/>
      <c r="W1365" s="25"/>
      <c r="X1365" s="25"/>
      <c r="Y1365" s="25"/>
      <c r="Z1365" s="25"/>
      <c r="AA1365" s="25"/>
      <c r="AB1365" s="25"/>
      <c r="AC1365" s="25"/>
      <c r="AD1365" s="25"/>
      <c r="AE1365" s="25"/>
      <c r="AF1365" s="25"/>
      <c r="AG1365" s="25"/>
      <c r="AH1365" s="25"/>
      <c r="AI1365" s="25"/>
      <c r="AJ1365" s="25"/>
      <c r="AK1365" s="25"/>
      <c r="AL1365" s="25"/>
      <c r="AM1365" s="25"/>
      <c r="AN1365" s="25"/>
      <c r="AO1365" s="25"/>
      <c r="AP1365" s="25"/>
      <c r="AQ1365" s="25"/>
      <c r="AR1365" s="25"/>
      <c r="AS1365" s="25"/>
      <c r="AT1365" s="25"/>
      <c r="AU1365" s="25"/>
      <c r="AV1365" s="25"/>
      <c r="AW1365" s="25"/>
      <c r="AX1365" s="25"/>
      <c r="AY1365" s="25"/>
      <c r="AZ1365" s="25"/>
      <c r="BA1365" s="25"/>
      <c r="BB1365" s="25"/>
      <c r="BC1365" s="25"/>
      <c r="BD1365" s="25"/>
      <c r="BE1365" s="25"/>
      <c r="BF1365" s="25"/>
      <c r="BG1365" s="25"/>
      <c r="BH1365" s="25"/>
      <c r="BI1365" s="25"/>
      <c r="BJ1365" s="25"/>
      <c r="BK1365" s="25"/>
      <c r="BL1365" s="25"/>
      <c r="BM1365" s="25"/>
      <c r="BN1365" s="25"/>
      <c r="BO1365" s="25"/>
      <c r="BP1365" s="25"/>
      <c r="BQ1365" s="25"/>
      <c r="BR1365" s="25"/>
      <c r="BS1365" s="25"/>
      <c r="BT1365" s="25"/>
      <c r="BU1365" s="25"/>
      <c r="BV1365" s="25"/>
      <c r="BW1365" s="25"/>
      <c r="BX1365" s="25"/>
      <c r="BY1365" s="25"/>
      <c r="BZ1365" s="25"/>
      <c r="CA1365" s="25"/>
      <c r="CB1365" s="25"/>
    </row>
    <row r="1366" spans="1:80" ht="12.75" hidden="1" customHeight="1">
      <c r="A1366" s="10">
        <f ca="1">IFERROR(__xludf.DUMMYFUNCTION("""COMPUTED_VALUE"""),2018)</f>
        <v>2018</v>
      </c>
      <c r="B1366" s="50">
        <f ca="1">IFERROR(__xludf.DUMMYFUNCTION("""COMPUTED_VALUE"""),43955)</f>
        <v>43955</v>
      </c>
      <c r="C1366" s="41">
        <f ca="1">IFERROR(__xludf.DUMMYFUNCTION("""COMPUTED_VALUE"""),43865)</f>
        <v>43865</v>
      </c>
      <c r="D1366" s="42" t="str">
        <f ca="1">IFERROR(__xludf.DUMMYFUNCTION("""COMPUTED_VALUE"""),"Blyth's Reed Warbler")</f>
        <v>Blyth's Reed Warbler</v>
      </c>
      <c r="E1366" s="53">
        <f ca="1">IFERROR(__xludf.DUMMYFUNCTION("""COMPUTED_VALUE"""),1)</f>
        <v>1</v>
      </c>
      <c r="F1366" s="15"/>
      <c r="G1366" s="44" t="str">
        <f ca="1">IFERROR(__xludf.DUMMYFUNCTION("""COMPUTED_VALUE"""),"Red Rocks, Hoylake")</f>
        <v>Red Rocks, Hoylake</v>
      </c>
      <c r="H1366" s="12">
        <f ca="1">IFERROR(__xludf.DUMMYFUNCTION("""COMPUTED_VALUE"""),43248)</f>
        <v>43248</v>
      </c>
      <c r="I1366" s="12">
        <f ca="1">IFERROR(__xludf.DUMMYFUNCTION("""COMPUTED_VALUE"""),43248)</f>
        <v>43248</v>
      </c>
      <c r="J1366" s="14" t="str">
        <f ca="1">IFERROR(__xludf.DUMMYFUNCTION("""COMPUTED_VALUE"""),"Turner, JE")</f>
        <v>Turner, JE</v>
      </c>
      <c r="K1366" s="15" t="str">
        <f ca="1">IFERROR(__xludf.DUMMYFUNCTION("""COMPUTED_VALUE"""),"Turner, JE")</f>
        <v>Turner, JE</v>
      </c>
      <c r="L1366" s="17" t="str">
        <f ca="1">IFERROR(__xludf.DUMMYFUNCTION("""COMPUTED_VALUE"""),"closed")</f>
        <v>closed</v>
      </c>
      <c r="M1366" s="17" t="str">
        <f ca="1">IFERROR(__xludf.DUMMYFUNCTION("""COMPUTED_VALUE"""),"1st U")</f>
        <v>1st U</v>
      </c>
      <c r="N1366" s="15" t="str">
        <f ca="1">IFERROR(__xludf.DUMMYFUNCTION("""COMPUTED_VALUE"""),"accepted")</f>
        <v>accepted</v>
      </c>
      <c r="O1366" s="18" t="str">
        <f ca="1">IFERROR(__xludf.DUMMYFUNCTION("""COMPUTED_VALUE"""),"sound recorded on trail cam and photographed")</f>
        <v>sound recorded on trail cam and photographed</v>
      </c>
      <c r="P1366" s="15"/>
      <c r="Q1366" s="15"/>
      <c r="R1366" s="15"/>
      <c r="S1366" s="15"/>
      <c r="T1366" s="15"/>
      <c r="U1366" s="15"/>
      <c r="V1366" s="15"/>
      <c r="W1366" s="15"/>
      <c r="X1366" s="15"/>
      <c r="Y1366" s="15"/>
      <c r="Z1366" s="15"/>
      <c r="AA1366" s="15"/>
      <c r="AB1366" s="15"/>
      <c r="AC1366" s="15"/>
      <c r="AD1366" s="15"/>
      <c r="AE1366" s="15"/>
      <c r="AF1366" s="15"/>
      <c r="AG1366" s="15"/>
      <c r="AH1366" s="15"/>
      <c r="AI1366" s="15"/>
      <c r="AJ1366" s="15"/>
      <c r="AK1366" s="15"/>
      <c r="AL1366" s="15"/>
      <c r="AM1366" s="15"/>
      <c r="AN1366" s="15"/>
      <c r="AO1366" s="15"/>
      <c r="AP1366" s="15"/>
      <c r="AQ1366" s="15"/>
      <c r="AR1366" s="15"/>
      <c r="AS1366" s="15"/>
      <c r="AT1366" s="15"/>
      <c r="AU1366" s="15"/>
      <c r="AV1366" s="15"/>
      <c r="AW1366" s="15"/>
      <c r="AX1366" s="15"/>
      <c r="AY1366" s="15"/>
      <c r="AZ1366" s="15"/>
      <c r="BA1366" s="15"/>
      <c r="BB1366" s="15"/>
      <c r="BC1366" s="15"/>
      <c r="BD1366" s="15"/>
      <c r="BE1366" s="15"/>
      <c r="BF1366" s="15"/>
      <c r="BG1366" s="15"/>
      <c r="BH1366" s="15"/>
      <c r="BI1366" s="15"/>
      <c r="BJ1366" s="15"/>
      <c r="BK1366" s="15"/>
      <c r="BL1366" s="15"/>
      <c r="BM1366" s="15"/>
      <c r="BN1366" s="15"/>
      <c r="BO1366" s="15"/>
      <c r="BP1366" s="15"/>
      <c r="BQ1366" s="15"/>
      <c r="BR1366" s="15"/>
      <c r="BS1366" s="15"/>
      <c r="BT1366" s="15"/>
      <c r="BU1366" s="15"/>
      <c r="BV1366" s="15"/>
      <c r="BW1366" s="15"/>
      <c r="BX1366" s="15"/>
      <c r="BY1366" s="15"/>
      <c r="BZ1366" s="15"/>
      <c r="CA1366" s="15"/>
      <c r="CB1366" s="15"/>
    </row>
    <row r="1367" spans="1:80" ht="12.75" hidden="1" customHeight="1">
      <c r="A1367" s="20">
        <f ca="1">IFERROR(__xludf.DUMMYFUNCTION("""COMPUTED_VALUE"""),2018)</f>
        <v>2018</v>
      </c>
      <c r="B1367" s="45">
        <f ca="1">IFERROR(__xludf.DUMMYFUNCTION("""COMPUTED_VALUE"""),43549)</f>
        <v>43549</v>
      </c>
      <c r="C1367" s="46">
        <f ca="1">IFERROR(__xludf.DUMMYFUNCTION("""COMPUTED_VALUE"""),43358)</f>
        <v>43358</v>
      </c>
      <c r="D1367" s="47" t="str">
        <f ca="1">IFERROR(__xludf.DUMMYFUNCTION("""COMPUTED_VALUE"""),"Rose-coloured Starling")</f>
        <v>Rose-coloured Starling</v>
      </c>
      <c r="E1367" s="52">
        <f ca="1">IFERROR(__xludf.DUMMYFUNCTION("""COMPUTED_VALUE"""),1)</f>
        <v>1</v>
      </c>
      <c r="F1367" s="25" t="str">
        <f ca="1">IFERROR(__xludf.DUMMYFUNCTION("""COMPUTED_VALUE"""),"ad")</f>
        <v>ad</v>
      </c>
      <c r="G1367" s="48" t="str">
        <f ca="1">IFERROR(__xludf.DUMMYFUNCTION("""COMPUTED_VALUE"""),"Hale Village")</f>
        <v>Hale Village</v>
      </c>
      <c r="H1367" s="22">
        <f ca="1">IFERROR(__xludf.DUMMYFUNCTION("""COMPUTED_VALUE"""),43264)</f>
        <v>43264</v>
      </c>
      <c r="I1367" s="22">
        <f ca="1">IFERROR(__xludf.DUMMYFUNCTION("""COMPUTED_VALUE"""),43272)</f>
        <v>43272</v>
      </c>
      <c r="J1367" s="24" t="str">
        <f ca="1">IFERROR(__xludf.DUMMYFUNCTION("""COMPUTED_VALUE"""),"Cockbain, R")</f>
        <v>Cockbain, R</v>
      </c>
      <c r="K1367" s="25"/>
      <c r="L1367" s="27" t="str">
        <f ca="1">IFERROR(__xludf.DUMMYFUNCTION("""COMPUTED_VALUE"""),"closed")</f>
        <v>closed</v>
      </c>
      <c r="M1367" s="27" t="str">
        <f ca="1">IFERROR(__xludf.DUMMYFUNCTION("""COMPUTED_VALUE"""),"1st U")</f>
        <v>1st U</v>
      </c>
      <c r="N1367" s="25" t="str">
        <f ca="1">IFERROR(__xludf.DUMMYFUNCTION("""COMPUTED_VALUE"""),"Accepted")</f>
        <v>Accepted</v>
      </c>
      <c r="O1367" s="28"/>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K1367" s="25"/>
      <c r="AL1367" s="25"/>
      <c r="AM1367" s="25"/>
      <c r="AN1367" s="25"/>
      <c r="AO1367" s="25"/>
      <c r="AP1367" s="25"/>
      <c r="AQ1367" s="25"/>
      <c r="AR1367" s="25"/>
      <c r="AS1367" s="25"/>
      <c r="AT1367" s="25"/>
      <c r="AU1367" s="25"/>
      <c r="AV1367" s="25"/>
      <c r="AW1367" s="25"/>
      <c r="AX1367" s="25"/>
      <c r="AY1367" s="25"/>
      <c r="AZ1367" s="25"/>
      <c r="BA1367" s="25"/>
      <c r="BB1367" s="25"/>
      <c r="BC1367" s="25"/>
      <c r="BD1367" s="25"/>
      <c r="BE1367" s="25"/>
      <c r="BF1367" s="25"/>
      <c r="BG1367" s="25"/>
      <c r="BH1367" s="25"/>
      <c r="BI1367" s="25"/>
      <c r="BJ1367" s="25"/>
      <c r="BK1367" s="25"/>
      <c r="BL1367" s="25"/>
      <c r="BM1367" s="25"/>
      <c r="BN1367" s="25"/>
      <c r="BO1367" s="25"/>
      <c r="BP1367" s="25"/>
      <c r="BQ1367" s="25"/>
      <c r="BR1367" s="25"/>
      <c r="BS1367" s="25"/>
      <c r="BT1367" s="25"/>
      <c r="BU1367" s="25"/>
      <c r="BV1367" s="25"/>
      <c r="BW1367" s="25"/>
      <c r="BX1367" s="25"/>
      <c r="BY1367" s="25"/>
      <c r="BZ1367" s="25"/>
      <c r="CA1367" s="25"/>
      <c r="CB1367" s="25"/>
    </row>
    <row r="1368" spans="1:80" ht="12.75" hidden="1" customHeight="1">
      <c r="A1368" s="10">
        <f ca="1">IFERROR(__xludf.DUMMYFUNCTION("""COMPUTED_VALUE"""),2018)</f>
        <v>2018</v>
      </c>
      <c r="B1368" s="50">
        <f ca="1">IFERROR(__xludf.DUMMYFUNCTION("""COMPUTED_VALUE"""),43949)</f>
        <v>43949</v>
      </c>
      <c r="C1368" s="41">
        <f ca="1">IFERROR(__xludf.DUMMYFUNCTION("""COMPUTED_VALUE"""),43873)</f>
        <v>43873</v>
      </c>
      <c r="D1368" s="42" t="str">
        <f ca="1">IFERROR(__xludf.DUMMYFUNCTION("""COMPUTED_VALUE"""),"Rose-coloured Starling")</f>
        <v>Rose-coloured Starling</v>
      </c>
      <c r="E1368" s="53">
        <f ca="1">IFERROR(__xludf.DUMMYFUNCTION("""COMPUTED_VALUE"""),1)</f>
        <v>1</v>
      </c>
      <c r="F1368" s="15"/>
      <c r="G1368" s="44" t="str">
        <f ca="1">IFERROR(__xludf.DUMMYFUNCTION("""COMPUTED_VALUE"""),"Woolston, Warrington")</f>
        <v>Woolston, Warrington</v>
      </c>
      <c r="H1368" s="12">
        <f ca="1">IFERROR(__xludf.DUMMYFUNCTION("""COMPUTED_VALUE"""),43291)</f>
        <v>43291</v>
      </c>
      <c r="I1368" s="12">
        <f ca="1">IFERROR(__xludf.DUMMYFUNCTION("""COMPUTED_VALUE"""),43291)</f>
        <v>43291</v>
      </c>
      <c r="J1368" s="14" t="str">
        <f ca="1">IFERROR(__xludf.DUMMYFUNCTION("""COMPUTED_VALUE"""),"Marsh, Anthony")</f>
        <v>Marsh, Anthony</v>
      </c>
      <c r="K1368" s="15"/>
      <c r="L1368" s="17" t="str">
        <f ca="1">IFERROR(__xludf.DUMMYFUNCTION("""COMPUTED_VALUE"""),"closed")</f>
        <v>closed</v>
      </c>
      <c r="M1368" s="17" t="str">
        <f ca="1">IFERROR(__xludf.DUMMYFUNCTION("""COMPUTED_VALUE"""),"1st U")</f>
        <v>1st U</v>
      </c>
      <c r="N1368" s="15" t="str">
        <f ca="1">IFERROR(__xludf.DUMMYFUNCTION("""COMPUTED_VALUE"""),"Accepted")</f>
        <v>Accepted</v>
      </c>
      <c r="O1368" s="18" t="str">
        <f ca="1">IFERROR(__xludf.DUMMYFUNCTION("""COMPUTED_VALUE"""),"at 09:04 on a garden bird bath, no other sightings since. Photo supplied")</f>
        <v>at 09:04 on a garden bird bath, no other sightings since. Photo supplied</v>
      </c>
      <c r="P1368" s="15"/>
      <c r="Q1368" s="15"/>
      <c r="R1368" s="15"/>
      <c r="S1368" s="15"/>
      <c r="T1368" s="15"/>
      <c r="U1368" s="15"/>
      <c r="V1368" s="15"/>
      <c r="W1368" s="15"/>
      <c r="X1368" s="15"/>
      <c r="Y1368" s="15"/>
      <c r="Z1368" s="15"/>
      <c r="AA1368" s="15"/>
      <c r="AB1368" s="15"/>
      <c r="AC1368" s="15"/>
      <c r="AD1368" s="15"/>
      <c r="AE1368" s="15"/>
      <c r="AF1368" s="15"/>
      <c r="AG1368" s="15"/>
      <c r="AH1368" s="15"/>
      <c r="AI1368" s="15"/>
      <c r="AJ1368" s="15"/>
      <c r="AK1368" s="15"/>
      <c r="AL1368" s="15"/>
      <c r="AM1368" s="15"/>
      <c r="AN1368" s="15"/>
      <c r="AO1368" s="15"/>
      <c r="AP1368" s="15"/>
      <c r="AQ1368" s="15"/>
      <c r="AR1368" s="15"/>
      <c r="AS1368" s="15"/>
      <c r="AT1368" s="15"/>
      <c r="AU1368" s="15"/>
      <c r="AV1368" s="15"/>
      <c r="AW1368" s="15"/>
      <c r="AX1368" s="15"/>
      <c r="AY1368" s="15"/>
      <c r="AZ1368" s="15"/>
      <c r="BA1368" s="15"/>
      <c r="BB1368" s="15"/>
      <c r="BC1368" s="15"/>
      <c r="BD1368" s="15"/>
      <c r="BE1368" s="15"/>
      <c r="BF1368" s="15"/>
      <c r="BG1368" s="15"/>
      <c r="BH1368" s="15"/>
      <c r="BI1368" s="15"/>
      <c r="BJ1368" s="15"/>
      <c r="BK1368" s="15"/>
      <c r="BL1368" s="15"/>
      <c r="BM1368" s="15"/>
      <c r="BN1368" s="15"/>
      <c r="BO1368" s="15"/>
      <c r="BP1368" s="15"/>
      <c r="BQ1368" s="15"/>
      <c r="BR1368" s="15"/>
      <c r="BS1368" s="15"/>
      <c r="BT1368" s="15"/>
      <c r="BU1368" s="15"/>
      <c r="BV1368" s="15"/>
      <c r="BW1368" s="15"/>
      <c r="BX1368" s="15"/>
      <c r="BY1368" s="15"/>
      <c r="BZ1368" s="15"/>
      <c r="CA1368" s="15"/>
      <c r="CB1368" s="15"/>
    </row>
    <row r="1369" spans="1:80" ht="12.75" hidden="1" customHeight="1">
      <c r="A1369" s="20">
        <f ca="1">IFERROR(__xludf.DUMMYFUNCTION("""COMPUTED_VALUE"""),2018)</f>
        <v>2018</v>
      </c>
      <c r="B1369" s="45">
        <f ca="1">IFERROR(__xludf.DUMMYFUNCTION("""COMPUTED_VALUE"""),43642)</f>
        <v>43642</v>
      </c>
      <c r="C1369" s="46">
        <f ca="1">IFERROR(__xludf.DUMMYFUNCTION("""COMPUTED_VALUE"""),43642)</f>
        <v>43642</v>
      </c>
      <c r="D1369" s="47" t="str">
        <f ca="1">IFERROR(__xludf.DUMMYFUNCTION("""COMPUTED_VALUE"""),"Black Redstart")</f>
        <v>Black Redstart</v>
      </c>
      <c r="E1369" s="52">
        <f ca="1">IFERROR(__xludf.DUMMYFUNCTION("""COMPUTED_VALUE"""),1)</f>
        <v>1</v>
      </c>
      <c r="F1369" s="25"/>
      <c r="G1369" s="48" t="str">
        <f ca="1">IFERROR(__xludf.DUMMYFUNCTION("""COMPUTED_VALUE"""),"Dairy House Meadows, Northwich Woodlands")</f>
        <v>Dairy House Meadows, Northwich Woodlands</v>
      </c>
      <c r="H1369" s="22">
        <f ca="1">IFERROR(__xludf.DUMMYFUNCTION("""COMPUTED_VALUE"""),43230)</f>
        <v>43230</v>
      </c>
      <c r="I1369" s="22">
        <f ca="1">IFERROR(__xludf.DUMMYFUNCTION("""COMPUTED_VALUE"""),43230)</f>
        <v>43230</v>
      </c>
      <c r="J1369" s="24" t="str">
        <f ca="1">IFERROR(__xludf.DUMMYFUNCTION("""COMPUTED_VALUE"""),"Baker, Greg")</f>
        <v>Baker, Greg</v>
      </c>
      <c r="K1369" s="25"/>
      <c r="L1369" s="27" t="str">
        <f ca="1">IFERROR(__xludf.DUMMYFUNCTION("""COMPUTED_VALUE"""),"closed")</f>
        <v>closed</v>
      </c>
      <c r="M1369" s="27" t="str">
        <f ca="1">IFERROR(__xludf.DUMMYFUNCTION("""COMPUTED_VALUE"""),"1st U")</f>
        <v>1st U</v>
      </c>
      <c r="N1369" s="25" t="str">
        <f ca="1">IFERROR(__xludf.DUMMYFUNCTION("""COMPUTED_VALUE"""),"Accepted")</f>
        <v>Accepted</v>
      </c>
      <c r="O1369" s="28"/>
      <c r="P1369" s="25"/>
      <c r="Q1369" s="25"/>
      <c r="R1369" s="25"/>
      <c r="S1369" s="25"/>
      <c r="T1369" s="25"/>
      <c r="U1369" s="25"/>
      <c r="V1369" s="25"/>
      <c r="W1369" s="25"/>
      <c r="X1369" s="25"/>
      <c r="Y1369" s="25"/>
      <c r="Z1369" s="25"/>
      <c r="AA1369" s="25"/>
      <c r="AB1369" s="25"/>
      <c r="AC1369" s="25"/>
      <c r="AD1369" s="25"/>
      <c r="AE1369" s="25"/>
      <c r="AF1369" s="25"/>
      <c r="AG1369" s="25"/>
      <c r="AH1369" s="25"/>
      <c r="AI1369" s="25"/>
      <c r="AJ1369" s="25"/>
      <c r="AK1369" s="25"/>
      <c r="AL1369" s="25"/>
      <c r="AM1369" s="25"/>
      <c r="AN1369" s="25"/>
      <c r="AO1369" s="25"/>
      <c r="AP1369" s="25"/>
      <c r="AQ1369" s="25"/>
      <c r="AR1369" s="25"/>
      <c r="AS1369" s="25"/>
      <c r="AT1369" s="25"/>
      <c r="AU1369" s="25"/>
      <c r="AV1369" s="25"/>
      <c r="AW1369" s="25"/>
      <c r="AX1369" s="25"/>
      <c r="AY1369" s="25"/>
      <c r="AZ1369" s="25"/>
      <c r="BA1369" s="25"/>
      <c r="BB1369" s="25"/>
      <c r="BC1369" s="25"/>
      <c r="BD1369" s="25"/>
      <c r="BE1369" s="25"/>
      <c r="BF1369" s="25"/>
      <c r="BG1369" s="25"/>
      <c r="BH1369" s="25"/>
      <c r="BI1369" s="25"/>
      <c r="BJ1369" s="25"/>
      <c r="BK1369" s="25"/>
      <c r="BL1369" s="25"/>
      <c r="BM1369" s="25"/>
      <c r="BN1369" s="25"/>
      <c r="BO1369" s="25"/>
      <c r="BP1369" s="25"/>
      <c r="BQ1369" s="25"/>
      <c r="BR1369" s="25"/>
      <c r="BS1369" s="25"/>
      <c r="BT1369" s="25"/>
      <c r="BU1369" s="25"/>
      <c r="BV1369" s="25"/>
      <c r="BW1369" s="25"/>
      <c r="BX1369" s="25"/>
      <c r="BY1369" s="25"/>
      <c r="BZ1369" s="25"/>
      <c r="CA1369" s="25"/>
      <c r="CB1369" s="25"/>
    </row>
    <row r="1370" spans="1:80" ht="12.75" hidden="1" customHeight="1">
      <c r="A1370" s="10">
        <f ca="1">IFERROR(__xludf.DUMMYFUNCTION("""COMPUTED_VALUE"""),2018)</f>
        <v>2018</v>
      </c>
      <c r="B1370" s="50">
        <f ca="1">IFERROR(__xludf.DUMMYFUNCTION("""COMPUTED_VALUE"""),43890)</f>
        <v>43890</v>
      </c>
      <c r="C1370" s="41">
        <f ca="1">IFERROR(__xludf.DUMMYFUNCTION("""COMPUTED_VALUE"""),43890)</f>
        <v>43890</v>
      </c>
      <c r="D1370" s="42" t="str">
        <f ca="1">IFERROR(__xludf.DUMMYFUNCTION("""COMPUTED_VALUE"""),"Black Redstart")</f>
        <v>Black Redstart</v>
      </c>
      <c r="E1370" s="53">
        <f ca="1">IFERROR(__xludf.DUMMYFUNCTION("""COMPUTED_VALUE"""),1)</f>
        <v>1</v>
      </c>
      <c r="F1370" s="15"/>
      <c r="G1370" s="62" t="str">
        <f ca="1">IFERROR(__xludf.DUMMYFUNCTION("""COMPUTED_VALUE"""),"Wybunbury, S of Crewe")</f>
        <v>Wybunbury, S of Crewe</v>
      </c>
      <c r="H1370" s="12">
        <f ca="1">IFERROR(__xludf.DUMMYFUNCTION("""COMPUTED_VALUE"""),43320)</f>
        <v>43320</v>
      </c>
      <c r="I1370" s="12">
        <f ca="1">IFERROR(__xludf.DUMMYFUNCTION("""COMPUTED_VALUE"""),43321)</f>
        <v>43321</v>
      </c>
      <c r="J1370" s="75" t="str">
        <f ca="1">IFERROR(__xludf.DUMMYFUNCTION("""COMPUTED_VALUE"""),"Warner, A &amp; M")</f>
        <v>Warner, A &amp; M</v>
      </c>
      <c r="K1370" s="58" t="str">
        <f ca="1">IFERROR(__xludf.DUMMYFUNCTION("""COMPUTED_VALUE"""),"Warner, A &amp; M")</f>
        <v>Warner, A &amp; M</v>
      </c>
      <c r="L1370" s="17" t="str">
        <f ca="1">IFERROR(__xludf.DUMMYFUNCTION("""COMPUTED_VALUE"""),"closed")</f>
        <v>closed</v>
      </c>
      <c r="M1370" s="17"/>
      <c r="N1370" s="58" t="str">
        <f ca="1">IFERROR(__xludf.DUMMYFUNCTION("""COMPUTED_VALUE"""),"Accepted")</f>
        <v>Accepted</v>
      </c>
      <c r="O1370" s="76"/>
      <c r="P1370" s="15"/>
      <c r="Q1370" s="58"/>
      <c r="R1370" s="58"/>
      <c r="S1370" s="15"/>
      <c r="T1370" s="15"/>
      <c r="U1370" s="15"/>
      <c r="V1370" s="15"/>
      <c r="W1370" s="15"/>
      <c r="X1370" s="15"/>
      <c r="Y1370" s="15"/>
      <c r="Z1370" s="15"/>
      <c r="AA1370" s="15"/>
      <c r="AB1370" s="15"/>
      <c r="AC1370" s="15"/>
      <c r="AD1370" s="15"/>
      <c r="AE1370" s="15"/>
      <c r="AF1370" s="15"/>
      <c r="AG1370" s="15"/>
      <c r="AH1370" s="15"/>
      <c r="AI1370" s="15"/>
      <c r="AJ1370" s="15"/>
      <c r="AK1370" s="15"/>
      <c r="AL1370" s="15"/>
      <c r="AM1370" s="15"/>
      <c r="AN1370" s="15"/>
      <c r="AO1370" s="15"/>
      <c r="AP1370" s="15"/>
      <c r="AQ1370" s="15"/>
      <c r="AR1370" s="15"/>
      <c r="AS1370" s="15"/>
      <c r="AT1370" s="15"/>
      <c r="AU1370" s="15"/>
      <c r="AV1370" s="15"/>
      <c r="AW1370" s="15"/>
      <c r="AX1370" s="15"/>
      <c r="AY1370" s="15"/>
      <c r="AZ1370" s="15"/>
      <c r="BA1370" s="15"/>
      <c r="BB1370" s="15"/>
      <c r="BC1370" s="15"/>
      <c r="BD1370" s="15"/>
      <c r="BE1370" s="15"/>
      <c r="BF1370" s="15"/>
      <c r="BG1370" s="15"/>
      <c r="BH1370" s="15"/>
      <c r="BI1370" s="15"/>
      <c r="BJ1370" s="15"/>
      <c r="BK1370" s="15"/>
      <c r="BL1370" s="15"/>
      <c r="BM1370" s="15"/>
      <c r="BN1370" s="15"/>
      <c r="BO1370" s="15"/>
      <c r="BP1370" s="15"/>
      <c r="BQ1370" s="15"/>
      <c r="BR1370" s="15"/>
      <c r="BS1370" s="15"/>
      <c r="BT1370" s="15"/>
      <c r="BU1370" s="15"/>
      <c r="BV1370" s="15"/>
      <c r="BW1370" s="15"/>
      <c r="BX1370" s="15"/>
      <c r="BY1370" s="15"/>
      <c r="BZ1370" s="15"/>
      <c r="CA1370" s="15"/>
      <c r="CB1370" s="15"/>
    </row>
    <row r="1371" spans="1:80" ht="12.75" hidden="1" customHeight="1">
      <c r="A1371" s="20">
        <f ca="1">IFERROR(__xludf.DUMMYFUNCTION("""COMPUTED_VALUE"""),2018)</f>
        <v>2018</v>
      </c>
      <c r="B1371" s="45">
        <f ca="1">IFERROR(__xludf.DUMMYFUNCTION("""COMPUTED_VALUE"""),44568)</f>
        <v>44568</v>
      </c>
      <c r="C1371" s="46"/>
      <c r="D1371" s="47" t="str">
        <f ca="1">IFERROR(__xludf.DUMMYFUNCTION("""COMPUTED_VALUE"""),"Pied Wheatear")</f>
        <v>Pied Wheatear</v>
      </c>
      <c r="E1371" s="52"/>
      <c r="F1371" s="40"/>
      <c r="G1371" s="48" t="str">
        <f ca="1">IFERROR(__xludf.DUMMYFUNCTION("""COMPUTED_VALUE"""),"Meols")</f>
        <v>Meols</v>
      </c>
      <c r="H1371" s="22">
        <f ca="1">IFERROR(__xludf.DUMMYFUNCTION("""COMPUTED_VALUE"""),43410)</f>
        <v>43410</v>
      </c>
      <c r="I1371" s="22">
        <f ca="1">IFERROR(__xludf.DUMMYFUNCTION("""COMPUTED_VALUE"""),43413)</f>
        <v>43413</v>
      </c>
      <c r="J1371" s="24"/>
      <c r="K1371" s="25"/>
      <c r="L1371" s="27" t="str">
        <f ca="1">IFERROR(__xludf.DUMMYFUNCTION("""COMPUTED_VALUE"""),"closed")</f>
        <v>closed</v>
      </c>
      <c r="M1371" s="27"/>
      <c r="N1371" s="25" t="str">
        <f ca="1">IFERROR(__xludf.DUMMYFUNCTION("""COMPUTED_VALUE"""),"BBRC-OK")</f>
        <v>BBRC-OK</v>
      </c>
      <c r="O1371" s="28"/>
      <c r="P1371" s="25"/>
      <c r="Q1371" s="25"/>
      <c r="R1371" s="25"/>
      <c r="S1371" s="25"/>
      <c r="T1371" s="25"/>
      <c r="U1371" s="25"/>
      <c r="V1371" s="25"/>
      <c r="W1371" s="25"/>
      <c r="X1371" s="25"/>
      <c r="Y1371" s="25"/>
      <c r="Z1371" s="25"/>
      <c r="AA1371" s="25"/>
      <c r="AB1371" s="25"/>
      <c r="AC1371" s="25"/>
      <c r="AD1371" s="25"/>
      <c r="AE1371" s="25"/>
      <c r="AF1371" s="25"/>
      <c r="AG1371" s="25"/>
      <c r="AH1371" s="25"/>
      <c r="AI1371" s="25"/>
      <c r="AJ1371" s="25"/>
      <c r="AK1371" s="25"/>
      <c r="AL1371" s="25"/>
      <c r="AM1371" s="25"/>
      <c r="AN1371" s="25"/>
      <c r="AO1371" s="25"/>
      <c r="AP1371" s="25"/>
      <c r="AQ1371" s="25"/>
      <c r="AR1371" s="25"/>
      <c r="AS1371" s="25"/>
      <c r="AT1371" s="25"/>
      <c r="AU1371" s="25"/>
      <c r="AV1371" s="25"/>
      <c r="AW1371" s="25"/>
      <c r="AX1371" s="25"/>
      <c r="AY1371" s="25"/>
      <c r="AZ1371" s="25"/>
      <c r="BA1371" s="25"/>
      <c r="BB1371" s="25"/>
      <c r="BC1371" s="25"/>
      <c r="BD1371" s="25"/>
      <c r="BE1371" s="25"/>
      <c r="BF1371" s="25"/>
      <c r="BG1371" s="25"/>
      <c r="BH1371" s="25"/>
      <c r="BI1371" s="25"/>
      <c r="BJ1371" s="25"/>
      <c r="BK1371" s="25"/>
      <c r="BL1371" s="25"/>
      <c r="BM1371" s="25"/>
      <c r="BN1371" s="25"/>
      <c r="BO1371" s="25"/>
      <c r="BP1371" s="25"/>
      <c r="BQ1371" s="25"/>
      <c r="BR1371" s="25"/>
      <c r="BS1371" s="25"/>
      <c r="BT1371" s="25"/>
      <c r="BU1371" s="25"/>
      <c r="BV1371" s="25"/>
      <c r="BW1371" s="25"/>
      <c r="BX1371" s="25"/>
      <c r="BY1371" s="25"/>
      <c r="BZ1371" s="25"/>
      <c r="CA1371" s="25"/>
      <c r="CB1371" s="25"/>
    </row>
    <row r="1372" spans="1:80" ht="12.75" hidden="1" customHeight="1">
      <c r="A1372" s="10">
        <f ca="1">IFERROR(__xludf.DUMMYFUNCTION("""COMPUTED_VALUE"""),2018)</f>
        <v>2018</v>
      </c>
      <c r="B1372" s="50">
        <f ca="1">IFERROR(__xludf.DUMMYFUNCTION("""COMPUTED_VALUE"""),44573)</f>
        <v>44573</v>
      </c>
      <c r="C1372" s="41"/>
      <c r="D1372" s="42" t="str">
        <f ca="1">IFERROR(__xludf.DUMMYFUNCTION("""COMPUTED_VALUE"""),"Yellow Wagtail [Iberian]")</f>
        <v>Yellow Wagtail [Iberian]</v>
      </c>
      <c r="E1372" s="53"/>
      <c r="F1372" s="58"/>
      <c r="G1372" s="44" t="str">
        <f ca="1">IFERROR(__xludf.DUMMYFUNCTION("""COMPUTED_VALUE"""),"Leasowe")</f>
        <v>Leasowe</v>
      </c>
      <c r="H1372" s="12">
        <f ca="1">IFERROR(__xludf.DUMMYFUNCTION("""COMPUTED_VALUE"""),43246)</f>
        <v>43246</v>
      </c>
      <c r="I1372" s="12">
        <f ca="1">IFERROR(__xludf.DUMMYFUNCTION("""COMPUTED_VALUE"""),43249)</f>
        <v>43249</v>
      </c>
      <c r="J1372" s="14"/>
      <c r="K1372" s="15"/>
      <c r="L1372" s="17" t="str">
        <f ca="1">IFERROR(__xludf.DUMMYFUNCTION("""COMPUTED_VALUE"""),"closed")</f>
        <v>closed</v>
      </c>
      <c r="M1372" s="17"/>
      <c r="N1372" s="15" t="str">
        <f ca="1">IFERROR(__xludf.DUMMYFUNCTION("""COMPUTED_VALUE"""),"BBRC-OK")</f>
        <v>BBRC-OK</v>
      </c>
      <c r="O1372" s="18" t="str">
        <f ca="1">IFERROR(__xludf.DUMMYFUNCTION("""COMPUTED_VALUE"""),"Male, photo")</f>
        <v>Male, photo</v>
      </c>
      <c r="P1372" s="15"/>
      <c r="Q1372" s="15"/>
      <c r="R1372" s="15"/>
      <c r="S1372" s="15"/>
      <c r="T1372" s="15"/>
      <c r="U1372" s="15"/>
      <c r="V1372" s="15"/>
      <c r="W1372" s="15"/>
      <c r="X1372" s="15"/>
      <c r="Y1372" s="15"/>
      <c r="Z1372" s="15"/>
      <c r="AA1372" s="15"/>
      <c r="AB1372" s="15"/>
      <c r="AC1372" s="15"/>
      <c r="AD1372" s="15"/>
      <c r="AE1372" s="15"/>
      <c r="AF1372" s="15"/>
      <c r="AG1372" s="15"/>
      <c r="AH1372" s="15"/>
      <c r="AI1372" s="15"/>
      <c r="AJ1372" s="15"/>
      <c r="AK1372" s="15"/>
      <c r="AL1372" s="15"/>
      <c r="AM1372" s="15"/>
      <c r="AN1372" s="15"/>
      <c r="AO1372" s="15"/>
      <c r="AP1372" s="15"/>
      <c r="AQ1372" s="15"/>
      <c r="AR1372" s="15"/>
      <c r="AS1372" s="15"/>
      <c r="AT1372" s="15"/>
      <c r="AU1372" s="15"/>
      <c r="AV1372" s="15"/>
      <c r="AW1372" s="15"/>
      <c r="AX1372" s="15"/>
      <c r="AY1372" s="15"/>
      <c r="AZ1372" s="15"/>
      <c r="BA1372" s="15"/>
      <c r="BB1372" s="15"/>
      <c r="BC1372" s="15"/>
      <c r="BD1372" s="15"/>
      <c r="BE1372" s="15"/>
      <c r="BF1372" s="15"/>
      <c r="BG1372" s="15"/>
      <c r="BH1372" s="15"/>
      <c r="BI1372" s="15"/>
      <c r="BJ1372" s="15"/>
      <c r="BK1372" s="15"/>
      <c r="BL1372" s="15"/>
      <c r="BM1372" s="15"/>
      <c r="BN1372" s="15"/>
      <c r="BO1372" s="15"/>
      <c r="BP1372" s="15"/>
      <c r="BQ1372" s="15"/>
      <c r="BR1372" s="15"/>
      <c r="BS1372" s="15"/>
      <c r="BT1372" s="15"/>
      <c r="BU1372" s="15"/>
      <c r="BV1372" s="15"/>
      <c r="BW1372" s="15"/>
      <c r="BX1372" s="15"/>
      <c r="BY1372" s="15"/>
      <c r="BZ1372" s="15"/>
      <c r="CA1372" s="15"/>
      <c r="CB1372" s="15"/>
    </row>
    <row r="1373" spans="1:80" ht="12.75" hidden="1" customHeight="1">
      <c r="A1373" s="20">
        <f ca="1">IFERROR(__xludf.DUMMYFUNCTION("""COMPUTED_VALUE"""),2018)</f>
        <v>2018</v>
      </c>
      <c r="B1373" s="45">
        <f ca="1">IFERROR(__xludf.DUMMYFUNCTION("""COMPUTED_VALUE"""),43881)</f>
        <v>43881</v>
      </c>
      <c r="C1373" s="46"/>
      <c r="D1373" s="47" t="str">
        <f ca="1">IFERROR(__xludf.DUMMYFUNCTION("""COMPUTED_VALUE"""),"Yellow Wagtail [Grey-headed]")</f>
        <v>Yellow Wagtail [Grey-headed]</v>
      </c>
      <c r="E1373" s="52">
        <f ca="1">IFERROR(__xludf.DUMMYFUNCTION("""COMPUTED_VALUE"""),1)</f>
        <v>1</v>
      </c>
      <c r="F1373" s="40" t="str">
        <f ca="1">IFERROR(__xludf.DUMMYFUNCTION("""COMPUTED_VALUE"""),"m")</f>
        <v>m</v>
      </c>
      <c r="G1373" s="48" t="str">
        <f ca="1">IFERROR(__xludf.DUMMYFUNCTION("""COMPUTED_VALUE"""),"Red Rocks, Hoylake")</f>
        <v>Red Rocks, Hoylake</v>
      </c>
      <c r="H1373" s="22">
        <f ca="1">IFERROR(__xludf.DUMMYFUNCTION("""COMPUTED_VALUE"""),43243)</f>
        <v>43243</v>
      </c>
      <c r="I1373" s="22">
        <f ca="1">IFERROR(__xludf.DUMMYFUNCTION("""COMPUTED_VALUE"""),43243)</f>
        <v>43243</v>
      </c>
      <c r="J1373" s="24" t="str">
        <f ca="1">IFERROR(__xludf.DUMMYFUNCTION("""COMPUTED_VALUE"""),"Turner, JE")</f>
        <v>Turner, JE</v>
      </c>
      <c r="K1373" s="25" t="str">
        <f ca="1">IFERROR(__xludf.DUMMYFUNCTION("""COMPUTED_VALUE"""),"Turner, JE")</f>
        <v>Turner, JE</v>
      </c>
      <c r="L1373" s="27" t="str">
        <f ca="1">IFERROR(__xludf.DUMMYFUNCTION("""COMPUTED_VALUE"""),"closed")</f>
        <v>closed</v>
      </c>
      <c r="M1373" s="27" t="str">
        <f ca="1">IFERROR(__xludf.DUMMYFUNCTION("""COMPUTED_VALUE"""),"1st U")</f>
        <v>1st U</v>
      </c>
      <c r="N1373" s="25" t="str">
        <f ca="1">IFERROR(__xludf.DUMMYFUNCTION("""COMPUTED_VALUE"""),"accepted")</f>
        <v>accepted</v>
      </c>
      <c r="O1373" s="28"/>
      <c r="P1373" s="25"/>
      <c r="Q1373" s="25"/>
      <c r="R1373" s="25"/>
      <c r="S1373" s="25"/>
      <c r="T1373" s="25"/>
      <c r="U1373" s="25"/>
      <c r="V1373" s="25"/>
      <c r="W1373" s="25"/>
      <c r="X1373" s="25"/>
      <c r="Y1373" s="25"/>
      <c r="Z1373" s="25"/>
      <c r="AA1373" s="25"/>
      <c r="AB1373" s="25"/>
      <c r="AC1373" s="25"/>
      <c r="AD1373" s="25"/>
      <c r="AE1373" s="25"/>
      <c r="AF1373" s="25"/>
      <c r="AG1373" s="25"/>
      <c r="AH1373" s="25"/>
      <c r="AI1373" s="25"/>
      <c r="AJ1373" s="25"/>
      <c r="AK1373" s="25"/>
      <c r="AL1373" s="25"/>
      <c r="AM1373" s="25"/>
      <c r="AN1373" s="25"/>
      <c r="AO1373" s="25"/>
      <c r="AP1373" s="25"/>
      <c r="AQ1373" s="25"/>
      <c r="AR1373" s="25"/>
      <c r="AS1373" s="25"/>
      <c r="AT1373" s="25"/>
      <c r="AU1373" s="25"/>
      <c r="AV1373" s="25"/>
      <c r="AW1373" s="25"/>
      <c r="AX1373" s="25"/>
      <c r="AY1373" s="25"/>
      <c r="AZ1373" s="25"/>
      <c r="BA1373" s="25"/>
      <c r="BB1373" s="25"/>
      <c r="BC1373" s="25"/>
      <c r="BD1373" s="25"/>
      <c r="BE1373" s="25"/>
      <c r="BF1373" s="25"/>
      <c r="BG1373" s="25"/>
      <c r="BH1373" s="25"/>
      <c r="BI1373" s="25"/>
      <c r="BJ1373" s="25"/>
      <c r="BK1373" s="25"/>
      <c r="BL1373" s="25"/>
      <c r="BM1373" s="25"/>
      <c r="BN1373" s="25"/>
      <c r="BO1373" s="25"/>
      <c r="BP1373" s="25"/>
      <c r="BQ1373" s="25"/>
      <c r="BR1373" s="25"/>
      <c r="BS1373" s="25"/>
      <c r="BT1373" s="25"/>
      <c r="BU1373" s="25"/>
      <c r="BV1373" s="25"/>
      <c r="BW1373" s="25"/>
      <c r="BX1373" s="25"/>
      <c r="BY1373" s="25"/>
      <c r="BZ1373" s="25"/>
      <c r="CA1373" s="25"/>
      <c r="CB1373" s="25"/>
    </row>
    <row r="1374" spans="1:80" ht="12.75" hidden="1" customHeight="1">
      <c r="A1374" s="10">
        <f ca="1">IFERROR(__xludf.DUMMYFUNCTION("""COMPUTED_VALUE"""),2018)</f>
        <v>2018</v>
      </c>
      <c r="B1374" s="50">
        <f ca="1">IFERROR(__xludf.DUMMYFUNCTION("""COMPUTED_VALUE"""),43863)</f>
        <v>43863</v>
      </c>
      <c r="C1374" s="41">
        <f ca="1">IFERROR(__xludf.DUMMYFUNCTION("""COMPUTED_VALUE"""),43864)</f>
        <v>43864</v>
      </c>
      <c r="D1374" s="42" t="str">
        <f ca="1">IFERROR(__xludf.DUMMYFUNCTION("""COMPUTED_VALUE"""),"Common Rosefinch")</f>
        <v>Common Rosefinch</v>
      </c>
      <c r="E1374" s="53">
        <f ca="1">IFERROR(__xludf.DUMMYFUNCTION("""COMPUTED_VALUE"""),1)</f>
        <v>1</v>
      </c>
      <c r="F1374" s="58"/>
      <c r="G1374" s="44" t="str">
        <f ca="1">IFERROR(__xludf.DUMMYFUNCTION("""COMPUTED_VALUE"""),"Red Rocks, Hoylake")</f>
        <v>Red Rocks, Hoylake</v>
      </c>
      <c r="H1374" s="12">
        <f ca="1">IFERROR(__xludf.DUMMYFUNCTION("""COMPUTED_VALUE"""),43383)</f>
        <v>43383</v>
      </c>
      <c r="I1374" s="12">
        <f ca="1">IFERROR(__xludf.DUMMYFUNCTION("""COMPUTED_VALUE"""),43383)</f>
        <v>43383</v>
      </c>
      <c r="J1374" s="14" t="str">
        <f ca="1">IFERROR(__xludf.DUMMYFUNCTION("""COMPUTED_VALUE"""),"Turner, JE")</f>
        <v>Turner, JE</v>
      </c>
      <c r="K1374" s="15"/>
      <c r="L1374" s="17" t="str">
        <f ca="1">IFERROR(__xludf.DUMMYFUNCTION("""COMPUTED_VALUE"""),"closed")</f>
        <v>closed</v>
      </c>
      <c r="M1374" s="17" t="str">
        <f ca="1">IFERROR(__xludf.DUMMYFUNCTION("""COMPUTED_VALUE"""),"1st U")</f>
        <v>1st U</v>
      </c>
      <c r="N1374" s="15" t="str">
        <f ca="1">IFERROR(__xludf.DUMMYFUNCTION("""COMPUTED_VALUE"""),"Accepted")</f>
        <v>Accepted</v>
      </c>
      <c r="O1374" s="18" t="str">
        <f ca="1">IFERROR(__xludf.DUMMYFUNCTION("""COMPUTED_VALUE"""),"Flew south calling at c 08:30. Recorded. Non-descript passerine slightly smaller but longer-tailed than Greenfinch, quite front-heavy. mostly grey-brown, slightly paler on lower belly/vent, and some streaks visible on breast. No tail markings (visible")</f>
        <v>Flew south calling at c 08:30. Recorded. Non-descript passerine slightly smaller but longer-tailed than Greenfinch, quite front-heavy. mostly grey-brown, slightly paler on lower belly/vent, and some streaks visible on breast. No tail markings (visible</v>
      </c>
      <c r="P1374" s="15"/>
      <c r="Q1374" s="15"/>
      <c r="R1374" s="15"/>
      <c r="S1374" s="15"/>
      <c r="T1374" s="15"/>
      <c r="U1374" s="15"/>
      <c r="V1374" s="15"/>
      <c r="W1374" s="15"/>
      <c r="X1374" s="15"/>
      <c r="Y1374" s="15"/>
      <c r="Z1374" s="15"/>
      <c r="AA1374" s="15"/>
      <c r="AB1374" s="15"/>
      <c r="AC1374" s="15"/>
      <c r="AD1374" s="15"/>
      <c r="AE1374" s="15"/>
      <c r="AF1374" s="15"/>
      <c r="AG1374" s="15"/>
      <c r="AH1374" s="15"/>
      <c r="AI1374" s="15"/>
      <c r="AJ1374" s="15"/>
      <c r="AK1374" s="15"/>
      <c r="AL1374" s="15"/>
      <c r="AM1374" s="15"/>
      <c r="AN1374" s="15"/>
      <c r="AO1374" s="15"/>
      <c r="AP1374" s="15"/>
      <c r="AQ1374" s="15"/>
      <c r="AR1374" s="15"/>
      <c r="AS1374" s="15"/>
      <c r="AT1374" s="15"/>
      <c r="AU1374" s="15"/>
      <c r="AV1374" s="15"/>
      <c r="AW1374" s="15"/>
      <c r="AX1374" s="15"/>
      <c r="AY1374" s="15"/>
      <c r="AZ1374" s="15"/>
      <c r="BA1374" s="15"/>
      <c r="BB1374" s="15"/>
      <c r="BC1374" s="15"/>
      <c r="BD1374" s="15"/>
      <c r="BE1374" s="15"/>
      <c r="BF1374" s="15"/>
      <c r="BG1374" s="15"/>
      <c r="BH1374" s="15"/>
      <c r="BI1374" s="15"/>
      <c r="BJ1374" s="15"/>
      <c r="BK1374" s="15"/>
      <c r="BL1374" s="15"/>
      <c r="BM1374" s="15"/>
      <c r="BN1374" s="15"/>
      <c r="BO1374" s="15"/>
      <c r="BP1374" s="15"/>
      <c r="BQ1374" s="15"/>
      <c r="BR1374" s="15"/>
      <c r="BS1374" s="15"/>
      <c r="BT1374" s="15"/>
      <c r="BU1374" s="15"/>
      <c r="BV1374" s="15"/>
      <c r="BW1374" s="15"/>
      <c r="BX1374" s="15"/>
      <c r="BY1374" s="15"/>
      <c r="BZ1374" s="15"/>
      <c r="CA1374" s="15"/>
      <c r="CB1374" s="15"/>
    </row>
    <row r="1375" spans="1:80" ht="12.75" hidden="1" customHeight="1">
      <c r="A1375" s="20">
        <f ca="1">IFERROR(__xludf.DUMMYFUNCTION("""COMPUTED_VALUE"""),2019)</f>
        <v>2019</v>
      </c>
      <c r="B1375" s="45">
        <f ca="1">IFERROR(__xludf.DUMMYFUNCTION("""COMPUTED_VALUE"""),44584)</f>
        <v>44584</v>
      </c>
      <c r="C1375" s="46"/>
      <c r="D1375" s="47" t="str">
        <f ca="1">IFERROR(__xludf.DUMMYFUNCTION("""COMPUTED_VALUE"""),"Ring-necked Duck")</f>
        <v>Ring-necked Duck</v>
      </c>
      <c r="E1375" s="52">
        <f ca="1">IFERROR(__xludf.DUMMYFUNCTION("""COMPUTED_VALUE"""),1)</f>
        <v>1</v>
      </c>
      <c r="F1375" s="40"/>
      <c r="G1375" s="48" t="str">
        <f ca="1">IFERROR(__xludf.DUMMYFUNCTION("""COMPUTED_VALUE"""),"Burton Mere Wetlands RSPB")</f>
        <v>Burton Mere Wetlands RSPB</v>
      </c>
      <c r="H1375" s="22">
        <f ca="1">IFERROR(__xludf.DUMMYFUNCTION("""COMPUTED_VALUE"""),43595)</f>
        <v>43595</v>
      </c>
      <c r="I1375" s="22"/>
      <c r="J1375" s="24"/>
      <c r="K1375" s="25"/>
      <c r="L1375" s="27"/>
      <c r="M1375" s="27" t="str">
        <f ca="1">IFERROR(__xludf.DUMMYFUNCTION("""COMPUTED_VALUE"""),"photo")</f>
        <v>photo</v>
      </c>
      <c r="N1375" s="25" t="str">
        <f ca="1">IFERROR(__xludf.DUMMYFUNCTION("""COMPUTED_VALUE"""),"Accepted w/o circ")</f>
        <v>Accepted w/o circ</v>
      </c>
      <c r="O1375" s="28"/>
      <c r="P1375" s="25"/>
      <c r="Q1375" s="25"/>
      <c r="R1375" s="25"/>
      <c r="S1375" s="25"/>
      <c r="T1375" s="25"/>
      <c r="U1375" s="25"/>
      <c r="V1375" s="25"/>
      <c r="W1375" s="25"/>
      <c r="X1375" s="25"/>
      <c r="Y1375" s="25"/>
      <c r="Z1375" s="25"/>
      <c r="AA1375" s="25"/>
      <c r="AB1375" s="25"/>
      <c r="AC1375" s="25"/>
      <c r="AD1375" s="25"/>
      <c r="AE1375" s="25"/>
      <c r="AF1375" s="25"/>
      <c r="AG1375" s="25"/>
      <c r="AH1375" s="25"/>
      <c r="AI1375" s="25"/>
      <c r="AJ1375" s="25"/>
      <c r="AK1375" s="25"/>
      <c r="AL1375" s="25"/>
      <c r="AM1375" s="25"/>
      <c r="AN1375" s="25"/>
      <c r="AO1375" s="25"/>
      <c r="AP1375" s="25"/>
      <c r="AQ1375" s="25"/>
      <c r="AR1375" s="25"/>
      <c r="AS1375" s="25"/>
      <c r="AT1375" s="25"/>
      <c r="AU1375" s="25"/>
      <c r="AV1375" s="25"/>
      <c r="AW1375" s="25"/>
      <c r="AX1375" s="25"/>
      <c r="AY1375" s="25"/>
      <c r="AZ1375" s="25"/>
      <c r="BA1375" s="25"/>
      <c r="BB1375" s="25"/>
      <c r="BC1375" s="25"/>
      <c r="BD1375" s="25"/>
      <c r="BE1375" s="25"/>
      <c r="BF1375" s="25"/>
      <c r="BG1375" s="25"/>
      <c r="BH1375" s="25"/>
      <c r="BI1375" s="25"/>
      <c r="BJ1375" s="25"/>
      <c r="BK1375" s="25"/>
      <c r="BL1375" s="25"/>
      <c r="BM1375" s="25"/>
      <c r="BN1375" s="25"/>
      <c r="BO1375" s="25"/>
      <c r="BP1375" s="25"/>
      <c r="BQ1375" s="25"/>
      <c r="BR1375" s="25"/>
      <c r="BS1375" s="25"/>
      <c r="BT1375" s="25"/>
      <c r="BU1375" s="25"/>
      <c r="BV1375" s="25"/>
      <c r="BW1375" s="25"/>
      <c r="BX1375" s="25"/>
      <c r="BY1375" s="25"/>
      <c r="BZ1375" s="25"/>
      <c r="CA1375" s="25"/>
      <c r="CB1375" s="25"/>
    </row>
    <row r="1376" spans="1:80" ht="12.75" hidden="1" customHeight="1">
      <c r="A1376" s="10">
        <f ca="1">IFERROR(__xludf.DUMMYFUNCTION("""COMPUTED_VALUE"""),2019)</f>
        <v>2019</v>
      </c>
      <c r="B1376" s="50">
        <f ca="1">IFERROR(__xludf.DUMMYFUNCTION("""COMPUTED_VALUE"""),44165)</f>
        <v>44165</v>
      </c>
      <c r="C1376" s="41">
        <f ca="1">IFERROR(__xludf.DUMMYFUNCTION("""COMPUTED_VALUE"""),44165)</f>
        <v>44165</v>
      </c>
      <c r="D1376" s="42" t="str">
        <f ca="1">IFERROR(__xludf.DUMMYFUNCTION("""COMPUTED_VALUE"""),"Common Redpoll")</f>
        <v>Common Redpoll</v>
      </c>
      <c r="E1376" s="53">
        <f ca="1">IFERROR(__xludf.DUMMYFUNCTION("""COMPUTED_VALUE"""),5)</f>
        <v>5</v>
      </c>
      <c r="F1376" s="15"/>
      <c r="G1376" s="44" t="str">
        <f ca="1">IFERROR(__xludf.DUMMYFUNCTION("""COMPUTED_VALUE"""),"Leasowe")</f>
        <v>Leasowe</v>
      </c>
      <c r="H1376" s="12">
        <f ca="1">IFERROR(__xludf.DUMMYFUNCTION("""COMPUTED_VALUE"""),43576)</f>
        <v>43576</v>
      </c>
      <c r="I1376" s="12"/>
      <c r="J1376" s="14" t="str">
        <f ca="1">IFERROR(__xludf.DUMMYFUNCTION("""COMPUTED_VALUE"""),"Williams, E")</f>
        <v>Williams, E</v>
      </c>
      <c r="K1376" s="15" t="str">
        <f ca="1">IFERROR(__xludf.DUMMYFUNCTION("""COMPUTED_VALUE"""),"Williams, E")</f>
        <v>Williams, E</v>
      </c>
      <c r="L1376" s="17" t="str">
        <f ca="1">IFERROR(__xludf.DUMMYFUNCTION("""COMPUTED_VALUE"""),"closed")</f>
        <v>closed</v>
      </c>
      <c r="M1376" s="17" t="str">
        <f ca="1">IFERROR(__xludf.DUMMYFUNCTION("""COMPUTED_VALUE"""),"1st U")</f>
        <v>1st U</v>
      </c>
      <c r="N1376" s="15" t="str">
        <f ca="1">IFERROR(__xludf.DUMMYFUNCTION("""COMPUTED_VALUE"""),"accepted")</f>
        <v>accepted</v>
      </c>
      <c r="O1376" s="18"/>
      <c r="P1376" s="15"/>
      <c r="Q1376" s="15"/>
      <c r="R1376" s="15"/>
      <c r="S1376" s="15"/>
      <c r="T1376" s="15"/>
      <c r="U1376" s="15"/>
      <c r="V1376" s="15"/>
      <c r="W1376" s="15"/>
      <c r="X1376" s="15"/>
      <c r="Y1376" s="15"/>
      <c r="Z1376" s="15"/>
      <c r="AA1376" s="15"/>
      <c r="AB1376" s="15"/>
      <c r="AC1376" s="15"/>
      <c r="AD1376" s="15"/>
      <c r="AE1376" s="15"/>
      <c r="AF1376" s="15"/>
      <c r="AG1376" s="15"/>
      <c r="AH1376" s="15"/>
      <c r="AI1376" s="15"/>
      <c r="AJ1376" s="15"/>
      <c r="AK1376" s="15"/>
      <c r="AL1376" s="15"/>
      <c r="AM1376" s="15"/>
      <c r="AN1376" s="15"/>
      <c r="AO1376" s="15"/>
      <c r="AP1376" s="15"/>
      <c r="AQ1376" s="15"/>
      <c r="AR1376" s="15"/>
      <c r="AS1376" s="15"/>
      <c r="AT1376" s="15"/>
      <c r="AU1376" s="15"/>
      <c r="AV1376" s="15"/>
      <c r="AW1376" s="15"/>
      <c r="AX1376" s="15"/>
      <c r="AY1376" s="15"/>
      <c r="AZ1376" s="15"/>
      <c r="BA1376" s="15"/>
      <c r="BB1376" s="15"/>
      <c r="BC1376" s="15"/>
      <c r="BD1376" s="15"/>
      <c r="BE1376" s="15"/>
      <c r="BF1376" s="15"/>
      <c r="BG1376" s="15"/>
      <c r="BH1376" s="15"/>
      <c r="BI1376" s="15"/>
      <c r="BJ1376" s="15"/>
      <c r="BK1376" s="15"/>
      <c r="BL1376" s="15"/>
      <c r="BM1376" s="15"/>
      <c r="BN1376" s="15"/>
      <c r="BO1376" s="15"/>
      <c r="BP1376" s="15"/>
      <c r="BQ1376" s="15"/>
      <c r="BR1376" s="15"/>
      <c r="BS1376" s="15"/>
      <c r="BT1376" s="15"/>
      <c r="BU1376" s="15"/>
      <c r="BV1376" s="15"/>
      <c r="BW1376" s="15"/>
      <c r="BX1376" s="15"/>
      <c r="BY1376" s="15"/>
      <c r="BZ1376" s="15"/>
      <c r="CA1376" s="15"/>
      <c r="CB1376" s="15"/>
    </row>
    <row r="1377" spans="1:80" ht="12.75" hidden="1" customHeight="1">
      <c r="A1377" s="20">
        <f ca="1">IFERROR(__xludf.DUMMYFUNCTION("""COMPUTED_VALUE"""),2019)</f>
        <v>2019</v>
      </c>
      <c r="B1377" s="45">
        <f ca="1">IFERROR(__xludf.DUMMYFUNCTION("""COMPUTED_VALUE"""),44571)</f>
        <v>44571</v>
      </c>
      <c r="C1377" s="46"/>
      <c r="D1377" s="47" t="str">
        <f ca="1">IFERROR(__xludf.DUMMYFUNCTION("""COMPUTED_VALUE"""),"Crane")</f>
        <v>Crane</v>
      </c>
      <c r="E1377" s="52">
        <f ca="1">IFERROR(__xludf.DUMMYFUNCTION("""COMPUTED_VALUE"""),5)</f>
        <v>5</v>
      </c>
      <c r="F1377" s="25"/>
      <c r="G1377" s="48" t="str">
        <f ca="1">IFERROR(__xludf.DUMMYFUNCTION("""COMPUTED_VALUE"""),"Penketh")</f>
        <v>Penketh</v>
      </c>
      <c r="H1377" s="22">
        <f ca="1">IFERROR(__xludf.DUMMYFUNCTION("""COMPUTED_VALUE"""),43758)</f>
        <v>43758</v>
      </c>
      <c r="I1377" s="22"/>
      <c r="J1377" s="24"/>
      <c r="K1377" s="25"/>
      <c r="L1377" s="27" t="str">
        <f ca="1">IFERROR(__xludf.DUMMYFUNCTION("""COMPUTED_VALUE"""),"closed")</f>
        <v>closed</v>
      </c>
      <c r="M1377" s="27" t="str">
        <f ca="1">IFERROR(__xludf.DUMMYFUNCTION("""COMPUTED_VALUE"""),"published - no circ")</f>
        <v>published - no circ</v>
      </c>
      <c r="N1377" s="25" t="str">
        <f ca="1">IFERROR(__xludf.DUMMYFUNCTION("""COMPUTED_VALUE"""),"accepted")</f>
        <v>accepted</v>
      </c>
      <c r="O1377" s="28"/>
      <c r="P1377" s="25"/>
      <c r="Q1377" s="25"/>
      <c r="R1377" s="25"/>
      <c r="S1377" s="25"/>
      <c r="T1377" s="25"/>
      <c r="U1377" s="25"/>
      <c r="V1377" s="25"/>
      <c r="W1377" s="25"/>
      <c r="X1377" s="25"/>
      <c r="Y1377" s="25"/>
      <c r="Z1377" s="25"/>
      <c r="AA1377" s="25"/>
      <c r="AB1377" s="25"/>
      <c r="AC1377" s="25"/>
      <c r="AD1377" s="25"/>
      <c r="AE1377" s="25"/>
      <c r="AF1377" s="25"/>
      <c r="AG1377" s="25"/>
      <c r="AH1377" s="25"/>
      <c r="AI1377" s="25"/>
      <c r="AJ1377" s="25"/>
      <c r="AK1377" s="25"/>
      <c r="AL1377" s="25"/>
      <c r="AM1377" s="25"/>
      <c r="AN1377" s="25"/>
      <c r="AO1377" s="25"/>
      <c r="AP1377" s="25"/>
      <c r="AQ1377" s="25"/>
      <c r="AR1377" s="25"/>
      <c r="AS1377" s="25"/>
      <c r="AT1377" s="25"/>
      <c r="AU1377" s="25"/>
      <c r="AV1377" s="25"/>
      <c r="AW1377" s="25"/>
      <c r="AX1377" s="25"/>
      <c r="AY1377" s="25"/>
      <c r="AZ1377" s="25"/>
      <c r="BA1377" s="25"/>
      <c r="BB1377" s="25"/>
      <c r="BC1377" s="25"/>
      <c r="BD1377" s="25"/>
      <c r="BE1377" s="25"/>
      <c r="BF1377" s="25"/>
      <c r="BG1377" s="25"/>
      <c r="BH1377" s="25"/>
      <c r="BI1377" s="25"/>
      <c r="BJ1377" s="25"/>
      <c r="BK1377" s="25"/>
      <c r="BL1377" s="25"/>
      <c r="BM1377" s="25"/>
      <c r="BN1377" s="25"/>
      <c r="BO1377" s="25"/>
      <c r="BP1377" s="25"/>
      <c r="BQ1377" s="25"/>
      <c r="BR1377" s="25"/>
      <c r="BS1377" s="25"/>
      <c r="BT1377" s="25"/>
      <c r="BU1377" s="25"/>
      <c r="BV1377" s="25"/>
      <c r="BW1377" s="25"/>
      <c r="BX1377" s="25"/>
      <c r="BY1377" s="25"/>
      <c r="BZ1377" s="25"/>
      <c r="CA1377" s="25"/>
      <c r="CB1377" s="25"/>
    </row>
    <row r="1378" spans="1:80" ht="12.75" hidden="1" customHeight="1">
      <c r="A1378" s="10">
        <f ca="1">IFERROR(__xludf.DUMMYFUNCTION("""COMPUTED_VALUE"""),2019)</f>
        <v>2019</v>
      </c>
      <c r="B1378" s="50">
        <f ca="1">IFERROR(__xludf.DUMMYFUNCTION("""COMPUTED_VALUE"""),44572)</f>
        <v>44572</v>
      </c>
      <c r="C1378" s="41"/>
      <c r="D1378" s="42" t="str">
        <f ca="1">IFERROR(__xludf.DUMMYFUNCTION("""COMPUTED_VALUE"""),"Dotterel")</f>
        <v>Dotterel</v>
      </c>
      <c r="E1378" s="53">
        <f ca="1">IFERROR(__xludf.DUMMYFUNCTION("""COMPUTED_VALUE"""),2)</f>
        <v>2</v>
      </c>
      <c r="F1378" s="15"/>
      <c r="G1378" s="44" t="str">
        <f ca="1">IFERROR(__xludf.DUMMYFUNCTION("""COMPUTED_VALUE"""),"Danebower")</f>
        <v>Danebower</v>
      </c>
      <c r="H1378" s="12">
        <f ca="1">IFERROR(__xludf.DUMMYFUNCTION("""COMPUTED_VALUE"""),43590)</f>
        <v>43590</v>
      </c>
      <c r="I1378" s="12">
        <f ca="1">IFERROR(__xludf.DUMMYFUNCTION("""COMPUTED_VALUE"""),43592)</f>
        <v>43592</v>
      </c>
      <c r="J1378" s="14" t="str">
        <f ca="1">IFERROR(__xludf.DUMMYFUNCTION("""COMPUTED_VALUE"""),"Stanyer, M")</f>
        <v>Stanyer, M</v>
      </c>
      <c r="K1378" s="15" t="str">
        <f ca="1">IFERROR(__xludf.DUMMYFUNCTION("""COMPUTED_VALUE"""),"?")</f>
        <v>?</v>
      </c>
      <c r="L1378" s="17" t="str">
        <f ca="1">IFERROR(__xludf.DUMMYFUNCTION("""COMPUTED_VALUE"""),"closed")</f>
        <v>closed</v>
      </c>
      <c r="M1378" s="17" t="str">
        <f ca="1">IFERROR(__xludf.DUMMYFUNCTION("""COMPUTED_VALUE"""),"photo")</f>
        <v>photo</v>
      </c>
      <c r="N1378" s="15" t="str">
        <f ca="1">IFERROR(__xludf.DUMMYFUNCTION("""COMPUTED_VALUE"""),"accepted ")</f>
        <v xml:space="preserve">accepted </v>
      </c>
      <c r="O1378" s="18"/>
      <c r="P1378" s="15"/>
      <c r="Q1378" s="15"/>
      <c r="R1378" s="15"/>
      <c r="S1378" s="15"/>
      <c r="T1378" s="15"/>
      <c r="U1378" s="15"/>
      <c r="V1378" s="15"/>
      <c r="W1378" s="15"/>
      <c r="X1378" s="15"/>
      <c r="Y1378" s="15"/>
      <c r="Z1378" s="15"/>
      <c r="AA1378" s="15"/>
      <c r="AB1378" s="15"/>
      <c r="AC1378" s="15"/>
      <c r="AD1378" s="15"/>
      <c r="AE1378" s="15"/>
      <c r="AF1378" s="15"/>
      <c r="AG1378" s="15"/>
      <c r="AH1378" s="15"/>
      <c r="AI1378" s="15"/>
      <c r="AJ1378" s="15"/>
      <c r="AK1378" s="15"/>
      <c r="AL1378" s="15"/>
      <c r="AM1378" s="15"/>
      <c r="AN1378" s="15"/>
      <c r="AO1378" s="15"/>
      <c r="AP1378" s="15"/>
      <c r="AQ1378" s="15"/>
      <c r="AR1378" s="15"/>
      <c r="AS1378" s="15"/>
      <c r="AT1378" s="15"/>
      <c r="AU1378" s="15"/>
      <c r="AV1378" s="15"/>
      <c r="AW1378" s="15"/>
      <c r="AX1378" s="15"/>
      <c r="AY1378" s="15"/>
      <c r="AZ1378" s="15"/>
      <c r="BA1378" s="15"/>
      <c r="BB1378" s="15"/>
      <c r="BC1378" s="15"/>
      <c r="BD1378" s="15"/>
      <c r="BE1378" s="15"/>
      <c r="BF1378" s="15"/>
      <c r="BG1378" s="15"/>
      <c r="BH1378" s="15"/>
      <c r="BI1378" s="15"/>
      <c r="BJ1378" s="15"/>
      <c r="BK1378" s="15"/>
      <c r="BL1378" s="15"/>
      <c r="BM1378" s="15"/>
      <c r="BN1378" s="15"/>
      <c r="BO1378" s="15"/>
      <c r="BP1378" s="15"/>
      <c r="BQ1378" s="15"/>
      <c r="BR1378" s="15"/>
      <c r="BS1378" s="15"/>
      <c r="BT1378" s="15"/>
      <c r="BU1378" s="15"/>
      <c r="BV1378" s="15"/>
      <c r="BW1378" s="15"/>
      <c r="BX1378" s="15"/>
      <c r="BY1378" s="15"/>
      <c r="BZ1378" s="15"/>
      <c r="CA1378" s="15"/>
      <c r="CB1378" s="15"/>
    </row>
    <row r="1379" spans="1:80" ht="12.75" hidden="1" customHeight="1">
      <c r="A1379" s="20">
        <f ca="1">IFERROR(__xludf.DUMMYFUNCTION("""COMPUTED_VALUE"""),2019)</f>
        <v>2019</v>
      </c>
      <c r="B1379" s="45">
        <f ca="1">IFERROR(__xludf.DUMMYFUNCTION("""COMPUTED_VALUE"""),44572)</f>
        <v>44572</v>
      </c>
      <c r="C1379" s="46"/>
      <c r="D1379" s="47" t="str">
        <f ca="1">IFERROR(__xludf.DUMMYFUNCTION("""COMPUTED_VALUE"""),"Dotterel")</f>
        <v>Dotterel</v>
      </c>
      <c r="E1379" s="52">
        <f ca="1">IFERROR(__xludf.DUMMYFUNCTION("""COMPUTED_VALUE"""),1)</f>
        <v>1</v>
      </c>
      <c r="F1379" s="25" t="str">
        <f ca="1">IFERROR(__xludf.DUMMYFUNCTION("""COMPUTED_VALUE"""),"juv")</f>
        <v>juv</v>
      </c>
      <c r="G1379" s="48" t="str">
        <f ca="1">IFERROR(__xludf.DUMMYFUNCTION("""COMPUTED_VALUE"""),"Leasowe")</f>
        <v>Leasowe</v>
      </c>
      <c r="H1379" s="22">
        <f ca="1">IFERROR(__xludf.DUMMYFUNCTION("""COMPUTED_VALUE"""),43722)</f>
        <v>43722</v>
      </c>
      <c r="I1379" s="22"/>
      <c r="J1379" s="24" t="str">
        <f ca="1">IFERROR(__xludf.DUMMYFUNCTION("""COMPUTED_VALUE"""),"County recorder")</f>
        <v>County recorder</v>
      </c>
      <c r="K1379" s="25" t="str">
        <f ca="1">IFERROR(__xludf.DUMMYFUNCTION("""COMPUTED_VALUE"""),"tbd")</f>
        <v>tbd</v>
      </c>
      <c r="L1379" s="27" t="str">
        <f ca="1">IFERROR(__xludf.DUMMYFUNCTION("""COMPUTED_VALUE"""),"closed")</f>
        <v>closed</v>
      </c>
      <c r="M1379" s="27" t="str">
        <f ca="1">IFERROR(__xludf.DUMMYFUNCTION("""COMPUTED_VALUE"""),"photo")</f>
        <v>photo</v>
      </c>
      <c r="N1379" s="25" t="str">
        <f ca="1">IFERROR(__xludf.DUMMYFUNCTION("""COMPUTED_VALUE"""),"accepted ")</f>
        <v xml:space="preserve">accepted </v>
      </c>
      <c r="O1379" s="28"/>
      <c r="P1379" s="25"/>
      <c r="Q1379" s="25"/>
      <c r="R1379" s="40"/>
      <c r="S1379" s="25"/>
      <c r="T1379" s="25"/>
      <c r="U1379" s="25"/>
      <c r="V1379" s="25"/>
      <c r="W1379" s="25"/>
      <c r="X1379" s="25"/>
      <c r="Y1379" s="25"/>
      <c r="Z1379" s="25"/>
      <c r="AA1379" s="25"/>
      <c r="AB1379" s="25"/>
      <c r="AC1379" s="25"/>
      <c r="AD1379" s="25"/>
      <c r="AE1379" s="25"/>
      <c r="AF1379" s="25"/>
      <c r="AG1379" s="25"/>
      <c r="AH1379" s="25"/>
      <c r="AI1379" s="25"/>
      <c r="AJ1379" s="25"/>
      <c r="AK1379" s="25"/>
      <c r="AL1379" s="25"/>
      <c r="AM1379" s="25"/>
      <c r="AN1379" s="25"/>
      <c r="AO1379" s="25"/>
      <c r="AP1379" s="25"/>
      <c r="AQ1379" s="25"/>
      <c r="AR1379" s="25"/>
      <c r="AS1379" s="25"/>
      <c r="AT1379" s="25"/>
      <c r="AU1379" s="25"/>
      <c r="AV1379" s="25"/>
      <c r="AW1379" s="25"/>
      <c r="AX1379" s="25"/>
      <c r="AY1379" s="25"/>
      <c r="AZ1379" s="25"/>
      <c r="BA1379" s="25"/>
      <c r="BB1379" s="25"/>
      <c r="BC1379" s="25"/>
      <c r="BD1379" s="25"/>
      <c r="BE1379" s="25"/>
      <c r="BF1379" s="25"/>
      <c r="BG1379" s="25"/>
      <c r="BH1379" s="25"/>
      <c r="BI1379" s="25"/>
      <c r="BJ1379" s="25"/>
      <c r="BK1379" s="25"/>
      <c r="BL1379" s="25"/>
      <c r="BM1379" s="25"/>
      <c r="BN1379" s="25"/>
      <c r="BO1379" s="25"/>
      <c r="BP1379" s="25"/>
      <c r="BQ1379" s="25"/>
      <c r="BR1379" s="25"/>
      <c r="BS1379" s="25"/>
      <c r="BT1379" s="25"/>
      <c r="BU1379" s="25"/>
      <c r="BV1379" s="25"/>
      <c r="BW1379" s="25"/>
      <c r="BX1379" s="25"/>
      <c r="BY1379" s="25"/>
      <c r="BZ1379" s="25"/>
      <c r="CA1379" s="25"/>
      <c r="CB1379" s="25"/>
    </row>
    <row r="1380" spans="1:80" ht="12.75" hidden="1" customHeight="1">
      <c r="A1380" s="10">
        <f ca="1">IFERROR(__xludf.DUMMYFUNCTION("""COMPUTED_VALUE"""),2019)</f>
        <v>2019</v>
      </c>
      <c r="B1380" s="50">
        <f ca="1">IFERROR(__xludf.DUMMYFUNCTION("""COMPUTED_VALUE"""),44576)</f>
        <v>44576</v>
      </c>
      <c r="C1380" s="41"/>
      <c r="D1380" s="42" t="str">
        <f ca="1">IFERROR(__xludf.DUMMYFUNCTION("""COMPUTED_VALUE"""),"White-rumped sandpiper")</f>
        <v>White-rumped sandpiper</v>
      </c>
      <c r="E1380" s="53">
        <f ca="1">IFERROR(__xludf.DUMMYFUNCTION("""COMPUTED_VALUE"""),1)</f>
        <v>1</v>
      </c>
      <c r="F1380" s="15" t="str">
        <f ca="1">IFERROR(__xludf.DUMMYFUNCTION("""COMPUTED_VALUE"""),"juv")</f>
        <v>juv</v>
      </c>
      <c r="G1380" s="62" t="str">
        <f ca="1">IFERROR(__xludf.DUMMYFUNCTION("""COMPUTED_VALUE"""),"Pickering's Pasture LNR, Widnes")</f>
        <v>Pickering's Pasture LNR, Widnes</v>
      </c>
      <c r="H1380" s="12">
        <f ca="1">IFERROR(__xludf.DUMMYFUNCTION("""COMPUTED_VALUE"""),43770)</f>
        <v>43770</v>
      </c>
      <c r="I1380" s="12"/>
      <c r="J1380" s="75"/>
      <c r="K1380" s="15"/>
      <c r="L1380" s="17"/>
      <c r="M1380" s="17"/>
      <c r="N1380" s="15" t="str">
        <f ca="1">IFERROR(__xludf.DUMMYFUNCTION("""COMPUTED_VALUE"""),"Accepted w/o circ")</f>
        <v>Accepted w/o circ</v>
      </c>
      <c r="O1380" s="76"/>
      <c r="P1380" s="15"/>
      <c r="Q1380" s="15"/>
      <c r="R1380" s="58"/>
      <c r="S1380" s="15"/>
      <c r="T1380" s="15"/>
      <c r="U1380" s="15"/>
      <c r="V1380" s="15"/>
      <c r="W1380" s="15"/>
      <c r="X1380" s="15"/>
      <c r="Y1380" s="15"/>
      <c r="Z1380" s="15"/>
      <c r="AA1380" s="15"/>
      <c r="AB1380" s="15"/>
      <c r="AC1380" s="15"/>
      <c r="AD1380" s="15"/>
      <c r="AE1380" s="15"/>
      <c r="AF1380" s="15"/>
      <c r="AG1380" s="15"/>
      <c r="AH1380" s="15"/>
      <c r="AI1380" s="15"/>
      <c r="AJ1380" s="15"/>
      <c r="AK1380" s="15"/>
      <c r="AL1380" s="15"/>
      <c r="AM1380" s="15"/>
      <c r="AN1380" s="15"/>
      <c r="AO1380" s="15"/>
      <c r="AP1380" s="15"/>
      <c r="AQ1380" s="15"/>
      <c r="AR1380" s="15"/>
      <c r="AS1380" s="15"/>
      <c r="AT1380" s="15"/>
      <c r="AU1380" s="15"/>
      <c r="AV1380" s="15"/>
      <c r="AW1380" s="15"/>
      <c r="AX1380" s="15"/>
      <c r="AY1380" s="15"/>
      <c r="AZ1380" s="15"/>
      <c r="BA1380" s="15"/>
      <c r="BB1380" s="15"/>
      <c r="BC1380" s="15"/>
      <c r="BD1380" s="15"/>
      <c r="BE1380" s="15"/>
      <c r="BF1380" s="15"/>
      <c r="BG1380" s="15"/>
      <c r="BH1380" s="15"/>
      <c r="BI1380" s="15"/>
      <c r="BJ1380" s="15"/>
      <c r="BK1380" s="15"/>
      <c r="BL1380" s="15"/>
      <c r="BM1380" s="15"/>
      <c r="BN1380" s="15"/>
      <c r="BO1380" s="15"/>
      <c r="BP1380" s="15"/>
      <c r="BQ1380" s="15"/>
      <c r="BR1380" s="15"/>
      <c r="BS1380" s="15"/>
      <c r="BT1380" s="15"/>
      <c r="BU1380" s="15"/>
      <c r="BV1380" s="15"/>
      <c r="BW1380" s="15"/>
      <c r="BX1380" s="15"/>
      <c r="BY1380" s="15"/>
      <c r="BZ1380" s="15"/>
      <c r="CA1380" s="15"/>
      <c r="CB1380" s="15"/>
    </row>
    <row r="1381" spans="1:80" ht="12.75" hidden="1" customHeight="1">
      <c r="A1381" s="20">
        <f ca="1">IFERROR(__xludf.DUMMYFUNCTION("""COMPUTED_VALUE"""),2019)</f>
        <v>2019</v>
      </c>
      <c r="B1381" s="45"/>
      <c r="C1381" s="46"/>
      <c r="D1381" s="47" t="str">
        <f ca="1">IFERROR(__xludf.DUMMYFUNCTION("""COMPUTED_VALUE"""),"Grey Phalarope")</f>
        <v>Grey Phalarope</v>
      </c>
      <c r="E1381" s="52">
        <f ca="1">IFERROR(__xludf.DUMMYFUNCTION("""COMPUTED_VALUE"""),1)</f>
        <v>1</v>
      </c>
      <c r="F1381" s="25"/>
      <c r="G1381" s="48" t="str">
        <f ca="1">IFERROR(__xludf.DUMMYFUNCTION("""COMPUTED_VALUE"""),"Hilbre")</f>
        <v>Hilbre</v>
      </c>
      <c r="H1381" s="22">
        <f ca="1">IFERROR(__xludf.DUMMYFUNCTION("""COMPUTED_VALUE"""),43494)</f>
        <v>43494</v>
      </c>
      <c r="I1381" s="22"/>
      <c r="J1381" s="24"/>
      <c r="K1381" s="25"/>
      <c r="L1381" s="27" t="str">
        <f ca="1">IFERROR(__xludf.DUMMYFUNCTION("""COMPUTED_VALUE"""),"closed")</f>
        <v>closed</v>
      </c>
      <c r="M1381" s="27"/>
      <c r="N1381" s="25" t="str">
        <f ca="1">IFERROR(__xludf.DUMMYFUNCTION("""COMPUTED_VALUE"""),"accepted by Proxy")</f>
        <v>accepted by Proxy</v>
      </c>
      <c r="O1381" s="28"/>
      <c r="P1381" s="25"/>
      <c r="Q1381" s="25"/>
      <c r="R1381" s="25"/>
      <c r="S1381" s="25"/>
      <c r="T1381" s="25"/>
      <c r="U1381" s="25"/>
      <c r="V1381" s="25"/>
      <c r="W1381" s="25"/>
      <c r="X1381" s="25"/>
      <c r="Y1381" s="25"/>
      <c r="Z1381" s="25"/>
      <c r="AA1381" s="25"/>
      <c r="AB1381" s="25"/>
      <c r="AC1381" s="25"/>
      <c r="AD1381" s="25"/>
      <c r="AE1381" s="25"/>
      <c r="AF1381" s="25"/>
      <c r="AG1381" s="25"/>
      <c r="AH1381" s="25"/>
      <c r="AI1381" s="25"/>
      <c r="AJ1381" s="25"/>
      <c r="AK1381" s="25"/>
      <c r="AL1381" s="25"/>
      <c r="AM1381" s="25"/>
      <c r="AN1381" s="25"/>
      <c r="AO1381" s="25"/>
      <c r="AP1381" s="25"/>
      <c r="AQ1381" s="25"/>
      <c r="AR1381" s="25"/>
      <c r="AS1381" s="25"/>
      <c r="AT1381" s="25"/>
      <c r="AU1381" s="25"/>
      <c r="AV1381" s="25"/>
      <c r="AW1381" s="25"/>
      <c r="AX1381" s="25"/>
      <c r="AY1381" s="25"/>
      <c r="AZ1381" s="25"/>
      <c r="BA1381" s="25"/>
      <c r="BB1381" s="25"/>
      <c r="BC1381" s="25"/>
      <c r="BD1381" s="25"/>
      <c r="BE1381" s="25"/>
      <c r="BF1381" s="25"/>
      <c r="BG1381" s="25"/>
      <c r="BH1381" s="25"/>
      <c r="BI1381" s="25"/>
      <c r="BJ1381" s="25"/>
      <c r="BK1381" s="25"/>
      <c r="BL1381" s="25"/>
      <c r="BM1381" s="25"/>
      <c r="BN1381" s="25"/>
      <c r="BO1381" s="25"/>
      <c r="BP1381" s="25"/>
      <c r="BQ1381" s="25"/>
      <c r="BR1381" s="25"/>
      <c r="BS1381" s="25"/>
      <c r="BT1381" s="25"/>
      <c r="BU1381" s="25"/>
      <c r="BV1381" s="25"/>
      <c r="BW1381" s="25"/>
      <c r="BX1381" s="25"/>
      <c r="BY1381" s="25"/>
      <c r="BZ1381" s="25"/>
      <c r="CA1381" s="25"/>
      <c r="CB1381" s="25"/>
    </row>
    <row r="1382" spans="1:80" ht="12.75" hidden="1" customHeight="1">
      <c r="A1382" s="10">
        <f ca="1">IFERROR(__xludf.DUMMYFUNCTION("""COMPUTED_VALUE"""),2019)</f>
        <v>2019</v>
      </c>
      <c r="B1382" s="50"/>
      <c r="C1382" s="41"/>
      <c r="D1382" s="42" t="str">
        <f ca="1">IFERROR(__xludf.DUMMYFUNCTION("""COMPUTED_VALUE"""),"Grey Phalarope")</f>
        <v>Grey Phalarope</v>
      </c>
      <c r="E1382" s="53">
        <f ca="1">IFERROR(__xludf.DUMMYFUNCTION("""COMPUTED_VALUE"""),1)</f>
        <v>1</v>
      </c>
      <c r="F1382" s="15"/>
      <c r="G1382" s="44" t="str">
        <f ca="1">IFERROR(__xludf.DUMMYFUNCTION("""COMPUTED_VALUE"""),"New Brighton")</f>
        <v>New Brighton</v>
      </c>
      <c r="H1382" s="12">
        <f ca="1">IFERROR(__xludf.DUMMYFUNCTION("""COMPUTED_VALUE"""),43713)</f>
        <v>43713</v>
      </c>
      <c r="I1382" s="12"/>
      <c r="J1382" s="14"/>
      <c r="K1382" s="15"/>
      <c r="L1382" s="17" t="str">
        <f ca="1">IFERROR(__xludf.DUMMYFUNCTION("""COMPUTED_VALUE"""),"closed")</f>
        <v>closed</v>
      </c>
      <c r="M1382" s="17"/>
      <c r="N1382" s="15" t="str">
        <f ca="1">IFERROR(__xludf.DUMMYFUNCTION("""COMPUTED_VALUE"""),"accepted by Proxy")</f>
        <v>accepted by Proxy</v>
      </c>
      <c r="O1382" s="18"/>
      <c r="P1382" s="15"/>
      <c r="Q1382" s="15"/>
      <c r="R1382" s="58"/>
      <c r="S1382" s="15"/>
      <c r="T1382" s="15"/>
      <c r="U1382" s="15"/>
      <c r="V1382" s="15"/>
      <c r="W1382" s="15"/>
      <c r="X1382" s="15"/>
      <c r="Y1382" s="15"/>
      <c r="Z1382" s="15"/>
      <c r="AA1382" s="15"/>
      <c r="AB1382" s="15"/>
      <c r="AC1382" s="15"/>
      <c r="AD1382" s="15"/>
      <c r="AE1382" s="15"/>
      <c r="AF1382" s="15"/>
      <c r="AG1382" s="15"/>
      <c r="AH1382" s="15"/>
      <c r="AI1382" s="15"/>
      <c r="AJ1382" s="15"/>
      <c r="AK1382" s="15"/>
      <c r="AL1382" s="15"/>
      <c r="AM1382" s="15"/>
      <c r="AN1382" s="15"/>
      <c r="AO1382" s="15"/>
      <c r="AP1382" s="15"/>
      <c r="AQ1382" s="15"/>
      <c r="AR1382" s="15"/>
      <c r="AS1382" s="15"/>
      <c r="AT1382" s="15"/>
      <c r="AU1382" s="15"/>
      <c r="AV1382" s="15"/>
      <c r="AW1382" s="15"/>
      <c r="AX1382" s="15"/>
      <c r="AY1382" s="15"/>
      <c r="AZ1382" s="15"/>
      <c r="BA1382" s="15"/>
      <c r="BB1382" s="15"/>
      <c r="BC1382" s="15"/>
      <c r="BD1382" s="15"/>
      <c r="BE1382" s="15"/>
      <c r="BF1382" s="15"/>
      <c r="BG1382" s="15"/>
      <c r="BH1382" s="15"/>
      <c r="BI1382" s="15"/>
      <c r="BJ1382" s="15"/>
      <c r="BK1382" s="15"/>
      <c r="BL1382" s="15"/>
      <c r="BM1382" s="15"/>
      <c r="BN1382" s="15"/>
      <c r="BO1382" s="15"/>
      <c r="BP1382" s="15"/>
      <c r="BQ1382" s="15"/>
      <c r="BR1382" s="15"/>
      <c r="BS1382" s="15"/>
      <c r="BT1382" s="15"/>
      <c r="BU1382" s="15"/>
      <c r="BV1382" s="15"/>
      <c r="BW1382" s="15"/>
      <c r="BX1382" s="15"/>
      <c r="BY1382" s="15"/>
      <c r="BZ1382" s="15"/>
      <c r="CA1382" s="15"/>
      <c r="CB1382" s="15"/>
    </row>
    <row r="1383" spans="1:80" ht="12.75" hidden="1" customHeight="1">
      <c r="A1383" s="20">
        <f ca="1">IFERROR(__xludf.DUMMYFUNCTION("""COMPUTED_VALUE"""),2019)</f>
        <v>2019</v>
      </c>
      <c r="B1383" s="45">
        <f ca="1">IFERROR(__xludf.DUMMYFUNCTION("""COMPUTED_VALUE"""),44568)</f>
        <v>44568</v>
      </c>
      <c r="C1383" s="46"/>
      <c r="D1383" s="47" t="str">
        <f ca="1">IFERROR(__xludf.DUMMYFUNCTION("""COMPUTED_VALUE"""),"Gull-billed Tern")</f>
        <v>Gull-billed Tern</v>
      </c>
      <c r="E1383" s="52">
        <f ca="1">IFERROR(__xludf.DUMMYFUNCTION("""COMPUTED_VALUE"""),1)</f>
        <v>1</v>
      </c>
      <c r="F1383" s="25" t="str">
        <f ca="1">IFERROR(__xludf.DUMMYFUNCTION("""COMPUTED_VALUE"""),"3rd CY+")</f>
        <v>3rd CY+</v>
      </c>
      <c r="G1383" s="48" t="str">
        <f ca="1">IFERROR(__xludf.DUMMYFUNCTION("""COMPUTED_VALUE"""),"Sandbach Flashes")</f>
        <v>Sandbach Flashes</v>
      </c>
      <c r="H1383" s="22">
        <f ca="1">IFERROR(__xludf.DUMMYFUNCTION("""COMPUTED_VALUE"""),43683)</f>
        <v>43683</v>
      </c>
      <c r="I1383" s="22">
        <f ca="1">IFERROR(__xludf.DUMMYFUNCTION("""COMPUTED_VALUE"""),43684)</f>
        <v>43684</v>
      </c>
      <c r="J1383" s="24"/>
      <c r="K1383" s="25"/>
      <c r="L1383" s="27" t="str">
        <f ca="1">IFERROR(__xludf.DUMMYFUNCTION("""COMPUTED_VALUE"""),"closed")</f>
        <v>closed</v>
      </c>
      <c r="M1383" s="27"/>
      <c r="N1383" s="25" t="str">
        <f ca="1">IFERROR(__xludf.DUMMYFUNCTION("""COMPUTED_VALUE"""),"BBRC-OK")</f>
        <v>BBRC-OK</v>
      </c>
      <c r="O1383" s="28" t="str">
        <f ca="1">IFERROR(__xludf.DUMMYFUNCTION("""COMPUTED_VALUE"""),"photo")</f>
        <v>photo</v>
      </c>
      <c r="P1383" s="25"/>
      <c r="Q1383" s="25"/>
      <c r="R1383" s="25"/>
      <c r="S1383" s="25"/>
      <c r="T1383" s="25"/>
      <c r="U1383" s="25"/>
      <c r="V1383" s="25"/>
      <c r="W1383" s="25"/>
      <c r="X1383" s="25"/>
      <c r="Y1383" s="25"/>
      <c r="Z1383" s="25"/>
      <c r="AA1383" s="25"/>
      <c r="AB1383" s="25"/>
      <c r="AC1383" s="25"/>
      <c r="AD1383" s="25"/>
      <c r="AE1383" s="25"/>
      <c r="AF1383" s="25"/>
      <c r="AG1383" s="25"/>
      <c r="AH1383" s="25"/>
      <c r="AI1383" s="25"/>
      <c r="AJ1383" s="25"/>
      <c r="AK1383" s="25"/>
      <c r="AL1383" s="25"/>
      <c r="AM1383" s="25"/>
      <c r="AN1383" s="25"/>
      <c r="AO1383" s="25"/>
      <c r="AP1383" s="25"/>
      <c r="AQ1383" s="25"/>
      <c r="AR1383" s="25"/>
      <c r="AS1383" s="25"/>
      <c r="AT1383" s="25"/>
      <c r="AU1383" s="25"/>
      <c r="AV1383" s="25"/>
      <c r="AW1383" s="25"/>
      <c r="AX1383" s="25"/>
      <c r="AY1383" s="25"/>
      <c r="AZ1383" s="25"/>
      <c r="BA1383" s="25"/>
      <c r="BB1383" s="25"/>
      <c r="BC1383" s="25"/>
      <c r="BD1383" s="25"/>
      <c r="BE1383" s="25"/>
      <c r="BF1383" s="25"/>
      <c r="BG1383" s="25"/>
      <c r="BH1383" s="25"/>
      <c r="BI1383" s="25"/>
      <c r="BJ1383" s="25"/>
      <c r="BK1383" s="25"/>
      <c r="BL1383" s="25"/>
      <c r="BM1383" s="25"/>
      <c r="BN1383" s="25"/>
      <c r="BO1383" s="25"/>
      <c r="BP1383" s="25"/>
      <c r="BQ1383" s="25"/>
      <c r="BR1383" s="25"/>
      <c r="BS1383" s="25"/>
      <c r="BT1383" s="25"/>
      <c r="BU1383" s="25"/>
      <c r="BV1383" s="25"/>
      <c r="BW1383" s="25"/>
      <c r="BX1383" s="25"/>
      <c r="BY1383" s="25"/>
      <c r="BZ1383" s="25"/>
      <c r="CA1383" s="25"/>
      <c r="CB1383" s="25"/>
    </row>
    <row r="1384" spans="1:80" ht="12.75" hidden="1" customHeight="1">
      <c r="A1384" s="10">
        <f ca="1">IFERROR(__xludf.DUMMYFUNCTION("""COMPUTED_VALUE"""),2019)</f>
        <v>2019</v>
      </c>
      <c r="B1384" s="50">
        <f ca="1">IFERROR(__xludf.DUMMYFUNCTION("""COMPUTED_VALUE"""),43852)</f>
        <v>43852</v>
      </c>
      <c r="C1384" s="41"/>
      <c r="D1384" s="42" t="str">
        <f ca="1">IFERROR(__xludf.DUMMYFUNCTION("""COMPUTED_VALUE"""),"Pomarine Skua")</f>
        <v>Pomarine Skua</v>
      </c>
      <c r="E1384" s="53">
        <f ca="1">IFERROR(__xludf.DUMMYFUNCTION("""COMPUTED_VALUE"""),2)</f>
        <v>2</v>
      </c>
      <c r="F1384" s="15"/>
      <c r="G1384" s="44" t="str">
        <f ca="1">IFERROR(__xludf.DUMMYFUNCTION("""COMPUTED_VALUE"""),"Hoylake")</f>
        <v>Hoylake</v>
      </c>
      <c r="H1384" s="12">
        <f ca="1">IFERROR(__xludf.DUMMYFUNCTION("""COMPUTED_VALUE"""),43712)</f>
        <v>43712</v>
      </c>
      <c r="I1384" s="13"/>
      <c r="J1384" s="14" t="str">
        <f ca="1">IFERROR(__xludf.DUMMYFUNCTION("""COMPUTED_VALUE"""),"Turner, JE")</f>
        <v>Turner, JE</v>
      </c>
      <c r="K1384" s="15" t="str">
        <f ca="1">IFERROR(__xludf.DUMMYFUNCTION("""COMPUTED_VALUE"""),"Turner, JE")</f>
        <v>Turner, JE</v>
      </c>
      <c r="L1384" s="17" t="str">
        <f ca="1">IFERROR(__xludf.DUMMYFUNCTION("""COMPUTED_VALUE"""),"closed")</f>
        <v>closed</v>
      </c>
      <c r="M1384" s="17" t="str">
        <f ca="1">IFERROR(__xludf.DUMMYFUNCTION("""COMPUTED_VALUE"""),"1st U")</f>
        <v>1st U</v>
      </c>
      <c r="N1384" s="15" t="str">
        <f ca="1">IFERROR(__xludf.DUMMYFUNCTION("""COMPUTED_VALUE"""),"Accepted")</f>
        <v>Accepted</v>
      </c>
      <c r="O1384" s="18" t="str">
        <f ca="1">IFERROR(__xludf.DUMMYFUNCTION("""COMPUTED_VALUE"""),"one sluggish adult and a near-adult, both with spoons")</f>
        <v>one sluggish adult and a near-adult, both with spoons</v>
      </c>
      <c r="P1384" s="15"/>
      <c r="Q1384" s="15"/>
      <c r="R1384" s="15"/>
      <c r="S1384" s="15"/>
      <c r="T1384" s="15"/>
      <c r="U1384" s="15"/>
      <c r="V1384" s="15"/>
      <c r="W1384" s="15"/>
      <c r="X1384" s="15"/>
      <c r="Y1384" s="15"/>
      <c r="Z1384" s="15"/>
      <c r="AA1384" s="15"/>
      <c r="AB1384" s="15"/>
      <c r="AC1384" s="15"/>
      <c r="AD1384" s="15"/>
      <c r="AE1384" s="15"/>
      <c r="AF1384" s="15"/>
      <c r="AG1384" s="15"/>
      <c r="AH1384" s="15"/>
      <c r="AI1384" s="15"/>
      <c r="AJ1384" s="15"/>
      <c r="AK1384" s="15"/>
      <c r="AL1384" s="15"/>
      <c r="AM1384" s="15"/>
      <c r="AN1384" s="15"/>
      <c r="AO1384" s="15"/>
      <c r="AP1384" s="15"/>
      <c r="AQ1384" s="15"/>
      <c r="AR1384" s="15"/>
      <c r="AS1384" s="15"/>
      <c r="AT1384" s="15"/>
      <c r="AU1384" s="15"/>
      <c r="AV1384" s="15"/>
      <c r="AW1384" s="15"/>
      <c r="AX1384" s="15"/>
      <c r="AY1384" s="15"/>
      <c r="AZ1384" s="15"/>
      <c r="BA1384" s="15"/>
      <c r="BB1384" s="15"/>
      <c r="BC1384" s="15"/>
      <c r="BD1384" s="15"/>
      <c r="BE1384" s="15"/>
      <c r="BF1384" s="15"/>
      <c r="BG1384" s="15"/>
      <c r="BH1384" s="15"/>
      <c r="BI1384" s="15"/>
      <c r="BJ1384" s="15"/>
      <c r="BK1384" s="15"/>
      <c r="BL1384" s="15"/>
      <c r="BM1384" s="15"/>
      <c r="BN1384" s="15"/>
      <c r="BO1384" s="15"/>
      <c r="BP1384" s="15"/>
      <c r="BQ1384" s="15"/>
      <c r="BR1384" s="15"/>
      <c r="BS1384" s="15"/>
      <c r="BT1384" s="15"/>
      <c r="BU1384" s="15"/>
      <c r="BV1384" s="15"/>
      <c r="BW1384" s="15"/>
      <c r="BX1384" s="15"/>
      <c r="BY1384" s="15"/>
      <c r="BZ1384" s="15"/>
      <c r="CA1384" s="15"/>
      <c r="CB1384" s="15"/>
    </row>
    <row r="1385" spans="1:80" ht="12.75" hidden="1" customHeight="1">
      <c r="A1385" s="20">
        <f ca="1">IFERROR(__xludf.DUMMYFUNCTION("""COMPUTED_VALUE"""),2019)</f>
        <v>2019</v>
      </c>
      <c r="B1385" s="45">
        <f ca="1">IFERROR(__xludf.DUMMYFUNCTION("""COMPUTED_VALUE"""),43852)</f>
        <v>43852</v>
      </c>
      <c r="C1385" s="46">
        <f ca="1">IFERROR(__xludf.DUMMYFUNCTION("""COMPUTED_VALUE"""),44165)</f>
        <v>44165</v>
      </c>
      <c r="D1385" s="47" t="str">
        <f ca="1">IFERROR(__xludf.DUMMYFUNCTION("""COMPUTED_VALUE"""),"Long-tailed Skua")</f>
        <v>Long-tailed Skua</v>
      </c>
      <c r="E1385" s="52">
        <f ca="1">IFERROR(__xludf.DUMMYFUNCTION("""COMPUTED_VALUE"""),1)</f>
        <v>1</v>
      </c>
      <c r="F1385" s="25"/>
      <c r="G1385" s="48" t="str">
        <f ca="1">IFERROR(__xludf.DUMMYFUNCTION("""COMPUTED_VALUE"""),"Hoylake")</f>
        <v>Hoylake</v>
      </c>
      <c r="H1385" s="22">
        <f ca="1">IFERROR(__xludf.DUMMYFUNCTION("""COMPUTED_VALUE"""),43712)</f>
        <v>43712</v>
      </c>
      <c r="I1385" s="23"/>
      <c r="J1385" s="24" t="str">
        <f ca="1">IFERROR(__xludf.DUMMYFUNCTION("""COMPUTED_VALUE"""),"Turner, JE")</f>
        <v>Turner, JE</v>
      </c>
      <c r="K1385" s="25" t="str">
        <f ca="1">IFERROR(__xludf.DUMMYFUNCTION("""COMPUTED_VALUE"""),"Turner, JE")</f>
        <v>Turner, JE</v>
      </c>
      <c r="L1385" s="27" t="str">
        <f ca="1">IFERROR(__xludf.DUMMYFUNCTION("""COMPUTED_VALUE"""),"closed")</f>
        <v>closed</v>
      </c>
      <c r="M1385" s="27" t="str">
        <f ca="1">IFERROR(__xludf.DUMMYFUNCTION("""COMPUTED_VALUE"""),"1st U")</f>
        <v>1st U</v>
      </c>
      <c r="N1385" s="25" t="str">
        <f ca="1">IFERROR(__xludf.DUMMYFUNCTION("""COMPUTED_VALUE"""),"accepted")</f>
        <v>accepted</v>
      </c>
      <c r="O1385" s="28" t="str">
        <f ca="1">IFERROR(__xludf.DUMMYFUNCTION("""COMPUTED_VALUE"""),"2nd Cal palish bird. West just after 4pm close in shore - seen to pass Bird Rock - minutes later recorded on Hilbre where photographed.")</f>
        <v>2nd Cal palish bird. West just after 4pm close in shore - seen to pass Bird Rock - minutes later recorded on Hilbre where photographed.</v>
      </c>
      <c r="P1385" s="25"/>
      <c r="Q1385" s="25"/>
      <c r="R1385" s="25"/>
      <c r="S1385" s="25"/>
      <c r="T1385" s="25"/>
      <c r="U1385" s="25"/>
      <c r="V1385" s="25"/>
      <c r="W1385" s="25"/>
      <c r="X1385" s="25"/>
      <c r="Y1385" s="25"/>
      <c r="Z1385" s="25"/>
      <c r="AA1385" s="25"/>
      <c r="AB1385" s="25"/>
      <c r="AC1385" s="25"/>
      <c r="AD1385" s="25"/>
      <c r="AE1385" s="25"/>
      <c r="AF1385" s="25"/>
      <c r="AG1385" s="25"/>
      <c r="AH1385" s="25"/>
      <c r="AI1385" s="25"/>
      <c r="AJ1385" s="25"/>
      <c r="AK1385" s="25"/>
      <c r="AL1385" s="25"/>
      <c r="AM1385" s="25"/>
      <c r="AN1385" s="25"/>
      <c r="AO1385" s="25"/>
      <c r="AP1385" s="25"/>
      <c r="AQ1385" s="25"/>
      <c r="AR1385" s="25"/>
      <c r="AS1385" s="25"/>
      <c r="AT1385" s="25"/>
      <c r="AU1385" s="25"/>
      <c r="AV1385" s="25"/>
      <c r="AW1385" s="25"/>
      <c r="AX1385" s="25"/>
      <c r="AY1385" s="25"/>
      <c r="AZ1385" s="25"/>
      <c r="BA1385" s="25"/>
      <c r="BB1385" s="25"/>
      <c r="BC1385" s="25"/>
      <c r="BD1385" s="25"/>
      <c r="BE1385" s="25"/>
      <c r="BF1385" s="25"/>
      <c r="BG1385" s="25"/>
      <c r="BH1385" s="25"/>
      <c r="BI1385" s="25"/>
      <c r="BJ1385" s="25"/>
      <c r="BK1385" s="25"/>
      <c r="BL1385" s="25"/>
      <c r="BM1385" s="25"/>
      <c r="BN1385" s="25"/>
      <c r="BO1385" s="25"/>
      <c r="BP1385" s="25"/>
      <c r="BQ1385" s="25"/>
      <c r="BR1385" s="25"/>
      <c r="BS1385" s="25"/>
      <c r="BT1385" s="25"/>
      <c r="BU1385" s="25"/>
      <c r="BV1385" s="25"/>
      <c r="BW1385" s="25"/>
      <c r="BX1385" s="25"/>
      <c r="BY1385" s="25"/>
      <c r="BZ1385" s="25"/>
      <c r="CA1385" s="25"/>
      <c r="CB1385" s="25"/>
    </row>
    <row r="1386" spans="1:80" ht="12.75" hidden="1" customHeight="1">
      <c r="A1386" s="10">
        <f ca="1">IFERROR(__xludf.DUMMYFUNCTION("""COMPUTED_VALUE"""),2019)</f>
        <v>2019</v>
      </c>
      <c r="B1386" s="50">
        <f ca="1">IFERROR(__xludf.DUMMYFUNCTION("""COMPUTED_VALUE"""),44572)</f>
        <v>44572</v>
      </c>
      <c r="C1386" s="41">
        <f ca="1">IFERROR(__xludf.DUMMYFUNCTION("""COMPUTED_VALUE"""),44158)</f>
        <v>44158</v>
      </c>
      <c r="D1386" s="42" t="str">
        <f ca="1">IFERROR(__xludf.DUMMYFUNCTION("""COMPUTED_VALUE"""),"Honey-Buzzard")</f>
        <v>Honey-Buzzard</v>
      </c>
      <c r="E1386" s="53">
        <f ca="1">IFERROR(__xludf.DUMMYFUNCTION("""COMPUTED_VALUE"""),1)</f>
        <v>1</v>
      </c>
      <c r="F1386" s="15"/>
      <c r="G1386" s="44" t="str">
        <f ca="1">IFERROR(__xludf.DUMMYFUNCTION("""COMPUTED_VALUE"""),"Chester")</f>
        <v>Chester</v>
      </c>
      <c r="H1386" s="12">
        <f ca="1">IFERROR(__xludf.DUMMYFUNCTION("""COMPUTED_VALUE"""),43604)</f>
        <v>43604</v>
      </c>
      <c r="I1386" s="13"/>
      <c r="J1386" s="14"/>
      <c r="K1386" s="15"/>
      <c r="L1386" s="17" t="str">
        <f ca="1">IFERROR(__xludf.DUMMYFUNCTION("""COMPUTED_VALUE"""),"closed")</f>
        <v>closed</v>
      </c>
      <c r="M1386" s="17"/>
      <c r="N1386" s="15" t="str">
        <f ca="1">IFERROR(__xludf.DUMMYFUNCTION("""COMPUTED_VALUE"""),"Accepted by Proxy")</f>
        <v>Accepted by Proxy</v>
      </c>
      <c r="O1386" s="18"/>
      <c r="P1386" s="15"/>
      <c r="Q1386" s="15"/>
      <c r="R1386" s="15"/>
      <c r="S1386" s="15"/>
      <c r="T1386" s="15"/>
      <c r="U1386" s="15"/>
      <c r="V1386" s="15"/>
      <c r="W1386" s="15"/>
      <c r="X1386" s="15"/>
      <c r="Y1386" s="15"/>
      <c r="Z1386" s="15"/>
      <c r="AA1386" s="15"/>
      <c r="AB1386" s="15"/>
      <c r="AC1386" s="15"/>
      <c r="AD1386" s="15"/>
      <c r="AE1386" s="15"/>
      <c r="AF1386" s="15"/>
      <c r="AG1386" s="15"/>
      <c r="AH1386" s="15"/>
      <c r="AI1386" s="15"/>
      <c r="AJ1386" s="15"/>
      <c r="AK1386" s="15"/>
      <c r="AL1386" s="15"/>
      <c r="AM1386" s="15"/>
      <c r="AN1386" s="15"/>
      <c r="AO1386" s="15"/>
      <c r="AP1386" s="15"/>
      <c r="AQ1386" s="15"/>
      <c r="AR1386" s="15"/>
      <c r="AS1386" s="15"/>
      <c r="AT1386" s="15"/>
      <c r="AU1386" s="15"/>
      <c r="AV1386" s="15"/>
      <c r="AW1386" s="15"/>
      <c r="AX1386" s="15"/>
      <c r="AY1386" s="15"/>
      <c r="AZ1386" s="15"/>
      <c r="BA1386" s="15"/>
      <c r="BB1386" s="15"/>
      <c r="BC1386" s="15"/>
      <c r="BD1386" s="15"/>
      <c r="BE1386" s="15"/>
      <c r="BF1386" s="15"/>
      <c r="BG1386" s="15"/>
      <c r="BH1386" s="15"/>
      <c r="BI1386" s="15"/>
      <c r="BJ1386" s="15"/>
      <c r="BK1386" s="15"/>
      <c r="BL1386" s="15"/>
      <c r="BM1386" s="15"/>
      <c r="BN1386" s="15"/>
      <c r="BO1386" s="15"/>
      <c r="BP1386" s="15"/>
      <c r="BQ1386" s="15"/>
      <c r="BR1386" s="15"/>
      <c r="BS1386" s="15"/>
      <c r="BT1386" s="15"/>
      <c r="BU1386" s="15"/>
      <c r="BV1386" s="15"/>
      <c r="BW1386" s="15"/>
      <c r="BX1386" s="15"/>
      <c r="BY1386" s="15"/>
      <c r="BZ1386" s="15"/>
      <c r="CA1386" s="15"/>
      <c r="CB1386" s="15"/>
    </row>
    <row r="1387" spans="1:80" ht="12.75" hidden="1" customHeight="1">
      <c r="A1387" s="20">
        <f ca="1">IFERROR(__xludf.DUMMYFUNCTION("""COMPUTED_VALUE"""),2019)</f>
        <v>2019</v>
      </c>
      <c r="B1387" s="45">
        <f ca="1">IFERROR(__xludf.DUMMYFUNCTION("""COMPUTED_VALUE"""),44159)</f>
        <v>44159</v>
      </c>
      <c r="C1387" s="46">
        <f ca="1">IFERROR(__xludf.DUMMYFUNCTION("""COMPUTED_VALUE"""),44158)</f>
        <v>44158</v>
      </c>
      <c r="D1387" s="47" t="str">
        <f ca="1">IFERROR(__xludf.DUMMYFUNCTION("""COMPUTED_VALUE"""),"Honey-Buzzard")</f>
        <v>Honey-Buzzard</v>
      </c>
      <c r="E1387" s="52">
        <f ca="1">IFERROR(__xludf.DUMMYFUNCTION("""COMPUTED_VALUE"""),1)</f>
        <v>1</v>
      </c>
      <c r="F1387" s="25"/>
      <c r="G1387" s="48" t="str">
        <f ca="1">IFERROR(__xludf.DUMMYFUNCTION("""COMPUTED_VALUE"""),"Hale")</f>
        <v>Hale</v>
      </c>
      <c r="H1387" s="22">
        <f ca="1">IFERROR(__xludf.DUMMYFUNCTION("""COMPUTED_VALUE"""),43604)</f>
        <v>43604</v>
      </c>
      <c r="I1387" s="23"/>
      <c r="J1387" s="24"/>
      <c r="K1387" s="25"/>
      <c r="L1387" s="27" t="str">
        <f ca="1">IFERROR(__xludf.DUMMYFUNCTION("""COMPUTED_VALUE"""),"closed")</f>
        <v>closed</v>
      </c>
      <c r="M1387" s="27"/>
      <c r="N1387" s="25" t="str">
        <f ca="1">IFERROR(__xludf.DUMMYFUNCTION("""COMPUTED_VALUE"""),"Accepted by Proxy")</f>
        <v>Accepted by Proxy</v>
      </c>
      <c r="O1387" s="28" t="str">
        <f ca="1">IFERROR(__xludf.DUMMYFUNCTION("""COMPUTED_VALUE"""),"Drifting North 1645 Hrs")</f>
        <v>Drifting North 1645 Hrs</v>
      </c>
      <c r="P1387" s="25"/>
      <c r="Q1387" s="25"/>
      <c r="R1387" s="25"/>
      <c r="S1387" s="25"/>
      <c r="T1387" s="25"/>
      <c r="U1387" s="25"/>
      <c r="V1387" s="25"/>
      <c r="W1387" s="25"/>
      <c r="X1387" s="25"/>
      <c r="Y1387" s="25"/>
      <c r="Z1387" s="25"/>
      <c r="AA1387" s="25"/>
      <c r="AB1387" s="25"/>
      <c r="AC1387" s="25"/>
      <c r="AD1387" s="25"/>
      <c r="AE1387" s="25"/>
      <c r="AF1387" s="25"/>
      <c r="AG1387" s="25"/>
      <c r="AH1387" s="25"/>
      <c r="AI1387" s="25"/>
      <c r="AJ1387" s="25"/>
      <c r="AK1387" s="25"/>
      <c r="AL1387" s="25"/>
      <c r="AM1387" s="25"/>
      <c r="AN1387" s="25"/>
      <c r="AO1387" s="25"/>
      <c r="AP1387" s="25"/>
      <c r="AQ1387" s="25"/>
      <c r="AR1387" s="25"/>
      <c r="AS1387" s="25"/>
      <c r="AT1387" s="25"/>
      <c r="AU1387" s="25"/>
      <c r="AV1387" s="25"/>
      <c r="AW1387" s="25"/>
      <c r="AX1387" s="25"/>
      <c r="AY1387" s="25"/>
      <c r="AZ1387" s="25"/>
      <c r="BA1387" s="25"/>
      <c r="BB1387" s="25"/>
      <c r="BC1387" s="25"/>
      <c r="BD1387" s="25"/>
      <c r="BE1387" s="25"/>
      <c r="BF1387" s="25"/>
      <c r="BG1387" s="25"/>
      <c r="BH1387" s="25"/>
      <c r="BI1387" s="25"/>
      <c r="BJ1387" s="25"/>
      <c r="BK1387" s="25"/>
      <c r="BL1387" s="25"/>
      <c r="BM1387" s="25"/>
      <c r="BN1387" s="25"/>
      <c r="BO1387" s="25"/>
      <c r="BP1387" s="25"/>
      <c r="BQ1387" s="25"/>
      <c r="BR1387" s="25"/>
      <c r="BS1387" s="25"/>
      <c r="BT1387" s="25"/>
      <c r="BU1387" s="25"/>
      <c r="BV1387" s="25"/>
      <c r="BW1387" s="25"/>
      <c r="BX1387" s="25"/>
      <c r="BY1387" s="25"/>
      <c r="BZ1387" s="25"/>
      <c r="CA1387" s="25"/>
      <c r="CB1387" s="25"/>
    </row>
    <row r="1388" spans="1:80" ht="12.75" hidden="1" customHeight="1">
      <c r="A1388" s="10">
        <f ca="1">IFERROR(__xludf.DUMMYFUNCTION("""COMPUTED_VALUE"""),2019)</f>
        <v>2019</v>
      </c>
      <c r="B1388" s="50"/>
      <c r="C1388" s="41"/>
      <c r="D1388" s="42" t="str">
        <f ca="1">IFERROR(__xludf.DUMMYFUNCTION("""COMPUTED_VALUE"""),"Great Grey Shrike")</f>
        <v>Great Grey Shrike</v>
      </c>
      <c r="E1388" s="53">
        <f ca="1">IFERROR(__xludf.DUMMYFUNCTION("""COMPUTED_VALUE"""),1)</f>
        <v>1</v>
      </c>
      <c r="F1388" s="15"/>
      <c r="G1388" s="44" t="str">
        <f ca="1">IFERROR(__xludf.DUMMYFUNCTION("""COMPUTED_VALUE"""),"Little Neston")</f>
        <v>Little Neston</v>
      </c>
      <c r="H1388" s="12">
        <f ca="1">IFERROR(__xludf.DUMMYFUNCTION("""COMPUTED_VALUE"""),43768)</f>
        <v>43768</v>
      </c>
      <c r="I1388" s="13"/>
      <c r="J1388" s="14" t="str">
        <f ca="1">IFERROR(__xludf.DUMMYFUNCTION("""COMPUTED_VALUE"""),"Jones, G")</f>
        <v>Jones, G</v>
      </c>
      <c r="K1388" s="15"/>
      <c r="L1388" s="17"/>
      <c r="M1388" s="17"/>
      <c r="N1388" s="15" t="str">
        <f ca="1">IFERROR(__xludf.DUMMYFUNCTION("""COMPUTED_VALUE"""),"accepted by proxy")</f>
        <v>accepted by proxy</v>
      </c>
      <c r="O1388" s="18"/>
      <c r="P1388" s="15"/>
      <c r="Q1388" s="15"/>
      <c r="R1388" s="15"/>
      <c r="S1388" s="15"/>
      <c r="T1388" s="15"/>
      <c r="U1388" s="15"/>
      <c r="V1388" s="15"/>
      <c r="W1388" s="15"/>
      <c r="X1388" s="15"/>
      <c r="Y1388" s="15"/>
      <c r="Z1388" s="15"/>
      <c r="AA1388" s="15"/>
      <c r="AB1388" s="15"/>
      <c r="AC1388" s="15"/>
      <c r="AD1388" s="15"/>
      <c r="AE1388" s="15"/>
      <c r="AF1388" s="15"/>
      <c r="AG1388" s="15"/>
      <c r="AH1388" s="15"/>
      <c r="AI1388" s="15"/>
      <c r="AJ1388" s="15"/>
      <c r="AK1388" s="15"/>
      <c r="AL1388" s="15"/>
      <c r="AM1388" s="15"/>
      <c r="AN1388" s="15"/>
      <c r="AO1388" s="15"/>
      <c r="AP1388" s="15"/>
      <c r="AQ1388" s="15"/>
      <c r="AR1388" s="15"/>
      <c r="AS1388" s="15"/>
      <c r="AT1388" s="15"/>
      <c r="AU1388" s="15"/>
      <c r="AV1388" s="15"/>
      <c r="AW1388" s="15"/>
      <c r="AX1388" s="15"/>
      <c r="AY1388" s="15"/>
      <c r="AZ1388" s="15"/>
      <c r="BA1388" s="15"/>
      <c r="BB1388" s="15"/>
      <c r="BC1388" s="15"/>
      <c r="BD1388" s="15"/>
      <c r="BE1388" s="15"/>
      <c r="BF1388" s="15"/>
      <c r="BG1388" s="15"/>
      <c r="BH1388" s="15"/>
      <c r="BI1388" s="15"/>
      <c r="BJ1388" s="15"/>
      <c r="BK1388" s="15"/>
      <c r="BL1388" s="15"/>
      <c r="BM1388" s="15"/>
      <c r="BN1388" s="15"/>
      <c r="BO1388" s="15"/>
      <c r="BP1388" s="15"/>
      <c r="BQ1388" s="15"/>
      <c r="BR1388" s="15"/>
      <c r="BS1388" s="15"/>
      <c r="BT1388" s="15"/>
      <c r="BU1388" s="15"/>
      <c r="BV1388" s="15"/>
      <c r="BW1388" s="15"/>
      <c r="BX1388" s="15"/>
      <c r="BY1388" s="15"/>
      <c r="BZ1388" s="15"/>
      <c r="CA1388" s="15"/>
      <c r="CB1388" s="15"/>
    </row>
    <row r="1389" spans="1:80" ht="12.75" hidden="1" customHeight="1">
      <c r="A1389" s="20">
        <f ca="1">IFERROR(__xludf.DUMMYFUNCTION("""COMPUTED_VALUE"""),2019)</f>
        <v>2019</v>
      </c>
      <c r="B1389" s="45">
        <f ca="1">IFERROR(__xludf.DUMMYFUNCTION("""COMPUTED_VALUE"""),43852)</f>
        <v>43852</v>
      </c>
      <c r="C1389" s="46">
        <f ca="1">IFERROR(__xludf.DUMMYFUNCTION("""COMPUTED_VALUE"""),44165)</f>
        <v>44165</v>
      </c>
      <c r="D1389" s="47" t="str">
        <f ca="1">IFERROR(__xludf.DUMMYFUNCTION("""COMPUTED_VALUE"""),"Great Grey Shrike")</f>
        <v>Great Grey Shrike</v>
      </c>
      <c r="E1389" s="52">
        <f ca="1">IFERROR(__xludf.DUMMYFUNCTION("""COMPUTED_VALUE"""),1)</f>
        <v>1</v>
      </c>
      <c r="F1389" s="25"/>
      <c r="G1389" s="48" t="str">
        <f ca="1">IFERROR(__xludf.DUMMYFUNCTION("""COMPUTED_VALUE"""),"Frodsham")</f>
        <v>Frodsham</v>
      </c>
      <c r="H1389" s="22">
        <f ca="1">IFERROR(__xludf.DUMMYFUNCTION("""COMPUTED_VALUE"""),43798)</f>
        <v>43798</v>
      </c>
      <c r="I1389" s="23"/>
      <c r="J1389" s="24" t="str">
        <f ca="1">IFERROR(__xludf.DUMMYFUNCTION("""COMPUTED_VALUE"""),"Coffey, P")</f>
        <v>Coffey, P</v>
      </c>
      <c r="K1389" s="25"/>
      <c r="L1389" s="27" t="str">
        <f ca="1">IFERROR(__xludf.DUMMYFUNCTION("""COMPUTED_VALUE"""),"closed")</f>
        <v>closed</v>
      </c>
      <c r="M1389" s="27" t="str">
        <f ca="1">IFERROR(__xludf.DUMMYFUNCTION("""COMPUTED_VALUE"""),"1st U")</f>
        <v>1st U</v>
      </c>
      <c r="N1389" s="25" t="str">
        <f ca="1">IFERROR(__xludf.DUMMYFUNCTION("""COMPUTED_VALUE"""),"accepted")</f>
        <v>accepted</v>
      </c>
      <c r="O1389" s="28" t="str">
        <f ca="1">IFERROR(__xludf.DUMMYFUNCTION("""COMPUTED_VALUE"""),"C&amp;R")</f>
        <v>C&amp;R</v>
      </c>
      <c r="P1389" s="25"/>
      <c r="Q1389" s="25"/>
      <c r="R1389" s="25"/>
      <c r="S1389" s="25"/>
      <c r="T1389" s="25"/>
      <c r="U1389" s="25"/>
      <c r="V1389" s="25"/>
      <c r="W1389" s="25"/>
      <c r="X1389" s="25"/>
      <c r="Y1389" s="25"/>
      <c r="Z1389" s="25"/>
      <c r="AA1389" s="25"/>
      <c r="AB1389" s="25"/>
      <c r="AC1389" s="25"/>
      <c r="AD1389" s="25"/>
      <c r="AE1389" s="25"/>
      <c r="AF1389" s="25"/>
      <c r="AG1389" s="25"/>
      <c r="AH1389" s="25"/>
      <c r="AI1389" s="25"/>
      <c r="AJ1389" s="25"/>
      <c r="AK1389" s="25"/>
      <c r="AL1389" s="25"/>
      <c r="AM1389" s="25"/>
      <c r="AN1389" s="25"/>
      <c r="AO1389" s="25"/>
      <c r="AP1389" s="25"/>
      <c r="AQ1389" s="25"/>
      <c r="AR1389" s="25"/>
      <c r="AS1389" s="25"/>
      <c r="AT1389" s="25"/>
      <c r="AU1389" s="25"/>
      <c r="AV1389" s="25"/>
      <c r="AW1389" s="25"/>
      <c r="AX1389" s="25"/>
      <c r="AY1389" s="25"/>
      <c r="AZ1389" s="25"/>
      <c r="BA1389" s="25"/>
      <c r="BB1389" s="25"/>
      <c r="BC1389" s="25"/>
      <c r="BD1389" s="25"/>
      <c r="BE1389" s="25"/>
      <c r="BF1389" s="25"/>
      <c r="BG1389" s="25"/>
      <c r="BH1389" s="25"/>
      <c r="BI1389" s="25"/>
      <c r="BJ1389" s="25"/>
      <c r="BK1389" s="25"/>
      <c r="BL1389" s="25"/>
      <c r="BM1389" s="25"/>
      <c r="BN1389" s="25"/>
      <c r="BO1389" s="25"/>
      <c r="BP1389" s="25"/>
      <c r="BQ1389" s="25"/>
      <c r="BR1389" s="25"/>
      <c r="BS1389" s="25"/>
      <c r="BT1389" s="25"/>
      <c r="BU1389" s="25"/>
      <c r="BV1389" s="25"/>
      <c r="BW1389" s="25"/>
      <c r="BX1389" s="25"/>
      <c r="BY1389" s="25"/>
      <c r="BZ1389" s="25"/>
      <c r="CA1389" s="25"/>
      <c r="CB1389" s="25"/>
    </row>
    <row r="1390" spans="1:80" ht="12.75" hidden="1" customHeight="1">
      <c r="A1390" s="10">
        <f ca="1">IFERROR(__xludf.DUMMYFUNCTION("""COMPUTED_VALUE"""),2019)</f>
        <v>2019</v>
      </c>
      <c r="B1390" s="50"/>
      <c r="C1390" s="41"/>
      <c r="D1390" s="42" t="str">
        <f ca="1">IFERROR(__xludf.DUMMYFUNCTION("""COMPUTED_VALUE"""),"Chough")</f>
        <v>Chough</v>
      </c>
      <c r="E1390" s="53">
        <f ca="1">IFERROR(__xludf.DUMMYFUNCTION("""COMPUTED_VALUE"""),1)</f>
        <v>1</v>
      </c>
      <c r="F1390" s="15"/>
      <c r="G1390" s="62" t="str">
        <f ca="1">IFERROR(__xludf.DUMMYFUNCTION("""COMPUTED_VALUE"""),"Windhather Rocks, Kettlehulme (Derby?)")</f>
        <v>Windhather Rocks, Kettlehulme (Derby?)</v>
      </c>
      <c r="H1390" s="12">
        <f ca="1">IFERROR(__xludf.DUMMYFUNCTION("""COMPUTED_VALUE"""),43682)</f>
        <v>43682</v>
      </c>
      <c r="I1390" s="12">
        <f ca="1">IFERROR(__xludf.DUMMYFUNCTION("""COMPUTED_VALUE"""),43701)</f>
        <v>43701</v>
      </c>
      <c r="J1390" s="14" t="str">
        <f ca="1">IFERROR(__xludf.DUMMYFUNCTION("""COMPUTED_VALUE"""),"Mi,es, M")</f>
        <v>Mi,es, M</v>
      </c>
      <c r="K1390" s="15" t="str">
        <f ca="1">IFERROR(__xludf.DUMMYFUNCTION("""COMPUTED_VALUE"""),"?")</f>
        <v>?</v>
      </c>
      <c r="L1390" s="17" t="str">
        <f ca="1">IFERROR(__xludf.DUMMYFUNCTION("""COMPUTED_VALUE"""),"closed")</f>
        <v>closed</v>
      </c>
      <c r="M1390" s="17" t="str">
        <f ca="1">IFERROR(__xludf.DUMMYFUNCTION("""COMPUTED_VALUE"""),"Photo")</f>
        <v>Photo</v>
      </c>
      <c r="N1390" s="15" t="str">
        <f ca="1">IFERROR(__xludf.DUMMYFUNCTION("""COMPUTED_VALUE"""),"Accepted w/o circ")</f>
        <v>Accepted w/o circ</v>
      </c>
      <c r="O1390" s="18"/>
      <c r="P1390" s="15"/>
      <c r="Q1390" s="15"/>
      <c r="R1390" s="58"/>
      <c r="S1390" s="15"/>
      <c r="T1390" s="15"/>
      <c r="U1390" s="15"/>
      <c r="V1390" s="15"/>
      <c r="W1390" s="15"/>
      <c r="X1390" s="15"/>
      <c r="Y1390" s="15"/>
      <c r="Z1390" s="15"/>
      <c r="AA1390" s="15"/>
      <c r="AB1390" s="15"/>
      <c r="AC1390" s="15"/>
      <c r="AD1390" s="15"/>
      <c r="AE1390" s="15"/>
      <c r="AF1390" s="15"/>
      <c r="AG1390" s="15"/>
      <c r="AH1390" s="15"/>
      <c r="AI1390" s="15"/>
      <c r="AJ1390" s="15"/>
      <c r="AK1390" s="15"/>
      <c r="AL1390" s="15"/>
      <c r="AM1390" s="15"/>
      <c r="AN1390" s="15"/>
      <c r="AO1390" s="15"/>
      <c r="AP1390" s="15"/>
      <c r="AQ1390" s="15"/>
      <c r="AR1390" s="15"/>
      <c r="AS1390" s="15"/>
      <c r="AT1390" s="15"/>
      <c r="AU1390" s="15"/>
      <c r="AV1390" s="15"/>
      <c r="AW1390" s="15"/>
      <c r="AX1390" s="15"/>
      <c r="AY1390" s="15"/>
      <c r="AZ1390" s="15"/>
      <c r="BA1390" s="15"/>
      <c r="BB1390" s="15"/>
      <c r="BC1390" s="15"/>
      <c r="BD1390" s="15"/>
      <c r="BE1390" s="15"/>
      <c r="BF1390" s="15"/>
      <c r="BG1390" s="15"/>
      <c r="BH1390" s="15"/>
      <c r="BI1390" s="15"/>
      <c r="BJ1390" s="15"/>
      <c r="BK1390" s="15"/>
      <c r="BL1390" s="15"/>
      <c r="BM1390" s="15"/>
      <c r="BN1390" s="15"/>
      <c r="BO1390" s="15"/>
      <c r="BP1390" s="15"/>
      <c r="BQ1390" s="15"/>
      <c r="BR1390" s="15"/>
      <c r="BS1390" s="15"/>
      <c r="BT1390" s="15"/>
      <c r="BU1390" s="15"/>
      <c r="BV1390" s="15"/>
      <c r="BW1390" s="15"/>
      <c r="BX1390" s="15"/>
      <c r="BY1390" s="15"/>
      <c r="BZ1390" s="15"/>
      <c r="CA1390" s="15"/>
      <c r="CB1390" s="15"/>
    </row>
    <row r="1391" spans="1:80" ht="12.75" hidden="1" customHeight="1">
      <c r="A1391" s="20">
        <f ca="1">IFERROR(__xludf.DUMMYFUNCTION("""COMPUTED_VALUE"""),2019)</f>
        <v>2019</v>
      </c>
      <c r="B1391" s="45">
        <f ca="1">IFERROR(__xludf.DUMMYFUNCTION("""COMPUTED_VALUE"""),44604)</f>
        <v>44604</v>
      </c>
      <c r="C1391" s="46">
        <f ca="1">IFERROR(__xludf.DUMMYFUNCTION("""COMPUTED_VALUE"""),44602)</f>
        <v>44602</v>
      </c>
      <c r="D1391" s="47" t="str">
        <f ca="1">IFERROR(__xludf.DUMMYFUNCTION("""COMPUTED_VALUE"""),"Willow Tit")</f>
        <v>Willow Tit</v>
      </c>
      <c r="E1391" s="52">
        <f ca="1">IFERROR(__xludf.DUMMYFUNCTION("""COMPUTED_VALUE"""),44593)</f>
        <v>44593</v>
      </c>
      <c r="F1391" s="25"/>
      <c r="G1391" s="48" t="str">
        <f ca="1">IFERROR(__xludf.DUMMYFUNCTION("""COMPUTED_VALUE"""),"Danes Moss")</f>
        <v>Danes Moss</v>
      </c>
      <c r="H1391" s="22">
        <f ca="1">IFERROR(__xludf.DUMMYFUNCTION("""COMPUTED_VALUE"""),43580)</f>
        <v>43580</v>
      </c>
      <c r="I1391" s="22">
        <f ca="1">IFERROR(__xludf.DUMMYFUNCTION("""COMPUTED_VALUE"""),43662)</f>
        <v>43662</v>
      </c>
      <c r="J1391" s="24" t="str">
        <f ca="1">IFERROR(__xludf.DUMMYFUNCTION("""COMPUTED_VALUE"""),"Emmerson, A")</f>
        <v>Emmerson, A</v>
      </c>
      <c r="K1391" s="25" t="str">
        <f ca="1">IFERROR(__xludf.DUMMYFUNCTION("""COMPUTED_VALUE"""),"Emmerson, A")</f>
        <v>Emmerson, A</v>
      </c>
      <c r="L1391" s="27" t="str">
        <f ca="1">IFERROR(__xludf.DUMMYFUNCTION("""COMPUTED_VALUE"""),"closed")</f>
        <v>closed</v>
      </c>
      <c r="M1391" s="27" t="str">
        <f ca="1">IFERROR(__xludf.DUMMYFUNCTION("""COMPUTED_VALUE"""),"1st U")</f>
        <v>1st U</v>
      </c>
      <c r="N1391" s="25" t="str">
        <f ca="1">IFERROR(__xludf.DUMMYFUNCTION("""COMPUTED_VALUE"""),"Accepted")</f>
        <v>Accepted</v>
      </c>
      <c r="O1391" s="28"/>
      <c r="P1391" s="25"/>
      <c r="Q1391" s="25"/>
      <c r="R1391" s="40"/>
      <c r="S1391" s="25"/>
      <c r="T1391" s="25"/>
      <c r="U1391" s="25"/>
      <c r="V1391" s="25"/>
      <c r="W1391" s="25"/>
      <c r="X1391" s="25"/>
      <c r="Y1391" s="25"/>
      <c r="Z1391" s="25"/>
      <c r="AA1391" s="25"/>
      <c r="AB1391" s="25"/>
      <c r="AC1391" s="25"/>
      <c r="AD1391" s="25"/>
      <c r="AE1391" s="25"/>
      <c r="AF1391" s="25"/>
      <c r="AG1391" s="25"/>
      <c r="AH1391" s="25"/>
      <c r="AI1391" s="25"/>
      <c r="AJ1391" s="25"/>
      <c r="AK1391" s="25"/>
      <c r="AL1391" s="25"/>
      <c r="AM1391" s="25"/>
      <c r="AN1391" s="25"/>
      <c r="AO1391" s="25"/>
      <c r="AP1391" s="25"/>
      <c r="AQ1391" s="25"/>
      <c r="AR1391" s="25"/>
      <c r="AS1391" s="25"/>
      <c r="AT1391" s="25"/>
      <c r="AU1391" s="25"/>
      <c r="AV1391" s="25"/>
      <c r="AW1391" s="25"/>
      <c r="AX1391" s="25"/>
      <c r="AY1391" s="25"/>
      <c r="AZ1391" s="25"/>
      <c r="BA1391" s="25"/>
      <c r="BB1391" s="25"/>
      <c r="BC1391" s="25"/>
      <c r="BD1391" s="25"/>
      <c r="BE1391" s="25"/>
      <c r="BF1391" s="25"/>
      <c r="BG1391" s="25"/>
      <c r="BH1391" s="25"/>
      <c r="BI1391" s="25"/>
      <c r="BJ1391" s="25"/>
      <c r="BK1391" s="25"/>
      <c r="BL1391" s="25"/>
      <c r="BM1391" s="25"/>
      <c r="BN1391" s="25"/>
      <c r="BO1391" s="25"/>
      <c r="BP1391" s="25"/>
      <c r="BQ1391" s="25"/>
      <c r="BR1391" s="25"/>
      <c r="BS1391" s="25"/>
      <c r="BT1391" s="25"/>
      <c r="BU1391" s="25"/>
      <c r="BV1391" s="25"/>
      <c r="BW1391" s="25"/>
      <c r="BX1391" s="25"/>
      <c r="BY1391" s="25"/>
      <c r="BZ1391" s="25"/>
      <c r="CA1391" s="25"/>
      <c r="CB1391" s="25"/>
    </row>
    <row r="1392" spans="1:80" ht="12.75" hidden="1" customHeight="1">
      <c r="A1392" s="10">
        <f ca="1">IFERROR(__xludf.DUMMYFUNCTION("""COMPUTED_VALUE"""),2019)</f>
        <v>2019</v>
      </c>
      <c r="B1392" s="50">
        <f ca="1">IFERROR(__xludf.DUMMYFUNCTION("""COMPUTED_VALUE"""),43645)</f>
        <v>43645</v>
      </c>
      <c r="C1392" s="41">
        <f ca="1">IFERROR(__xludf.DUMMYFUNCTION("""COMPUTED_VALUE"""),43549)</f>
        <v>43549</v>
      </c>
      <c r="D1392" s="42" t="str">
        <f ca="1">IFERROR(__xludf.DUMMYFUNCTION("""COMPUTED_VALUE"""),"Yellow-browed Warbler")</f>
        <v>Yellow-browed Warbler</v>
      </c>
      <c r="E1392" s="53">
        <f ca="1">IFERROR(__xludf.DUMMYFUNCTION("""COMPUTED_VALUE"""),1)</f>
        <v>1</v>
      </c>
      <c r="F1392" s="15"/>
      <c r="G1392" s="44" t="str">
        <f ca="1">IFERROR(__xludf.DUMMYFUNCTION("""COMPUTED_VALUE"""),"No. 3 Bed, Woolston Eyes")</f>
        <v>No. 3 Bed, Woolston Eyes</v>
      </c>
      <c r="H1392" s="12">
        <f ca="1">IFERROR(__xludf.DUMMYFUNCTION("""COMPUTED_VALUE"""),43736)</f>
        <v>43736</v>
      </c>
      <c r="I1392" s="13"/>
      <c r="J1392" s="75" t="str">
        <f ca="1">IFERROR(__xludf.DUMMYFUNCTION("""COMPUTED_VALUE"""),"Miles, Michael")</f>
        <v>Miles, Michael</v>
      </c>
      <c r="K1392" s="15" t="str">
        <f ca="1">IFERROR(__xludf.DUMMYFUNCTION("""COMPUTED_VALUE"""),"Miles, Michael")</f>
        <v>Miles, Michael</v>
      </c>
      <c r="L1392" s="17" t="str">
        <f ca="1">IFERROR(__xludf.DUMMYFUNCTION("""COMPUTED_VALUE"""),"closed")</f>
        <v>closed</v>
      </c>
      <c r="M1392" s="17" t="str">
        <f ca="1">IFERROR(__xludf.DUMMYFUNCTION("""COMPUTED_VALUE"""),"1st U")</f>
        <v>1st U</v>
      </c>
      <c r="N1392" s="15" t="str">
        <f ca="1">IFERROR(__xludf.DUMMYFUNCTION("""COMPUTED_VALUE"""),"accepted")</f>
        <v>accepted</v>
      </c>
      <c r="O1392" s="76"/>
      <c r="P1392" s="15"/>
      <c r="Q1392" s="15"/>
      <c r="R1392" s="58"/>
      <c r="S1392" s="15"/>
      <c r="T1392" s="15"/>
      <c r="U1392" s="15"/>
      <c r="V1392" s="15"/>
      <c r="W1392" s="15"/>
      <c r="X1392" s="15"/>
      <c r="Y1392" s="15"/>
      <c r="Z1392" s="15"/>
      <c r="AA1392" s="15"/>
      <c r="AB1392" s="15"/>
      <c r="AC1392" s="15"/>
      <c r="AD1392" s="15"/>
      <c r="AE1392" s="15"/>
      <c r="AF1392" s="15"/>
      <c r="AG1392" s="15"/>
      <c r="AH1392" s="15"/>
      <c r="AI1392" s="15"/>
      <c r="AJ1392" s="15"/>
      <c r="AK1392" s="15"/>
      <c r="AL1392" s="15"/>
      <c r="AM1392" s="15"/>
      <c r="AN1392" s="15"/>
      <c r="AO1392" s="15"/>
      <c r="AP1392" s="15"/>
      <c r="AQ1392" s="15"/>
      <c r="AR1392" s="15"/>
      <c r="AS1392" s="15"/>
      <c r="AT1392" s="15"/>
      <c r="AU1392" s="15"/>
      <c r="AV1392" s="15"/>
      <c r="AW1392" s="15"/>
      <c r="AX1392" s="15"/>
      <c r="AY1392" s="15"/>
      <c r="AZ1392" s="15"/>
      <c r="BA1392" s="15"/>
      <c r="BB1392" s="15"/>
      <c r="BC1392" s="15"/>
      <c r="BD1392" s="15"/>
      <c r="BE1392" s="15"/>
      <c r="BF1392" s="15"/>
      <c r="BG1392" s="15"/>
      <c r="BH1392" s="15"/>
      <c r="BI1392" s="15"/>
      <c r="BJ1392" s="15"/>
      <c r="BK1392" s="15"/>
      <c r="BL1392" s="15"/>
      <c r="BM1392" s="15"/>
      <c r="BN1392" s="15"/>
      <c r="BO1392" s="15"/>
      <c r="BP1392" s="15"/>
      <c r="BQ1392" s="15"/>
      <c r="BR1392" s="15"/>
      <c r="BS1392" s="15"/>
      <c r="BT1392" s="15"/>
      <c r="BU1392" s="15"/>
      <c r="BV1392" s="15"/>
      <c r="BW1392" s="15"/>
      <c r="BX1392" s="15"/>
      <c r="BY1392" s="15"/>
      <c r="BZ1392" s="15"/>
      <c r="CA1392" s="15"/>
      <c r="CB1392" s="15"/>
    </row>
    <row r="1393" spans="1:80" ht="12.75" hidden="1" customHeight="1">
      <c r="A1393" s="20">
        <f ca="1">IFERROR(__xludf.DUMMYFUNCTION("""COMPUTED_VALUE"""),2019)</f>
        <v>2019</v>
      </c>
      <c r="B1393" s="45">
        <f ca="1">IFERROR(__xludf.DUMMYFUNCTION("""COMPUTED_VALUE"""),43645)</f>
        <v>43645</v>
      </c>
      <c r="C1393" s="46"/>
      <c r="D1393" s="47" t="str">
        <f ca="1">IFERROR(__xludf.DUMMYFUNCTION("""COMPUTED_VALUE"""),"Yellow-browed Warbler")</f>
        <v>Yellow-browed Warbler</v>
      </c>
      <c r="E1393" s="52">
        <f ca="1">IFERROR(__xludf.DUMMYFUNCTION("""COMPUTED_VALUE"""),1)</f>
        <v>1</v>
      </c>
      <c r="F1393" s="25"/>
      <c r="G1393" s="48" t="str">
        <f ca="1">IFERROR(__xludf.DUMMYFUNCTION("""COMPUTED_VALUE"""),"Scholar Green")</f>
        <v>Scholar Green</v>
      </c>
      <c r="H1393" s="22">
        <f ca="1">IFERROR(__xludf.DUMMYFUNCTION("""COMPUTED_VALUE"""),43755)</f>
        <v>43755</v>
      </c>
      <c r="I1393" s="23"/>
      <c r="J1393" s="73"/>
      <c r="K1393" s="25"/>
      <c r="L1393" s="27" t="str">
        <f ca="1">IFERROR(__xludf.DUMMYFUNCTION("""COMPUTED_VALUE"""),"closed")</f>
        <v>closed</v>
      </c>
      <c r="M1393" s="27" t="str">
        <f ca="1">IFERROR(__xludf.DUMMYFUNCTION("""COMPUTED_VALUE"""),"-")</f>
        <v>-</v>
      </c>
      <c r="N1393" s="25" t="str">
        <f ca="1">IFERROR(__xludf.DUMMYFUNCTION("""COMPUTED_VALUE"""),"exemption")</f>
        <v>exemption</v>
      </c>
      <c r="O1393" s="74"/>
      <c r="P1393" s="25"/>
      <c r="Q1393" s="25"/>
      <c r="R1393" s="40"/>
      <c r="S1393" s="25"/>
      <c r="T1393" s="25"/>
      <c r="U1393" s="25"/>
      <c r="V1393" s="25"/>
      <c r="W1393" s="25"/>
      <c r="X1393" s="25"/>
      <c r="Y1393" s="25"/>
      <c r="Z1393" s="25"/>
      <c r="AA1393" s="25"/>
      <c r="AB1393" s="25"/>
      <c r="AC1393" s="25"/>
      <c r="AD1393" s="25"/>
      <c r="AE1393" s="25"/>
      <c r="AF1393" s="25"/>
      <c r="AG1393" s="25"/>
      <c r="AH1393" s="25"/>
      <c r="AI1393" s="25"/>
      <c r="AJ1393" s="25"/>
      <c r="AK1393" s="25"/>
      <c r="AL1393" s="25"/>
      <c r="AM1393" s="25"/>
      <c r="AN1393" s="25"/>
      <c r="AO1393" s="25"/>
      <c r="AP1393" s="25"/>
      <c r="AQ1393" s="25"/>
      <c r="AR1393" s="25"/>
      <c r="AS1393" s="25"/>
      <c r="AT1393" s="25"/>
      <c r="AU1393" s="25"/>
      <c r="AV1393" s="25"/>
      <c r="AW1393" s="25"/>
      <c r="AX1393" s="25"/>
      <c r="AY1393" s="25"/>
      <c r="AZ1393" s="25"/>
      <c r="BA1393" s="25"/>
      <c r="BB1393" s="25"/>
      <c r="BC1393" s="25"/>
      <c r="BD1393" s="25"/>
      <c r="BE1393" s="25"/>
      <c r="BF1393" s="25"/>
      <c r="BG1393" s="25"/>
      <c r="BH1393" s="25"/>
      <c r="BI1393" s="25"/>
      <c r="BJ1393" s="25"/>
      <c r="BK1393" s="25"/>
      <c r="BL1393" s="25"/>
      <c r="BM1393" s="25"/>
      <c r="BN1393" s="25"/>
      <c r="BO1393" s="25"/>
      <c r="BP1393" s="25"/>
      <c r="BQ1393" s="25"/>
      <c r="BR1393" s="25"/>
      <c r="BS1393" s="25"/>
      <c r="BT1393" s="25"/>
      <c r="BU1393" s="25"/>
      <c r="BV1393" s="25"/>
      <c r="BW1393" s="25"/>
      <c r="BX1393" s="25"/>
      <c r="BY1393" s="25"/>
      <c r="BZ1393" s="25"/>
      <c r="CA1393" s="25"/>
      <c r="CB1393" s="25"/>
    </row>
    <row r="1394" spans="1:80" ht="12.75" hidden="1" customHeight="1">
      <c r="A1394" s="10">
        <f ca="1">IFERROR(__xludf.DUMMYFUNCTION("""COMPUTED_VALUE"""),2019)</f>
        <v>2019</v>
      </c>
      <c r="B1394" s="50">
        <f ca="1">IFERROR(__xludf.DUMMYFUNCTION("""COMPUTED_VALUE"""),44403)</f>
        <v>44403</v>
      </c>
      <c r="C1394" s="41">
        <f ca="1">IFERROR(__xludf.DUMMYFUNCTION("""COMPUTED_VALUE"""),44403)</f>
        <v>44403</v>
      </c>
      <c r="D1394" s="42" t="str">
        <f ca="1">IFERROR(__xludf.DUMMYFUNCTION("""COMPUTED_VALUE"""),"Black Redstart")</f>
        <v>Black Redstart</v>
      </c>
      <c r="E1394" s="53" t="str">
        <f ca="1">IFERROR(__xludf.DUMMYFUNCTION("""COMPUTED_VALUE"""),"1f")</f>
        <v>1f</v>
      </c>
      <c r="F1394" s="15"/>
      <c r="G1394" s="44" t="str">
        <f ca="1">IFERROR(__xludf.DUMMYFUNCTION("""COMPUTED_VALUE"""),"Arclid")</f>
        <v>Arclid</v>
      </c>
      <c r="H1394" s="12">
        <f ca="1">IFERROR(__xludf.DUMMYFUNCTION("""COMPUTED_VALUE"""),43511)</f>
        <v>43511</v>
      </c>
      <c r="I1394" s="13"/>
      <c r="J1394" s="14" t="str">
        <f ca="1">IFERROR(__xludf.DUMMYFUNCTION("""COMPUTED_VALUE"""),"Eaves, S")</f>
        <v>Eaves, S</v>
      </c>
      <c r="K1394" s="15" t="str">
        <f ca="1">IFERROR(__xludf.DUMMYFUNCTION("""COMPUTED_VALUE"""),"Eaves, S")</f>
        <v>Eaves, S</v>
      </c>
      <c r="L1394" s="17" t="str">
        <f ca="1">IFERROR(__xludf.DUMMYFUNCTION("""COMPUTED_VALUE"""),"closed")</f>
        <v>closed</v>
      </c>
      <c r="M1394" s="17" t="str">
        <f ca="1">IFERROR(__xludf.DUMMYFUNCTION("""COMPUTED_VALUE"""),"1st U")</f>
        <v>1st U</v>
      </c>
      <c r="N1394" s="15" t="str">
        <f ca="1">IFERROR(__xludf.DUMMYFUNCTION("""COMPUTED_VALUE"""),"Accepted")</f>
        <v>Accepted</v>
      </c>
      <c r="O1394" s="18"/>
      <c r="P1394" s="15"/>
      <c r="Q1394" s="15"/>
      <c r="R1394" s="58"/>
      <c r="S1394" s="15"/>
      <c r="T1394" s="15"/>
      <c r="U1394" s="15"/>
      <c r="V1394" s="15"/>
      <c r="W1394" s="15"/>
      <c r="X1394" s="15"/>
      <c r="Y1394" s="15"/>
      <c r="Z1394" s="15"/>
      <c r="AA1394" s="15"/>
      <c r="AB1394" s="15"/>
      <c r="AC1394" s="15"/>
      <c r="AD1394" s="15"/>
      <c r="AE1394" s="15"/>
      <c r="AF1394" s="15"/>
      <c r="AG1394" s="15"/>
      <c r="AH1394" s="15"/>
      <c r="AI1394" s="15"/>
      <c r="AJ1394" s="15"/>
      <c r="AK1394" s="15"/>
      <c r="AL1394" s="15"/>
      <c r="AM1394" s="15"/>
      <c r="AN1394" s="15"/>
      <c r="AO1394" s="15"/>
      <c r="AP1394" s="15"/>
      <c r="AQ1394" s="15"/>
      <c r="AR1394" s="15"/>
      <c r="AS1394" s="15"/>
      <c r="AT1394" s="15"/>
      <c r="AU1394" s="15"/>
      <c r="AV1394" s="15"/>
      <c r="AW1394" s="15"/>
      <c r="AX1394" s="15"/>
      <c r="AY1394" s="15"/>
      <c r="AZ1394" s="15"/>
      <c r="BA1394" s="15"/>
      <c r="BB1394" s="15"/>
      <c r="BC1394" s="15"/>
      <c r="BD1394" s="15"/>
      <c r="BE1394" s="15"/>
      <c r="BF1394" s="15"/>
      <c r="BG1394" s="15"/>
      <c r="BH1394" s="15"/>
      <c r="BI1394" s="15"/>
      <c r="BJ1394" s="15"/>
      <c r="BK1394" s="15"/>
      <c r="BL1394" s="15"/>
      <c r="BM1394" s="15"/>
      <c r="BN1394" s="15"/>
      <c r="BO1394" s="15"/>
      <c r="BP1394" s="15"/>
      <c r="BQ1394" s="15"/>
      <c r="BR1394" s="15"/>
      <c r="BS1394" s="15"/>
      <c r="BT1394" s="15"/>
      <c r="BU1394" s="15"/>
      <c r="BV1394" s="15"/>
      <c r="BW1394" s="15"/>
      <c r="BX1394" s="15"/>
      <c r="BY1394" s="15"/>
      <c r="BZ1394" s="15"/>
      <c r="CA1394" s="15"/>
      <c r="CB1394" s="15"/>
    </row>
    <row r="1395" spans="1:80" ht="12.75" hidden="1" customHeight="1">
      <c r="A1395" s="20">
        <f ca="1">IFERROR(__xludf.DUMMYFUNCTION("""COMPUTED_VALUE"""),2019)</f>
        <v>2019</v>
      </c>
      <c r="B1395" s="45">
        <f ca="1">IFERROR(__xludf.DUMMYFUNCTION("""COMPUTED_VALUE"""),44568)</f>
        <v>44568</v>
      </c>
      <c r="C1395" s="46"/>
      <c r="D1395" s="47" t="str">
        <f ca="1">IFERROR(__xludf.DUMMYFUNCTION("""COMPUTED_VALUE"""),"Siberian Stonechat")</f>
        <v>Siberian Stonechat</v>
      </c>
      <c r="E1395" s="52"/>
      <c r="F1395" s="25"/>
      <c r="G1395" s="48" t="str">
        <f ca="1">IFERROR(__xludf.DUMMYFUNCTION("""COMPUTED_VALUE"""),"Ashton's Flash")</f>
        <v>Ashton's Flash</v>
      </c>
      <c r="H1395" s="22">
        <f ca="1">IFERROR(__xludf.DUMMYFUNCTION("""COMPUTED_VALUE"""),43823)</f>
        <v>43823</v>
      </c>
      <c r="I1395" s="22">
        <f ca="1">IFERROR(__xludf.DUMMYFUNCTION("""COMPUTED_VALUE"""),43933)</f>
        <v>43933</v>
      </c>
      <c r="J1395" s="73"/>
      <c r="K1395" s="25"/>
      <c r="L1395" s="27" t="str">
        <f ca="1">IFERROR(__xludf.DUMMYFUNCTION("""COMPUTED_VALUE"""),"closed")</f>
        <v>closed</v>
      </c>
      <c r="M1395" s="27"/>
      <c r="N1395" s="25" t="str">
        <f ca="1">IFERROR(__xludf.DUMMYFUNCTION("""COMPUTED_VALUE"""),"BBRC-OK")</f>
        <v>BBRC-OK</v>
      </c>
      <c r="O1395" s="74" t="str">
        <f ca="1">IFERROR(__xludf.DUMMYFUNCTION("""COMPUTED_VALUE"""),"Ashton’s Flash, Northwich, 1CY, 24 December 2019-12 April 2020, DNA analysis")</f>
        <v>Ashton’s Flash, Northwich, 1CY, 24 December 2019-12 April 2020, DNA analysis</v>
      </c>
      <c r="P1395" s="25"/>
      <c r="Q1395" s="25"/>
      <c r="R1395" s="40"/>
      <c r="S1395" s="25"/>
      <c r="T1395" s="25"/>
      <c r="U1395" s="25"/>
      <c r="V1395" s="25"/>
      <c r="W1395" s="25"/>
      <c r="X1395" s="25"/>
      <c r="Y1395" s="25"/>
      <c r="Z1395" s="25"/>
      <c r="AA1395" s="25"/>
      <c r="AB1395" s="25"/>
      <c r="AC1395" s="25"/>
      <c r="AD1395" s="25"/>
      <c r="AE1395" s="25"/>
      <c r="AF1395" s="25"/>
      <c r="AG1395" s="25"/>
      <c r="AH1395" s="25"/>
      <c r="AI1395" s="25"/>
      <c r="AJ1395" s="25"/>
      <c r="AK1395" s="25"/>
      <c r="AL1395" s="25"/>
      <c r="AM1395" s="25"/>
      <c r="AN1395" s="25"/>
      <c r="AO1395" s="25"/>
      <c r="AP1395" s="25"/>
      <c r="AQ1395" s="25"/>
      <c r="AR1395" s="25"/>
      <c r="AS1395" s="25"/>
      <c r="AT1395" s="25"/>
      <c r="AU1395" s="25"/>
      <c r="AV1395" s="25"/>
      <c r="AW1395" s="25"/>
      <c r="AX1395" s="25"/>
      <c r="AY1395" s="25"/>
      <c r="AZ1395" s="25"/>
      <c r="BA1395" s="25"/>
      <c r="BB1395" s="25"/>
      <c r="BC1395" s="25"/>
      <c r="BD1395" s="25"/>
      <c r="BE1395" s="25"/>
      <c r="BF1395" s="25"/>
      <c r="BG1395" s="25"/>
      <c r="BH1395" s="25"/>
      <c r="BI1395" s="25"/>
      <c r="BJ1395" s="25"/>
      <c r="BK1395" s="25"/>
      <c r="BL1395" s="25"/>
      <c r="BM1395" s="25"/>
      <c r="BN1395" s="25"/>
      <c r="BO1395" s="25"/>
      <c r="BP1395" s="25"/>
      <c r="BQ1395" s="25"/>
      <c r="BR1395" s="25"/>
      <c r="BS1395" s="25"/>
      <c r="BT1395" s="25"/>
      <c r="BU1395" s="25"/>
      <c r="BV1395" s="25"/>
      <c r="BW1395" s="25"/>
      <c r="BX1395" s="25"/>
      <c r="BY1395" s="25"/>
      <c r="BZ1395" s="25"/>
      <c r="CA1395" s="25"/>
      <c r="CB1395" s="25"/>
    </row>
    <row r="1396" spans="1:80" ht="12.75" hidden="1" customHeight="1">
      <c r="A1396" s="10">
        <f ca="1">IFERROR(__xludf.DUMMYFUNCTION("""COMPUTED_VALUE"""),2019)</f>
        <v>2019</v>
      </c>
      <c r="B1396" s="50">
        <f ca="1">IFERROR(__xludf.DUMMYFUNCTION("""COMPUTED_VALUE"""),44165)</f>
        <v>44165</v>
      </c>
      <c r="C1396" s="41">
        <f ca="1">IFERROR(__xludf.DUMMYFUNCTION("""COMPUTED_VALUE"""),44165)</f>
        <v>44165</v>
      </c>
      <c r="D1396" s="42" t="str">
        <f ca="1">IFERROR(__xludf.DUMMYFUNCTION("""COMPUTED_VALUE"""),"Richard's Pipit")</f>
        <v>Richard's Pipit</v>
      </c>
      <c r="E1396" s="53">
        <f ca="1">IFERROR(__xludf.DUMMYFUNCTION("""COMPUTED_VALUE"""),1)</f>
        <v>1</v>
      </c>
      <c r="F1396" s="15"/>
      <c r="G1396" s="44" t="str">
        <f ca="1">IFERROR(__xludf.DUMMYFUNCTION("""COMPUTED_VALUE"""),"Hoylake")</f>
        <v>Hoylake</v>
      </c>
      <c r="H1396" s="12">
        <f ca="1">IFERROR(__xludf.DUMMYFUNCTION("""COMPUTED_VALUE"""),43753)</f>
        <v>43753</v>
      </c>
      <c r="I1396" s="12"/>
      <c r="J1396" s="14" t="str">
        <f ca="1">IFERROR(__xludf.DUMMYFUNCTION("""COMPUTED_VALUE"""),"Turner, JE ")</f>
        <v xml:space="preserve">Turner, JE </v>
      </c>
      <c r="K1396" s="15" t="str">
        <f ca="1">IFERROR(__xludf.DUMMYFUNCTION("""COMPUTED_VALUE"""),"Turner, JE")</f>
        <v>Turner, JE</v>
      </c>
      <c r="L1396" s="17" t="str">
        <f ca="1">IFERROR(__xludf.DUMMYFUNCTION("""COMPUTED_VALUE"""),"closed")</f>
        <v>closed</v>
      </c>
      <c r="M1396" s="17" t="str">
        <f ca="1">IFERROR(__xludf.DUMMYFUNCTION("""COMPUTED_VALUE"""),"1st U")</f>
        <v>1st U</v>
      </c>
      <c r="N1396" s="15" t="str">
        <f ca="1">IFERROR(__xludf.DUMMYFUNCTION("""COMPUTED_VALUE"""),"accepted")</f>
        <v>accepted</v>
      </c>
      <c r="O1396" s="18" t="str">
        <f ca="1">IFERROR(__xludf.DUMMYFUNCTION("""COMPUTED_VALUE"""),"Flew W c 10:40. Recorded.")</f>
        <v>Flew W c 10:40. Recorded.</v>
      </c>
      <c r="P1396" s="15"/>
      <c r="Q1396" s="58"/>
      <c r="R1396" s="15"/>
      <c r="S1396" s="15"/>
      <c r="T1396" s="15"/>
      <c r="U1396" s="15"/>
      <c r="V1396" s="15"/>
      <c r="W1396" s="15"/>
      <c r="X1396" s="15"/>
      <c r="Y1396" s="15"/>
      <c r="Z1396" s="15"/>
      <c r="AA1396" s="15"/>
      <c r="AB1396" s="15"/>
      <c r="AC1396" s="15"/>
      <c r="AD1396" s="15"/>
      <c r="AE1396" s="15"/>
      <c r="AF1396" s="15"/>
      <c r="AG1396" s="15"/>
      <c r="AH1396" s="15"/>
      <c r="AI1396" s="15"/>
      <c r="AJ1396" s="15"/>
      <c r="AK1396" s="15"/>
      <c r="AL1396" s="15"/>
      <c r="AM1396" s="15"/>
      <c r="AN1396" s="15"/>
      <c r="AO1396" s="15"/>
      <c r="AP1396" s="15"/>
      <c r="AQ1396" s="15"/>
      <c r="AR1396" s="15"/>
      <c r="AS1396" s="15"/>
      <c r="AT1396" s="15"/>
      <c r="AU1396" s="15"/>
      <c r="AV1396" s="15"/>
      <c r="AW1396" s="15"/>
      <c r="AX1396" s="15"/>
      <c r="AY1396" s="15"/>
      <c r="AZ1396" s="15"/>
      <c r="BA1396" s="15"/>
      <c r="BB1396" s="15"/>
      <c r="BC1396" s="15"/>
      <c r="BD1396" s="15"/>
      <c r="BE1396" s="15"/>
      <c r="BF1396" s="15"/>
      <c r="BG1396" s="15"/>
      <c r="BH1396" s="15"/>
      <c r="BI1396" s="15"/>
      <c r="BJ1396" s="15"/>
      <c r="BK1396" s="15"/>
      <c r="BL1396" s="15"/>
      <c r="BM1396" s="15"/>
      <c r="BN1396" s="15"/>
      <c r="BO1396" s="15"/>
      <c r="BP1396" s="15"/>
      <c r="BQ1396" s="15"/>
      <c r="BR1396" s="15"/>
      <c r="BS1396" s="15"/>
      <c r="BT1396" s="15"/>
      <c r="BU1396" s="15"/>
      <c r="BV1396" s="15"/>
      <c r="BW1396" s="15"/>
      <c r="BX1396" s="15"/>
      <c r="BY1396" s="15"/>
      <c r="BZ1396" s="15"/>
      <c r="CA1396" s="15"/>
      <c r="CB1396" s="15"/>
    </row>
    <row r="1397" spans="1:80" ht="12.75" hidden="1" customHeight="1">
      <c r="A1397" s="20">
        <f ca="1">IFERROR(__xludf.DUMMYFUNCTION("""COMPUTED_VALUE"""),2019)</f>
        <v>2019</v>
      </c>
      <c r="B1397" s="45">
        <f ca="1">IFERROR(__xludf.DUMMYFUNCTION("""COMPUTED_VALUE"""),44157)</f>
        <v>44157</v>
      </c>
      <c r="C1397" s="46">
        <f ca="1">IFERROR(__xludf.DUMMYFUNCTION("""COMPUTED_VALUE"""),44158)</f>
        <v>44158</v>
      </c>
      <c r="D1397" s="47" t="str">
        <f ca="1">IFERROR(__xludf.DUMMYFUNCTION("""COMPUTED_VALUE"""),"Hawfinch")</f>
        <v>Hawfinch</v>
      </c>
      <c r="E1397" s="52">
        <f ca="1">IFERROR(__xludf.DUMMYFUNCTION("""COMPUTED_VALUE"""),1)</f>
        <v>1</v>
      </c>
      <c r="F1397" s="25"/>
      <c r="G1397" s="48" t="str">
        <f ca="1">IFERROR(__xludf.DUMMYFUNCTION("""COMPUTED_VALUE"""),"Hale Lighthouse")</f>
        <v>Hale Lighthouse</v>
      </c>
      <c r="H1397" s="22">
        <f ca="1">IFERROR(__xludf.DUMMYFUNCTION("""COMPUTED_VALUE"""),43755)</f>
        <v>43755</v>
      </c>
      <c r="I1397" s="23"/>
      <c r="J1397" s="24" t="str">
        <f ca="1">IFERROR(__xludf.DUMMYFUNCTION("""COMPUTED_VALUE"""),"Cockbain, Rob &amp; Carol")</f>
        <v>Cockbain, Rob &amp; Carol</v>
      </c>
      <c r="K1397" s="25"/>
      <c r="L1397" s="27" t="str">
        <f ca="1">IFERROR(__xludf.DUMMYFUNCTION("""COMPUTED_VALUE"""),"closed")</f>
        <v>closed</v>
      </c>
      <c r="M1397" s="27" t="str">
        <f ca="1">IFERROR(__xludf.DUMMYFUNCTION("""COMPUTED_VALUE"""),"1st U")</f>
        <v>1st U</v>
      </c>
      <c r="N1397" s="25" t="str">
        <f ca="1">IFERROR(__xludf.DUMMYFUNCTION("""COMPUTED_VALUE"""),"accepted")</f>
        <v>accepted</v>
      </c>
      <c r="O1397" s="28" t="str">
        <f ca="1">IFERROR(__xludf.DUMMYFUNCTION("""COMPUTED_VALUE"""),"Attention drawn to a large finch with undulating flight, with distinctive call tzik –tzik. Clear white see through patches seen on under wing..Only record this Autumn on viz mig counts at Hale Head, as far as I am aware.")</f>
        <v>Attention drawn to a large finch with undulating flight, with distinctive call tzik –tzik. Clear white see through patches seen on under wing..Only record this Autumn on viz mig counts at Hale Head, as far as I am aware.</v>
      </c>
      <c r="P1397" s="25"/>
      <c r="Q1397" s="25"/>
      <c r="R1397" s="25"/>
      <c r="S1397" s="25"/>
      <c r="T1397" s="25"/>
      <c r="U1397" s="25"/>
      <c r="V1397" s="25"/>
      <c r="W1397" s="40"/>
      <c r="X1397" s="25"/>
      <c r="Y1397" s="25"/>
      <c r="Z1397" s="25"/>
      <c r="AA1397" s="25"/>
      <c r="AB1397" s="25"/>
      <c r="AC1397" s="25"/>
      <c r="AD1397" s="25"/>
      <c r="AE1397" s="25"/>
      <c r="AF1397" s="25"/>
      <c r="AG1397" s="25"/>
      <c r="AH1397" s="25"/>
      <c r="AI1397" s="25"/>
      <c r="AJ1397" s="25"/>
      <c r="AK1397" s="25"/>
      <c r="AL1397" s="25"/>
      <c r="AM1397" s="25"/>
      <c r="AN1397" s="25"/>
      <c r="AO1397" s="25"/>
      <c r="AP1397" s="25"/>
      <c r="AQ1397" s="25"/>
      <c r="AR1397" s="25"/>
      <c r="AS1397" s="25"/>
      <c r="AT1397" s="25"/>
      <c r="AU1397" s="25"/>
      <c r="AV1397" s="25"/>
      <c r="AW1397" s="25"/>
      <c r="AX1397" s="25"/>
      <c r="AY1397" s="25"/>
      <c r="AZ1397" s="25"/>
      <c r="BA1397" s="25"/>
      <c r="BB1397" s="25"/>
      <c r="BC1397" s="25"/>
      <c r="BD1397" s="25"/>
      <c r="BE1397" s="25"/>
      <c r="BF1397" s="25"/>
      <c r="BG1397" s="25"/>
      <c r="BH1397" s="25"/>
      <c r="BI1397" s="25"/>
      <c r="BJ1397" s="25"/>
      <c r="BK1397" s="25"/>
      <c r="BL1397" s="25"/>
      <c r="BM1397" s="25"/>
      <c r="BN1397" s="25"/>
      <c r="BO1397" s="25"/>
      <c r="BP1397" s="25"/>
      <c r="BQ1397" s="25"/>
      <c r="BR1397" s="25"/>
      <c r="BS1397" s="25"/>
      <c r="BT1397" s="25"/>
      <c r="BU1397" s="25"/>
      <c r="BV1397" s="25"/>
      <c r="BW1397" s="25"/>
      <c r="BX1397" s="25"/>
      <c r="BY1397" s="25"/>
      <c r="BZ1397" s="25"/>
      <c r="CA1397" s="25"/>
      <c r="CB1397" s="25"/>
    </row>
    <row r="1398" spans="1:80" ht="12.75" hidden="1" customHeight="1">
      <c r="A1398" s="10">
        <f ca="1">IFERROR(__xludf.DUMMYFUNCTION("""COMPUTED_VALUE"""),2020)</f>
        <v>2020</v>
      </c>
      <c r="B1398" s="50">
        <f ca="1">IFERROR(__xludf.DUMMYFUNCTION("""COMPUTED_VALUE"""),44564)</f>
        <v>44564</v>
      </c>
      <c r="C1398" s="41"/>
      <c r="D1398" s="42" t="str">
        <f ca="1">IFERROR(__xludf.DUMMYFUNCTION("""COMPUTED_VALUE"""),"Purple Heron")</f>
        <v>Purple Heron</v>
      </c>
      <c r="E1398" s="53">
        <f ca="1">IFERROR(__xludf.DUMMYFUNCTION("""COMPUTED_VALUE"""),1)</f>
        <v>1</v>
      </c>
      <c r="F1398" s="15"/>
      <c r="G1398" s="44" t="str">
        <f ca="1">IFERROR(__xludf.DUMMYFUNCTION("""COMPUTED_VALUE"""),"Burton Mere Wetlands (BMW) RSPB, Decca then Boathouse flash")</f>
        <v>Burton Mere Wetlands (BMW) RSPB, Decca then Boathouse flash</v>
      </c>
      <c r="H1398" s="12">
        <f ca="1">IFERROR(__xludf.DUMMYFUNCTION("""COMPUTED_VALUE"""),44052)</f>
        <v>44052</v>
      </c>
      <c r="I1398" s="12"/>
      <c r="J1398" s="14"/>
      <c r="K1398" s="15"/>
      <c r="L1398" s="17" t="str">
        <f ca="1">IFERROR(__xludf.DUMMYFUNCTION("""COMPUTED_VALUE"""),"closed")</f>
        <v>closed</v>
      </c>
      <c r="M1398" s="17"/>
      <c r="N1398" s="15" t="str">
        <f ca="1">IFERROR(__xludf.DUMMYFUNCTION("""COMPUTED_VALUE"""),"Accepted w/o circ")</f>
        <v>Accepted w/o circ</v>
      </c>
      <c r="O1398" s="18"/>
      <c r="P1398" s="15"/>
      <c r="Q1398" s="15"/>
      <c r="R1398" s="15"/>
      <c r="S1398" s="15"/>
      <c r="T1398" s="15"/>
      <c r="U1398" s="15"/>
      <c r="V1398" s="15"/>
      <c r="W1398" s="15"/>
      <c r="X1398" s="15"/>
      <c r="Y1398" s="15"/>
      <c r="Z1398" s="15"/>
      <c r="AA1398" s="15"/>
      <c r="AB1398" s="15"/>
      <c r="AC1398" s="15"/>
      <c r="AD1398" s="15"/>
      <c r="AE1398" s="15"/>
      <c r="AF1398" s="15"/>
      <c r="AG1398" s="15"/>
      <c r="AH1398" s="15"/>
      <c r="AI1398" s="15"/>
      <c r="AJ1398" s="15"/>
      <c r="AK1398" s="15"/>
      <c r="AL1398" s="15"/>
      <c r="AM1398" s="15"/>
      <c r="AN1398" s="15"/>
      <c r="AO1398" s="15"/>
      <c r="AP1398" s="15"/>
      <c r="AQ1398" s="15"/>
      <c r="AR1398" s="15"/>
      <c r="AS1398" s="15"/>
      <c r="AT1398" s="15"/>
      <c r="AU1398" s="15"/>
      <c r="AV1398" s="15"/>
      <c r="AW1398" s="15"/>
      <c r="AX1398" s="15"/>
      <c r="AY1398" s="15"/>
      <c r="AZ1398" s="15"/>
      <c r="BA1398" s="15"/>
      <c r="BB1398" s="15"/>
      <c r="BC1398" s="15"/>
      <c r="BD1398" s="15"/>
      <c r="BE1398" s="15"/>
      <c r="BF1398" s="15"/>
      <c r="BG1398" s="15"/>
      <c r="BH1398" s="15"/>
      <c r="BI1398" s="15"/>
      <c r="BJ1398" s="15"/>
      <c r="BK1398" s="15"/>
      <c r="BL1398" s="15"/>
      <c r="BM1398" s="15"/>
      <c r="BN1398" s="15"/>
      <c r="BO1398" s="15"/>
      <c r="BP1398" s="15"/>
      <c r="BQ1398" s="15"/>
      <c r="BR1398" s="15"/>
      <c r="BS1398" s="15"/>
      <c r="BT1398" s="15"/>
      <c r="BU1398" s="15"/>
      <c r="BV1398" s="15"/>
      <c r="BW1398" s="15"/>
      <c r="BX1398" s="15"/>
      <c r="BY1398" s="15"/>
      <c r="BZ1398" s="15"/>
      <c r="CA1398" s="15"/>
      <c r="CB1398" s="15"/>
    </row>
    <row r="1399" spans="1:80" ht="12.75" hidden="1" customHeight="1">
      <c r="A1399" s="20">
        <f ca="1">IFERROR(__xludf.DUMMYFUNCTION("""COMPUTED_VALUE"""),2020)</f>
        <v>2020</v>
      </c>
      <c r="B1399" s="45">
        <f ca="1">IFERROR(__xludf.DUMMYFUNCTION("""COMPUTED_VALUE"""),44685)</f>
        <v>44685</v>
      </c>
      <c r="C1399" s="46"/>
      <c r="D1399" s="47" t="str">
        <f ca="1">IFERROR(__xludf.DUMMYFUNCTION("""COMPUTED_VALUE"""),"Black Kite")</f>
        <v>Black Kite</v>
      </c>
      <c r="E1399" s="52">
        <f ca="1">IFERROR(__xludf.DUMMYFUNCTION("""COMPUTED_VALUE"""),1)</f>
        <v>1</v>
      </c>
      <c r="F1399" s="25"/>
      <c r="G1399" s="48" t="str">
        <f ca="1">IFERROR(__xludf.DUMMYFUNCTION("""COMPUTED_VALUE"""),"Burton Point")</f>
        <v>Burton Point</v>
      </c>
      <c r="H1399" s="22">
        <f ca="1">IFERROR(__xludf.DUMMYFUNCTION("""COMPUTED_VALUE"""),43938)</f>
        <v>43938</v>
      </c>
      <c r="I1399" s="23"/>
      <c r="J1399" s="24"/>
      <c r="K1399" s="25"/>
      <c r="L1399" s="27" t="str">
        <f ca="1">IFERROR(__xludf.DUMMYFUNCTION("""COMPUTED_VALUE"""),"limbo")</f>
        <v>limbo</v>
      </c>
      <c r="M1399" s="27"/>
      <c r="N1399" s="25" t="str">
        <f ca="1">IFERROR(__xludf.DUMMYFUNCTION("""COMPUTED_VALUE"""),"not submitted")</f>
        <v>not submitted</v>
      </c>
      <c r="O1399" s="28" t="str">
        <f ca="1">IFERROR(__xludf.DUMMYFUNCTION("""COMPUTED_VALUE"""),"Finder known")</f>
        <v>Finder known</v>
      </c>
      <c r="P1399" s="25"/>
      <c r="Q1399" s="25"/>
      <c r="R1399" s="25"/>
      <c r="S1399" s="25"/>
      <c r="T1399" s="25"/>
      <c r="U1399" s="25"/>
      <c r="V1399" s="25"/>
      <c r="W1399" s="25"/>
      <c r="X1399" s="25"/>
      <c r="Y1399" s="25"/>
      <c r="Z1399" s="25"/>
      <c r="AA1399" s="25"/>
      <c r="AB1399" s="25"/>
      <c r="AC1399" s="25"/>
      <c r="AD1399" s="25"/>
      <c r="AE1399" s="25"/>
      <c r="AF1399" s="25"/>
      <c r="AG1399" s="25"/>
      <c r="AH1399" s="25"/>
      <c r="AI1399" s="25"/>
      <c r="AJ1399" s="25"/>
      <c r="AK1399" s="25"/>
      <c r="AL1399" s="25"/>
      <c r="AM1399" s="25"/>
      <c r="AN1399" s="25"/>
      <c r="AO1399" s="25"/>
      <c r="AP1399" s="25"/>
      <c r="AQ1399" s="25"/>
      <c r="AR1399" s="25"/>
      <c r="AS1399" s="25"/>
      <c r="AT1399" s="25"/>
      <c r="AU1399" s="25"/>
      <c r="AV1399" s="25"/>
      <c r="AW1399" s="25"/>
      <c r="AX1399" s="25"/>
      <c r="AY1399" s="25"/>
      <c r="AZ1399" s="25"/>
      <c r="BA1399" s="25"/>
      <c r="BB1399" s="25"/>
      <c r="BC1399" s="25"/>
      <c r="BD1399" s="25"/>
      <c r="BE1399" s="25"/>
      <c r="BF1399" s="25"/>
      <c r="BG1399" s="25"/>
      <c r="BH1399" s="25"/>
      <c r="BI1399" s="25"/>
      <c r="BJ1399" s="25"/>
      <c r="BK1399" s="25"/>
      <c r="BL1399" s="25"/>
      <c r="BM1399" s="25"/>
      <c r="BN1399" s="25"/>
      <c r="BO1399" s="25"/>
      <c r="BP1399" s="25"/>
      <c r="BQ1399" s="25"/>
      <c r="BR1399" s="25"/>
      <c r="BS1399" s="25"/>
      <c r="BT1399" s="25"/>
      <c r="BU1399" s="25"/>
      <c r="BV1399" s="25"/>
      <c r="BW1399" s="25"/>
      <c r="BX1399" s="25"/>
      <c r="BY1399" s="25"/>
      <c r="BZ1399" s="25"/>
      <c r="CA1399" s="25"/>
      <c r="CB1399" s="25"/>
    </row>
    <row r="1400" spans="1:80" ht="12.75" hidden="1" customHeight="1">
      <c r="A1400" s="10">
        <f ca="1">IFERROR(__xludf.DUMMYFUNCTION("""COMPUTED_VALUE"""),2020)</f>
        <v>2020</v>
      </c>
      <c r="B1400" s="50">
        <f ca="1">IFERROR(__xludf.DUMMYFUNCTION("""COMPUTED_VALUE"""),43984)</f>
        <v>43984</v>
      </c>
      <c r="C1400" s="41">
        <f ca="1">IFERROR(__xludf.DUMMYFUNCTION("""COMPUTED_VALUE"""),43986)</f>
        <v>43986</v>
      </c>
      <c r="D1400" s="42" t="str">
        <f ca="1">IFERROR(__xludf.DUMMYFUNCTION("""COMPUTED_VALUE"""),"Nightjar")</f>
        <v>Nightjar</v>
      </c>
      <c r="E1400" s="53">
        <f ca="1">IFERROR(__xludf.DUMMYFUNCTION("""COMPUTED_VALUE"""),2)</f>
        <v>2</v>
      </c>
      <c r="F1400" s="15"/>
      <c r="G1400" s="44" t="str">
        <f ca="1">IFERROR(__xludf.DUMMYFUNCTION("""COMPUTED_VALUE"""),"Primrose Hill, Delamere")</f>
        <v>Primrose Hill, Delamere</v>
      </c>
      <c r="H1400" s="12">
        <f ca="1">IFERROR(__xludf.DUMMYFUNCTION("""COMPUTED_VALUE"""),43983)</f>
        <v>43983</v>
      </c>
      <c r="I1400" s="13"/>
      <c r="J1400" s="14" t="str">
        <f ca="1">IFERROR(__xludf.DUMMYFUNCTION("""COMPUTED_VALUE"""),"Baker, G")</f>
        <v>Baker, G</v>
      </c>
      <c r="K1400" s="15" t="str">
        <f ca="1">IFERROR(__xludf.DUMMYFUNCTION("""COMPUTED_VALUE"""),"Baker, G")</f>
        <v>Baker, G</v>
      </c>
      <c r="L1400" s="17" t="str">
        <f ca="1">IFERROR(__xludf.DUMMYFUNCTION("""COMPUTED_VALUE"""),"closed")</f>
        <v>closed</v>
      </c>
      <c r="M1400" s="17" t="str">
        <f ca="1">IFERROR(__xludf.DUMMYFUNCTION("""COMPUTED_VALUE"""),"1st u")</f>
        <v>1st u</v>
      </c>
      <c r="N1400" s="15" t="str">
        <f ca="1">IFERROR(__xludf.DUMMYFUNCTION("""COMPUTED_VALUE"""),"accepted")</f>
        <v>accepted</v>
      </c>
      <c r="O1400" s="18"/>
      <c r="P1400" s="15"/>
      <c r="Q1400" s="15"/>
      <c r="R1400" s="15"/>
      <c r="S1400" s="15"/>
      <c r="T1400" s="15"/>
      <c r="U1400" s="15"/>
      <c r="V1400" s="15"/>
      <c r="W1400" s="15"/>
      <c r="X1400" s="15"/>
      <c r="Y1400" s="15"/>
      <c r="Z1400" s="15"/>
      <c r="AA1400" s="15"/>
      <c r="AB1400" s="15"/>
      <c r="AC1400" s="15"/>
      <c r="AD1400" s="15"/>
      <c r="AE1400" s="15"/>
      <c r="AF1400" s="15"/>
      <c r="AG1400" s="15"/>
      <c r="AH1400" s="15"/>
      <c r="AI1400" s="15"/>
      <c r="AJ1400" s="15"/>
      <c r="AK1400" s="15"/>
      <c r="AL1400" s="15"/>
      <c r="AM1400" s="15"/>
      <c r="AN1400" s="15"/>
      <c r="AO1400" s="15"/>
      <c r="AP1400" s="15"/>
      <c r="AQ1400" s="15"/>
      <c r="AR1400" s="15"/>
      <c r="AS1400" s="15"/>
      <c r="AT1400" s="15"/>
      <c r="AU1400" s="15"/>
      <c r="AV1400" s="15"/>
      <c r="AW1400" s="15"/>
      <c r="AX1400" s="15"/>
      <c r="AY1400" s="15"/>
      <c r="AZ1400" s="15"/>
      <c r="BA1400" s="15"/>
      <c r="BB1400" s="15"/>
      <c r="BC1400" s="15"/>
      <c r="BD1400" s="15"/>
      <c r="BE1400" s="15"/>
      <c r="BF1400" s="15"/>
      <c r="BG1400" s="15"/>
      <c r="BH1400" s="15"/>
      <c r="BI1400" s="15"/>
      <c r="BJ1400" s="15"/>
      <c r="BK1400" s="15"/>
      <c r="BL1400" s="15"/>
      <c r="BM1400" s="15"/>
      <c r="BN1400" s="15"/>
      <c r="BO1400" s="15"/>
      <c r="BP1400" s="15"/>
      <c r="BQ1400" s="15"/>
      <c r="BR1400" s="15"/>
      <c r="BS1400" s="15"/>
      <c r="BT1400" s="15"/>
      <c r="BU1400" s="15"/>
      <c r="BV1400" s="15"/>
      <c r="BW1400" s="15"/>
      <c r="BX1400" s="15"/>
      <c r="BY1400" s="15"/>
      <c r="BZ1400" s="15"/>
      <c r="CA1400" s="15"/>
      <c r="CB1400" s="15"/>
    </row>
    <row r="1401" spans="1:80" ht="12.75" hidden="1" customHeight="1">
      <c r="A1401" s="20">
        <f ca="1">IFERROR(__xludf.DUMMYFUNCTION("""COMPUTED_VALUE"""),2020)</f>
        <v>2020</v>
      </c>
      <c r="B1401" s="45">
        <f ca="1">IFERROR(__xludf.DUMMYFUNCTION("""COMPUTED_VALUE"""),44572)</f>
        <v>44572</v>
      </c>
      <c r="C1401" s="46"/>
      <c r="D1401" s="47" t="str">
        <f ca="1">IFERROR(__xludf.DUMMYFUNCTION("""COMPUTED_VALUE"""),"Corncrake")</f>
        <v>Corncrake</v>
      </c>
      <c r="E1401" s="52">
        <f ca="1">IFERROR(__xludf.DUMMYFUNCTION("""COMPUTED_VALUE"""),1)</f>
        <v>1</v>
      </c>
      <c r="F1401" s="25"/>
      <c r="G1401" s="48" t="str">
        <f ca="1">IFERROR(__xludf.DUMMYFUNCTION("""COMPUTED_VALUE"""),"Burton Mere Wetlands RSPB")</f>
        <v>Burton Mere Wetlands RSPB</v>
      </c>
      <c r="H1401" s="22">
        <f ca="1">IFERROR(__xludf.DUMMYFUNCTION("""COMPUTED_VALUE"""),44003)</f>
        <v>44003</v>
      </c>
      <c r="I1401" s="22"/>
      <c r="J1401" s="24"/>
      <c r="K1401" s="25"/>
      <c r="L1401" s="27" t="str">
        <f ca="1">IFERROR(__xludf.DUMMYFUNCTION("""COMPUTED_VALUE"""),"Check")</f>
        <v>Check</v>
      </c>
      <c r="M1401" s="27"/>
      <c r="N1401" s="25" t="str">
        <f ca="1">IFERROR(__xludf.DUMMYFUNCTION("""COMPUTED_VALUE"""),"Check")</f>
        <v>Check</v>
      </c>
      <c r="O1401" s="28"/>
      <c r="P1401" s="25"/>
      <c r="Q1401" s="25"/>
      <c r="R1401" s="25"/>
      <c r="S1401" s="25"/>
      <c r="T1401" s="25"/>
      <c r="U1401" s="25"/>
      <c r="V1401" s="25"/>
      <c r="W1401" s="25"/>
      <c r="X1401" s="25"/>
      <c r="Y1401" s="25"/>
      <c r="Z1401" s="25"/>
      <c r="AA1401" s="25"/>
      <c r="AB1401" s="25"/>
      <c r="AC1401" s="25"/>
      <c r="AD1401" s="25"/>
      <c r="AE1401" s="25"/>
      <c r="AF1401" s="25"/>
      <c r="AG1401" s="25"/>
      <c r="AH1401" s="25"/>
      <c r="AI1401" s="25"/>
      <c r="AJ1401" s="25"/>
      <c r="AK1401" s="25"/>
      <c r="AL1401" s="25"/>
      <c r="AM1401" s="25"/>
      <c r="AN1401" s="25"/>
      <c r="AO1401" s="25"/>
      <c r="AP1401" s="25"/>
      <c r="AQ1401" s="25"/>
      <c r="AR1401" s="25"/>
      <c r="AS1401" s="25"/>
      <c r="AT1401" s="25"/>
      <c r="AU1401" s="25"/>
      <c r="AV1401" s="25"/>
      <c r="AW1401" s="25"/>
      <c r="AX1401" s="25"/>
      <c r="AY1401" s="25"/>
      <c r="AZ1401" s="25"/>
      <c r="BA1401" s="25"/>
      <c r="BB1401" s="25"/>
      <c r="BC1401" s="25"/>
      <c r="BD1401" s="25"/>
      <c r="BE1401" s="25"/>
      <c r="BF1401" s="25"/>
      <c r="BG1401" s="25"/>
      <c r="BH1401" s="25"/>
      <c r="BI1401" s="25"/>
      <c r="BJ1401" s="25"/>
      <c r="BK1401" s="25"/>
      <c r="BL1401" s="25"/>
      <c r="BM1401" s="25"/>
      <c r="BN1401" s="25"/>
      <c r="BO1401" s="25"/>
      <c r="BP1401" s="25"/>
      <c r="BQ1401" s="25"/>
      <c r="BR1401" s="25"/>
      <c r="BS1401" s="25"/>
      <c r="BT1401" s="25"/>
      <c r="BU1401" s="25"/>
      <c r="BV1401" s="25"/>
      <c r="BW1401" s="25"/>
      <c r="BX1401" s="25"/>
      <c r="BY1401" s="25"/>
      <c r="BZ1401" s="25"/>
      <c r="CA1401" s="25"/>
      <c r="CB1401" s="25"/>
    </row>
    <row r="1402" spans="1:80" ht="12.75" hidden="1" customHeight="1">
      <c r="A1402" s="10">
        <f ca="1">IFERROR(__xludf.DUMMYFUNCTION("""COMPUTED_VALUE"""),2020)</f>
        <v>2020</v>
      </c>
      <c r="B1402" s="50">
        <f ca="1">IFERROR(__xludf.DUMMYFUNCTION("""COMPUTED_VALUE"""),44606)</f>
        <v>44606</v>
      </c>
      <c r="C1402" s="41"/>
      <c r="D1402" s="42" t="str">
        <f ca="1">IFERROR(__xludf.DUMMYFUNCTION("""COMPUTED_VALUE"""),"Spotted Crake")</f>
        <v>Spotted Crake</v>
      </c>
      <c r="E1402" s="53" t="str">
        <f ca="1">IFERROR(__xludf.DUMMYFUNCTION("""COMPUTED_VALUE"""),"1-2")</f>
        <v>1-2</v>
      </c>
      <c r="F1402" s="15"/>
      <c r="G1402" s="44" t="str">
        <f ca="1">IFERROR(__xludf.DUMMYFUNCTION("""COMPUTED_VALUE"""),"Burton Mere Wetlands RSPB")</f>
        <v>Burton Mere Wetlands RSPB</v>
      </c>
      <c r="H1402" s="12">
        <f ca="1">IFERROR(__xludf.DUMMYFUNCTION("""COMPUTED_VALUE"""),44053)</f>
        <v>44053</v>
      </c>
      <c r="I1402" s="12">
        <f ca="1">IFERROR(__xludf.DUMMYFUNCTION("""COMPUTED_VALUE"""),44110)</f>
        <v>44110</v>
      </c>
      <c r="J1402" s="14" t="str">
        <f ca="1">IFERROR(__xludf.DUMMYFUNCTION("""COMPUTED_VALUE"""),"County Recorder")</f>
        <v>County Recorder</v>
      </c>
      <c r="K1402" s="15" t="str">
        <f ca="1">IFERROR(__xludf.DUMMYFUNCTION("""COMPUTED_VALUE"""),"unknown")</f>
        <v>unknown</v>
      </c>
      <c r="L1402" s="17" t="str">
        <f ca="1">IFERROR(__xludf.DUMMYFUNCTION("""COMPUTED_VALUE"""),"closed")</f>
        <v>closed</v>
      </c>
      <c r="M1402" s="17"/>
      <c r="N1402" s="15" t="str">
        <f ca="1">IFERROR(__xludf.DUMMYFUNCTION("""COMPUTED_VALUE"""),"accepted w/o circ")</f>
        <v>accepted w/o circ</v>
      </c>
      <c r="O1402" s="18"/>
      <c r="P1402" s="15"/>
      <c r="Q1402" s="15"/>
      <c r="R1402" s="15"/>
      <c r="S1402" s="15"/>
      <c r="T1402" s="15"/>
      <c r="U1402" s="15"/>
      <c r="V1402" s="15"/>
      <c r="W1402" s="15"/>
      <c r="X1402" s="15"/>
      <c r="Y1402" s="15"/>
      <c r="Z1402" s="15"/>
      <c r="AA1402" s="15"/>
      <c r="AB1402" s="15"/>
      <c r="AC1402" s="15"/>
      <c r="AD1402" s="15"/>
      <c r="AE1402" s="15"/>
      <c r="AF1402" s="15"/>
      <c r="AG1402" s="15"/>
      <c r="AH1402" s="15"/>
      <c r="AI1402" s="15"/>
      <c r="AJ1402" s="15"/>
      <c r="AK1402" s="15"/>
      <c r="AL1402" s="15"/>
      <c r="AM1402" s="15"/>
      <c r="AN1402" s="15"/>
      <c r="AO1402" s="15"/>
      <c r="AP1402" s="15"/>
      <c r="AQ1402" s="15"/>
      <c r="AR1402" s="15"/>
      <c r="AS1402" s="15"/>
      <c r="AT1402" s="15"/>
      <c r="AU1402" s="15"/>
      <c r="AV1402" s="15"/>
      <c r="AW1402" s="15"/>
      <c r="AX1402" s="15"/>
      <c r="AY1402" s="15"/>
      <c r="AZ1402" s="15"/>
      <c r="BA1402" s="15"/>
      <c r="BB1402" s="15"/>
      <c r="BC1402" s="15"/>
      <c r="BD1402" s="15"/>
      <c r="BE1402" s="15"/>
      <c r="BF1402" s="15"/>
      <c r="BG1402" s="15"/>
      <c r="BH1402" s="15"/>
      <c r="BI1402" s="15"/>
      <c r="BJ1402" s="15"/>
      <c r="BK1402" s="15"/>
      <c r="BL1402" s="15"/>
      <c r="BM1402" s="15"/>
      <c r="BN1402" s="15"/>
      <c r="BO1402" s="15"/>
      <c r="BP1402" s="15"/>
      <c r="BQ1402" s="15"/>
      <c r="BR1402" s="15"/>
      <c r="BS1402" s="15"/>
      <c r="BT1402" s="15"/>
      <c r="BU1402" s="15"/>
      <c r="BV1402" s="15"/>
      <c r="BW1402" s="15"/>
      <c r="BX1402" s="15"/>
      <c r="BY1402" s="15"/>
      <c r="BZ1402" s="15"/>
      <c r="CA1402" s="15"/>
      <c r="CB1402" s="15"/>
    </row>
    <row r="1403" spans="1:80" ht="12.75" hidden="1" customHeight="1">
      <c r="A1403" s="20">
        <f ca="1">IFERROR(__xludf.DUMMYFUNCTION("""COMPUTED_VALUE"""),2020)</f>
        <v>2020</v>
      </c>
      <c r="B1403" s="45">
        <f ca="1">IFERROR(__xludf.DUMMYFUNCTION("""COMPUTED_VALUE"""),40751)</f>
        <v>40751</v>
      </c>
      <c r="C1403" s="46">
        <f ca="1">IFERROR(__xludf.DUMMYFUNCTION("""COMPUTED_VALUE"""),40751)</f>
        <v>40751</v>
      </c>
      <c r="D1403" s="47" t="str">
        <f ca="1">IFERROR(__xludf.DUMMYFUNCTION("""COMPUTED_VALUE"""),"Slavonian Grebe")</f>
        <v>Slavonian Grebe</v>
      </c>
      <c r="E1403" s="52">
        <f ca="1">IFERROR(__xludf.DUMMYFUNCTION("""COMPUTED_VALUE"""),1)</f>
        <v>1</v>
      </c>
      <c r="F1403" s="25"/>
      <c r="G1403" s="48" t="str">
        <f ca="1">IFERROR(__xludf.DUMMYFUNCTION("""COMPUTED_VALUE"""),"Wigg Island Community Park (Wigg Island, Runcorn)")</f>
        <v>Wigg Island Community Park (Wigg Island, Runcorn)</v>
      </c>
      <c r="H1403" s="22">
        <f ca="1">IFERROR(__xludf.DUMMYFUNCTION("""COMPUTED_VALUE"""),43842)</f>
        <v>43842</v>
      </c>
      <c r="I1403" s="23"/>
      <c r="J1403" s="24" t="str">
        <f ca="1">IFERROR(__xludf.DUMMYFUNCTION("""COMPUTED_VALUE"""),"Turner, JE")</f>
        <v>Turner, JE</v>
      </c>
      <c r="K1403" s="25" t="str">
        <f ca="1">IFERROR(__xludf.DUMMYFUNCTION("""COMPUTED_VALUE"""),"Turner, JE")</f>
        <v>Turner, JE</v>
      </c>
      <c r="L1403" s="27" t="str">
        <f ca="1">IFERROR(__xludf.DUMMYFUNCTION("""COMPUTED_VALUE"""),"closed")</f>
        <v>closed</v>
      </c>
      <c r="M1403" s="27" t="str">
        <f ca="1">IFERROR(__xludf.DUMMYFUNCTION("""COMPUTED_VALUE"""),"1st U")</f>
        <v>1st U</v>
      </c>
      <c r="N1403" s="25" t="str">
        <f ca="1">IFERROR(__xludf.DUMMYFUNCTION("""COMPUTED_VALUE"""),"accepted")</f>
        <v>accepted</v>
      </c>
      <c r="O1403" s="28" t="str">
        <f ca="1">IFERROR(__xludf.DUMMYFUNCTION("""COMPUTED_VALUE"""),"Photo by Tom Banks, plucked off birdforum  don't put my initials on it please - jane")</f>
        <v>Photo by Tom Banks, plucked off birdforum  don't put my initials on it please - jane</v>
      </c>
      <c r="P1403" s="25"/>
      <c r="Q1403" s="25"/>
      <c r="R1403" s="25"/>
      <c r="S1403" s="25"/>
      <c r="T1403" s="25"/>
      <c r="U1403" s="25"/>
      <c r="V1403" s="25"/>
      <c r="W1403" s="25"/>
      <c r="X1403" s="25"/>
      <c r="Y1403" s="25"/>
      <c r="Z1403" s="25"/>
      <c r="AA1403" s="25"/>
      <c r="AB1403" s="25"/>
      <c r="AC1403" s="25"/>
      <c r="AD1403" s="25"/>
      <c r="AE1403" s="25"/>
      <c r="AF1403" s="25"/>
      <c r="AG1403" s="25"/>
      <c r="AH1403" s="25"/>
      <c r="AI1403" s="25"/>
      <c r="AJ1403" s="25"/>
      <c r="AK1403" s="25"/>
      <c r="AL1403" s="25"/>
      <c r="AM1403" s="25"/>
      <c r="AN1403" s="25"/>
      <c r="AO1403" s="25"/>
      <c r="AP1403" s="25"/>
      <c r="AQ1403" s="25"/>
      <c r="AR1403" s="25"/>
      <c r="AS1403" s="25"/>
      <c r="AT1403" s="25"/>
      <c r="AU1403" s="25"/>
      <c r="AV1403" s="25"/>
      <c r="AW1403" s="25"/>
      <c r="AX1403" s="25"/>
      <c r="AY1403" s="25"/>
      <c r="AZ1403" s="25"/>
      <c r="BA1403" s="25"/>
      <c r="BB1403" s="25"/>
      <c r="BC1403" s="25"/>
      <c r="BD1403" s="25"/>
      <c r="BE1403" s="25"/>
      <c r="BF1403" s="25"/>
      <c r="BG1403" s="25"/>
      <c r="BH1403" s="25"/>
      <c r="BI1403" s="25"/>
      <c r="BJ1403" s="25"/>
      <c r="BK1403" s="25"/>
      <c r="BL1403" s="25"/>
      <c r="BM1403" s="25"/>
      <c r="BN1403" s="25"/>
      <c r="BO1403" s="25"/>
      <c r="BP1403" s="25"/>
      <c r="BQ1403" s="25"/>
      <c r="BR1403" s="25"/>
      <c r="BS1403" s="25"/>
      <c r="BT1403" s="25"/>
      <c r="BU1403" s="25"/>
      <c r="BV1403" s="25"/>
      <c r="BW1403" s="25"/>
      <c r="BX1403" s="25"/>
      <c r="BY1403" s="25"/>
      <c r="BZ1403" s="25"/>
      <c r="CA1403" s="25"/>
      <c r="CB1403" s="25"/>
    </row>
    <row r="1404" spans="1:80" ht="12.75" hidden="1" customHeight="1">
      <c r="A1404" s="10">
        <f ca="1">IFERROR(__xludf.DUMMYFUNCTION("""COMPUTED_VALUE"""),2020)</f>
        <v>2020</v>
      </c>
      <c r="B1404" s="50">
        <f ca="1">IFERROR(__xludf.DUMMYFUNCTION("""COMPUTED_VALUE"""),44606)</f>
        <v>44606</v>
      </c>
      <c r="C1404" s="41"/>
      <c r="D1404" s="42" t="str">
        <f ca="1">IFERROR(__xludf.DUMMYFUNCTION("""COMPUTED_VALUE"""),"Slavonian Grebe")</f>
        <v>Slavonian Grebe</v>
      </c>
      <c r="E1404" s="53" t="str">
        <f ca="1">IFERROR(__xludf.DUMMYFUNCTION("""COMPUTED_VALUE"""),"1-2")</f>
        <v>1-2</v>
      </c>
      <c r="F1404" s="15"/>
      <c r="G1404" s="44" t="str">
        <f ca="1">IFERROR(__xludf.DUMMYFUNCTION("""COMPUTED_VALUE"""),"Hilbre")</f>
        <v>Hilbre</v>
      </c>
      <c r="H1404" s="12">
        <f ca="1">IFERROR(__xludf.DUMMYFUNCTION("""COMPUTED_VALUE"""),43853)</f>
        <v>43853</v>
      </c>
      <c r="I1404" s="12">
        <f ca="1">IFERROR(__xludf.DUMMYFUNCTION("""COMPUTED_VALUE"""),43859)</f>
        <v>43859</v>
      </c>
      <c r="J1404" s="14"/>
      <c r="K1404" s="15"/>
      <c r="L1404" s="17" t="str">
        <f ca="1">IFERROR(__xludf.DUMMYFUNCTION("""COMPUTED_VALUE"""),"limbo")</f>
        <v>limbo</v>
      </c>
      <c r="M1404" s="17"/>
      <c r="N1404" s="15" t="str">
        <f ca="1">IFERROR(__xludf.DUMMYFUNCTION("""COMPUTED_VALUE"""),"not submitted")</f>
        <v>not submitted</v>
      </c>
      <c r="O1404" s="18"/>
      <c r="P1404" s="15"/>
      <c r="Q1404" s="15"/>
      <c r="R1404" s="15"/>
      <c r="S1404" s="15"/>
      <c r="T1404" s="15"/>
      <c r="U1404" s="15"/>
      <c r="V1404" s="15"/>
      <c r="W1404" s="15"/>
      <c r="X1404" s="15"/>
      <c r="Y1404" s="15"/>
      <c r="Z1404" s="15"/>
      <c r="AA1404" s="15"/>
      <c r="AB1404" s="15"/>
      <c r="AC1404" s="15"/>
      <c r="AD1404" s="15"/>
      <c r="AE1404" s="15"/>
      <c r="AF1404" s="15"/>
      <c r="AG1404" s="15"/>
      <c r="AH1404" s="15"/>
      <c r="AI1404" s="15"/>
      <c r="AJ1404" s="15"/>
      <c r="AK1404" s="15"/>
      <c r="AL1404" s="15"/>
      <c r="AM1404" s="15"/>
      <c r="AN1404" s="15"/>
      <c r="AO1404" s="15"/>
      <c r="AP1404" s="15"/>
      <c r="AQ1404" s="15"/>
      <c r="AR1404" s="15"/>
      <c r="AS1404" s="15"/>
      <c r="AT1404" s="15"/>
      <c r="AU1404" s="15"/>
      <c r="AV1404" s="15"/>
      <c r="AW1404" s="15"/>
      <c r="AX1404" s="15"/>
      <c r="AY1404" s="15"/>
      <c r="AZ1404" s="15"/>
      <c r="BA1404" s="15"/>
      <c r="BB1404" s="15"/>
      <c r="BC1404" s="15"/>
      <c r="BD1404" s="15"/>
      <c r="BE1404" s="15"/>
      <c r="BF1404" s="15"/>
      <c r="BG1404" s="15"/>
      <c r="BH1404" s="15"/>
      <c r="BI1404" s="15"/>
      <c r="BJ1404" s="15"/>
      <c r="BK1404" s="15"/>
      <c r="BL1404" s="15"/>
      <c r="BM1404" s="15"/>
      <c r="BN1404" s="15"/>
      <c r="BO1404" s="15"/>
      <c r="BP1404" s="15"/>
      <c r="BQ1404" s="15"/>
      <c r="BR1404" s="15"/>
      <c r="BS1404" s="15"/>
      <c r="BT1404" s="15"/>
      <c r="BU1404" s="15"/>
      <c r="BV1404" s="15"/>
      <c r="BW1404" s="15"/>
      <c r="BX1404" s="15"/>
      <c r="BY1404" s="15"/>
      <c r="BZ1404" s="15"/>
      <c r="CA1404" s="15"/>
      <c r="CB1404" s="15"/>
    </row>
    <row r="1405" spans="1:80" ht="12.75" hidden="1" customHeight="1">
      <c r="A1405" s="20">
        <f ca="1">IFERROR(__xludf.DUMMYFUNCTION("""COMPUTED_VALUE"""),2020)</f>
        <v>2020</v>
      </c>
      <c r="B1405" s="45">
        <f ca="1">IFERROR(__xludf.DUMMYFUNCTION("""COMPUTED_VALUE"""),44576)</f>
        <v>44576</v>
      </c>
      <c r="C1405" s="46"/>
      <c r="D1405" s="47" t="str">
        <f ca="1">IFERROR(__xludf.DUMMYFUNCTION("""COMPUTED_VALUE"""),"Pectoral Sandpiper")</f>
        <v>Pectoral Sandpiper</v>
      </c>
      <c r="E1405" s="52">
        <f ca="1">IFERROR(__xludf.DUMMYFUNCTION("""COMPUTED_VALUE"""),1)</f>
        <v>1</v>
      </c>
      <c r="F1405" s="25" t="str">
        <f ca="1">IFERROR(__xludf.DUMMYFUNCTION("""COMPUTED_VALUE"""),"ad")</f>
        <v>ad</v>
      </c>
      <c r="G1405" s="48" t="str">
        <f ca="1">IFERROR(__xludf.DUMMYFUNCTION("""COMPUTED_VALUE"""),"Frodsham No 3 Tank")</f>
        <v>Frodsham No 3 Tank</v>
      </c>
      <c r="H1405" s="22">
        <f ca="1">IFERROR(__xludf.DUMMYFUNCTION("""COMPUTED_VALUE"""),43939)</f>
        <v>43939</v>
      </c>
      <c r="I1405" s="22">
        <f ca="1">IFERROR(__xludf.DUMMYFUNCTION("""COMPUTED_VALUE"""),43941)</f>
        <v>43941</v>
      </c>
      <c r="J1405" s="24" t="str">
        <f ca="1">IFERROR(__xludf.DUMMYFUNCTION("""COMPUTED_VALUE"""),"County recorder")</f>
        <v>County recorder</v>
      </c>
      <c r="K1405" s="25" t="str">
        <f ca="1">IFERROR(__xludf.DUMMYFUNCTION("""COMPUTED_VALUE"""),"Morton, W")</f>
        <v>Morton, W</v>
      </c>
      <c r="L1405" s="27" t="str">
        <f ca="1">IFERROR(__xludf.DUMMYFUNCTION("""COMPUTED_VALUE"""),"closed")</f>
        <v>closed</v>
      </c>
      <c r="M1405" s="27" t="str">
        <f ca="1">IFERROR(__xludf.DUMMYFUNCTION("""COMPUTED_VALUE"""),"photo")</f>
        <v>photo</v>
      </c>
      <c r="N1405" s="25" t="str">
        <f ca="1">IFERROR(__xludf.DUMMYFUNCTION("""COMPUTED_VALUE"""),"accepted w/o circ")</f>
        <v>accepted w/o circ</v>
      </c>
      <c r="O1405" s="28"/>
      <c r="P1405" s="25"/>
      <c r="Q1405" s="25"/>
      <c r="R1405" s="25"/>
      <c r="S1405" s="25"/>
      <c r="T1405" s="25"/>
      <c r="U1405" s="25"/>
      <c r="V1405" s="25"/>
      <c r="W1405" s="25"/>
      <c r="X1405" s="25"/>
      <c r="Y1405" s="25"/>
      <c r="Z1405" s="25"/>
      <c r="AA1405" s="25"/>
      <c r="AB1405" s="25"/>
      <c r="AC1405" s="25"/>
      <c r="AD1405" s="25"/>
      <c r="AE1405" s="25"/>
      <c r="AF1405" s="25"/>
      <c r="AG1405" s="25"/>
      <c r="AH1405" s="25"/>
      <c r="AI1405" s="25"/>
      <c r="AJ1405" s="25"/>
      <c r="AK1405" s="25"/>
      <c r="AL1405" s="25"/>
      <c r="AM1405" s="25"/>
      <c r="AN1405" s="25"/>
      <c r="AO1405" s="25"/>
      <c r="AP1405" s="25"/>
      <c r="AQ1405" s="25"/>
      <c r="AR1405" s="25"/>
      <c r="AS1405" s="25"/>
      <c r="AT1405" s="25"/>
      <c r="AU1405" s="25"/>
      <c r="AV1405" s="25"/>
      <c r="AW1405" s="25"/>
      <c r="AX1405" s="25"/>
      <c r="AY1405" s="25"/>
      <c r="AZ1405" s="25"/>
      <c r="BA1405" s="25"/>
      <c r="BB1405" s="25"/>
      <c r="BC1405" s="25"/>
      <c r="BD1405" s="25"/>
      <c r="BE1405" s="25"/>
      <c r="BF1405" s="25"/>
      <c r="BG1405" s="25"/>
      <c r="BH1405" s="25"/>
      <c r="BI1405" s="25"/>
      <c r="BJ1405" s="25"/>
      <c r="BK1405" s="25"/>
      <c r="BL1405" s="25"/>
      <c r="BM1405" s="25"/>
      <c r="BN1405" s="25"/>
      <c r="BO1405" s="25"/>
      <c r="BP1405" s="25"/>
      <c r="BQ1405" s="25"/>
      <c r="BR1405" s="25"/>
      <c r="BS1405" s="25"/>
      <c r="BT1405" s="25"/>
      <c r="BU1405" s="25"/>
      <c r="BV1405" s="25"/>
      <c r="BW1405" s="25"/>
      <c r="BX1405" s="25"/>
      <c r="BY1405" s="25"/>
      <c r="BZ1405" s="25"/>
      <c r="CA1405" s="25"/>
      <c r="CB1405" s="25"/>
    </row>
    <row r="1406" spans="1:80" ht="12.75" hidden="1" customHeight="1">
      <c r="A1406" s="10">
        <f ca="1">IFERROR(__xludf.DUMMYFUNCTION("""COMPUTED_VALUE"""),2020)</f>
        <v>2020</v>
      </c>
      <c r="B1406" s="50">
        <f ca="1">IFERROR(__xludf.DUMMYFUNCTION("""COMPUTED_VALUE"""),44576)</f>
        <v>44576</v>
      </c>
      <c r="C1406" s="41"/>
      <c r="D1406" s="42" t="str">
        <f ca="1">IFERROR(__xludf.DUMMYFUNCTION("""COMPUTED_VALUE"""),"Pectoral Sandpiper")</f>
        <v>Pectoral Sandpiper</v>
      </c>
      <c r="E1406" s="53">
        <f ca="1">IFERROR(__xludf.DUMMYFUNCTION("""COMPUTED_VALUE"""),1)</f>
        <v>1</v>
      </c>
      <c r="F1406" s="15"/>
      <c r="G1406" s="44" t="str">
        <f ca="1">IFERROR(__xludf.DUMMYFUNCTION("""COMPUTED_VALUE"""),"Frodsham Marsh")</f>
        <v>Frodsham Marsh</v>
      </c>
      <c r="H1406" s="12">
        <f ca="1">IFERROR(__xludf.DUMMYFUNCTION("""COMPUTED_VALUE"""),43957)</f>
        <v>43957</v>
      </c>
      <c r="I1406" s="13"/>
      <c r="J1406" s="14" t="str">
        <f ca="1">IFERROR(__xludf.DUMMYFUNCTION("""COMPUTED_VALUE"""),"Birdguides")</f>
        <v>Birdguides</v>
      </c>
      <c r="K1406" s="15"/>
      <c r="L1406" s="17" t="str">
        <f ca="1">IFERROR(__xludf.DUMMYFUNCTION("""COMPUTED_VALUE"""),"limbo")</f>
        <v>limbo</v>
      </c>
      <c r="M1406" s="17"/>
      <c r="N1406" s="15" t="str">
        <f ca="1">IFERROR(__xludf.DUMMYFUNCTION("""COMPUTED_VALUE"""),"not submitted")</f>
        <v>not submitted</v>
      </c>
      <c r="O1406" s="18"/>
      <c r="P1406" s="58"/>
      <c r="Q1406" s="15"/>
      <c r="R1406" s="58"/>
      <c r="S1406" s="15"/>
      <c r="T1406" s="15"/>
      <c r="U1406" s="15"/>
      <c r="V1406" s="15"/>
      <c r="W1406" s="15"/>
      <c r="X1406" s="15"/>
      <c r="Y1406" s="15"/>
      <c r="Z1406" s="15"/>
      <c r="AA1406" s="15"/>
      <c r="AB1406" s="15"/>
      <c r="AC1406" s="15"/>
      <c r="AD1406" s="15"/>
      <c r="AE1406" s="15"/>
      <c r="AF1406" s="15"/>
      <c r="AG1406" s="15"/>
      <c r="AH1406" s="15"/>
      <c r="AI1406" s="15"/>
      <c r="AJ1406" s="15"/>
      <c r="AK1406" s="15"/>
      <c r="AL1406" s="15"/>
      <c r="AM1406" s="15"/>
      <c r="AN1406" s="15"/>
      <c r="AO1406" s="15"/>
      <c r="AP1406" s="15"/>
      <c r="AQ1406" s="15"/>
      <c r="AR1406" s="15"/>
      <c r="AS1406" s="15"/>
      <c r="AT1406" s="15"/>
      <c r="AU1406" s="15"/>
      <c r="AV1406" s="15"/>
      <c r="AW1406" s="15"/>
      <c r="AX1406" s="15"/>
      <c r="AY1406" s="15"/>
      <c r="AZ1406" s="15"/>
      <c r="BA1406" s="15"/>
      <c r="BB1406" s="15"/>
      <c r="BC1406" s="15"/>
      <c r="BD1406" s="15"/>
      <c r="BE1406" s="15"/>
      <c r="BF1406" s="15"/>
      <c r="BG1406" s="15"/>
      <c r="BH1406" s="15"/>
      <c r="BI1406" s="15"/>
      <c r="BJ1406" s="15"/>
      <c r="BK1406" s="15"/>
      <c r="BL1406" s="15"/>
      <c r="BM1406" s="15"/>
      <c r="BN1406" s="15"/>
      <c r="BO1406" s="15"/>
      <c r="BP1406" s="15"/>
      <c r="BQ1406" s="15"/>
      <c r="BR1406" s="15"/>
      <c r="BS1406" s="15"/>
      <c r="BT1406" s="15"/>
      <c r="BU1406" s="15"/>
      <c r="BV1406" s="15"/>
      <c r="BW1406" s="15"/>
      <c r="BX1406" s="15"/>
      <c r="BY1406" s="15"/>
      <c r="BZ1406" s="15"/>
      <c r="CA1406" s="15"/>
      <c r="CB1406" s="15"/>
    </row>
    <row r="1407" spans="1:80" ht="12.75" hidden="1" customHeight="1">
      <c r="A1407" s="20">
        <f ca="1">IFERROR(__xludf.DUMMYFUNCTION("""COMPUTED_VALUE"""),2020)</f>
        <v>2020</v>
      </c>
      <c r="B1407" s="45">
        <f ca="1">IFERROR(__xludf.DUMMYFUNCTION("""COMPUTED_VALUE"""),44576)</f>
        <v>44576</v>
      </c>
      <c r="C1407" s="46"/>
      <c r="D1407" s="47" t="str">
        <f ca="1">IFERROR(__xludf.DUMMYFUNCTION("""COMPUTED_VALUE"""),"Pectoral Sandpiper")</f>
        <v>Pectoral Sandpiper</v>
      </c>
      <c r="E1407" s="52">
        <f ca="1">IFERROR(__xludf.DUMMYFUNCTION("""COMPUTED_VALUE"""),1)</f>
        <v>1</v>
      </c>
      <c r="F1407" s="25"/>
      <c r="G1407" s="48" t="str">
        <f ca="1">IFERROR(__xludf.DUMMYFUNCTION("""COMPUTED_VALUE"""),"Burton Mere Wetlands RSPB")</f>
        <v>Burton Mere Wetlands RSPB</v>
      </c>
      <c r="H1407" s="22">
        <f ca="1">IFERROR(__xludf.DUMMYFUNCTION("""COMPUTED_VALUE"""),44101)</f>
        <v>44101</v>
      </c>
      <c r="I1407" s="22">
        <f ca="1">IFERROR(__xludf.DUMMYFUNCTION("""COMPUTED_VALUE"""),44084)</f>
        <v>44084</v>
      </c>
      <c r="J1407" s="24"/>
      <c r="K1407" s="25"/>
      <c r="L1407" s="27" t="str">
        <f ca="1">IFERROR(__xludf.DUMMYFUNCTION("""COMPUTED_VALUE"""),"check")</f>
        <v>check</v>
      </c>
      <c r="M1407" s="27"/>
      <c r="N1407" s="25" t="str">
        <f ca="1">IFERROR(__xludf.DUMMYFUNCTION("""COMPUTED_VALUE"""),"Check")</f>
        <v>Check</v>
      </c>
      <c r="O1407" s="28"/>
      <c r="P1407" s="25"/>
      <c r="Q1407" s="25"/>
      <c r="R1407" s="25"/>
      <c r="S1407" s="25"/>
      <c r="T1407" s="25"/>
      <c r="U1407" s="25"/>
      <c r="V1407" s="25"/>
      <c r="W1407" s="25"/>
      <c r="X1407" s="25"/>
      <c r="Y1407" s="25"/>
      <c r="Z1407" s="25"/>
      <c r="AA1407" s="25"/>
      <c r="AB1407" s="25"/>
      <c r="AC1407" s="25"/>
      <c r="AD1407" s="25"/>
      <c r="AE1407" s="25"/>
      <c r="AF1407" s="25"/>
      <c r="AG1407" s="25"/>
      <c r="AH1407" s="25"/>
      <c r="AI1407" s="25"/>
      <c r="AJ1407" s="25"/>
      <c r="AK1407" s="25"/>
      <c r="AL1407" s="25"/>
      <c r="AM1407" s="25"/>
      <c r="AN1407" s="25"/>
      <c r="AO1407" s="25"/>
      <c r="AP1407" s="25"/>
      <c r="AQ1407" s="25"/>
      <c r="AR1407" s="25"/>
      <c r="AS1407" s="25"/>
      <c r="AT1407" s="25"/>
      <c r="AU1407" s="25"/>
      <c r="AV1407" s="25"/>
      <c r="AW1407" s="25"/>
      <c r="AX1407" s="25"/>
      <c r="AY1407" s="25"/>
      <c r="AZ1407" s="25"/>
      <c r="BA1407" s="25"/>
      <c r="BB1407" s="25"/>
      <c r="BC1407" s="25"/>
      <c r="BD1407" s="25"/>
      <c r="BE1407" s="25"/>
      <c r="BF1407" s="25"/>
      <c r="BG1407" s="25"/>
      <c r="BH1407" s="25"/>
      <c r="BI1407" s="25"/>
      <c r="BJ1407" s="25"/>
      <c r="BK1407" s="25"/>
      <c r="BL1407" s="25"/>
      <c r="BM1407" s="25"/>
      <c r="BN1407" s="25"/>
      <c r="BO1407" s="25"/>
      <c r="BP1407" s="25"/>
      <c r="BQ1407" s="25"/>
      <c r="BR1407" s="25"/>
      <c r="BS1407" s="25"/>
      <c r="BT1407" s="25"/>
      <c r="BU1407" s="25"/>
      <c r="BV1407" s="25"/>
      <c r="BW1407" s="25"/>
      <c r="BX1407" s="25"/>
      <c r="BY1407" s="25"/>
      <c r="BZ1407" s="25"/>
      <c r="CA1407" s="25"/>
      <c r="CB1407" s="25"/>
    </row>
    <row r="1408" spans="1:80" ht="12.75" hidden="1" customHeight="1">
      <c r="A1408" s="10">
        <f ca="1">IFERROR(__xludf.DUMMYFUNCTION("""COMPUTED_VALUE"""),2020)</f>
        <v>2020</v>
      </c>
      <c r="B1408" s="50">
        <f ca="1">IFERROR(__xludf.DUMMYFUNCTION("""COMPUTED_VALUE"""),44585)</f>
        <v>44585</v>
      </c>
      <c r="C1408" s="41"/>
      <c r="D1408" s="42" t="str">
        <f ca="1">IFERROR(__xludf.DUMMYFUNCTION("""COMPUTED_VALUE"""),"Red-necked Phalarope")</f>
        <v>Red-necked Phalarope</v>
      </c>
      <c r="E1408" s="53">
        <f ca="1">IFERROR(__xludf.DUMMYFUNCTION("""COMPUTED_VALUE"""),1)</f>
        <v>1</v>
      </c>
      <c r="F1408" s="15" t="str">
        <f ca="1">IFERROR(__xludf.DUMMYFUNCTION("""COMPUTED_VALUE"""),"fem")</f>
        <v>fem</v>
      </c>
      <c r="G1408" s="44" t="str">
        <f ca="1">IFERROR(__xludf.DUMMYFUNCTION("""COMPUTED_VALUE"""),"Frodsham Marsh")</f>
        <v>Frodsham Marsh</v>
      </c>
      <c r="H1408" s="12">
        <f ca="1">IFERROR(__xludf.DUMMYFUNCTION("""COMPUTED_VALUE"""),44010)</f>
        <v>44010</v>
      </c>
      <c r="I1408" s="12">
        <f ca="1">IFERROR(__xludf.DUMMYFUNCTION("""COMPUTED_VALUE"""),44012)</f>
        <v>44012</v>
      </c>
      <c r="J1408" s="14" t="str">
        <f ca="1">IFERROR(__xludf.DUMMYFUNCTION("""COMPUTED_VALUE"""),"County Recorder")</f>
        <v>County Recorder</v>
      </c>
      <c r="K1408" s="15" t="str">
        <f ca="1">IFERROR(__xludf.DUMMYFUNCTION("""COMPUTED_VALUE"""),"Morton, WS")</f>
        <v>Morton, WS</v>
      </c>
      <c r="L1408" s="17" t="str">
        <f ca="1">IFERROR(__xludf.DUMMYFUNCTION("""COMPUTED_VALUE"""),"closed")</f>
        <v>closed</v>
      </c>
      <c r="M1408" s="17" t="str">
        <f ca="1">IFERROR(__xludf.DUMMYFUNCTION("""COMPUTED_VALUE"""),"photo")</f>
        <v>photo</v>
      </c>
      <c r="N1408" s="15" t="str">
        <f ca="1">IFERROR(__xludf.DUMMYFUNCTION("""COMPUTED_VALUE"""),"Accepted w/o circ")</f>
        <v>Accepted w/o circ</v>
      </c>
      <c r="O1408" s="18"/>
      <c r="P1408" s="15"/>
      <c r="Q1408" s="15"/>
      <c r="R1408" s="15"/>
      <c r="S1408" s="15"/>
      <c r="T1408" s="15"/>
      <c r="U1408" s="15"/>
      <c r="V1408" s="15"/>
      <c r="W1408" s="15"/>
      <c r="X1408" s="15"/>
      <c r="Y1408" s="15"/>
      <c r="Z1408" s="15"/>
      <c r="AA1408" s="15"/>
      <c r="AB1408" s="15"/>
      <c r="AC1408" s="15"/>
      <c r="AD1408" s="15"/>
      <c r="AE1408" s="15"/>
      <c r="AF1408" s="15"/>
      <c r="AG1408" s="15"/>
      <c r="AH1408" s="15"/>
      <c r="AI1408" s="15"/>
      <c r="AJ1408" s="15"/>
      <c r="AK1408" s="15"/>
      <c r="AL1408" s="15"/>
      <c r="AM1408" s="15"/>
      <c r="AN1408" s="15"/>
      <c r="AO1408" s="15"/>
      <c r="AP1408" s="15"/>
      <c r="AQ1408" s="15"/>
      <c r="AR1408" s="15"/>
      <c r="AS1408" s="15"/>
      <c r="AT1408" s="15"/>
      <c r="AU1408" s="15"/>
      <c r="AV1408" s="15"/>
      <c r="AW1408" s="15"/>
      <c r="AX1408" s="15"/>
      <c r="AY1408" s="15"/>
      <c r="AZ1408" s="15"/>
      <c r="BA1408" s="15"/>
      <c r="BB1408" s="15"/>
      <c r="BC1408" s="15"/>
      <c r="BD1408" s="15"/>
      <c r="BE1408" s="15"/>
      <c r="BF1408" s="15"/>
      <c r="BG1408" s="15"/>
      <c r="BH1408" s="15"/>
      <c r="BI1408" s="15"/>
      <c r="BJ1408" s="15"/>
      <c r="BK1408" s="15"/>
      <c r="BL1408" s="15"/>
      <c r="BM1408" s="15"/>
      <c r="BN1408" s="15"/>
      <c r="BO1408" s="15"/>
      <c r="BP1408" s="15"/>
      <c r="BQ1408" s="15"/>
      <c r="BR1408" s="15"/>
      <c r="BS1408" s="15"/>
      <c r="BT1408" s="15"/>
      <c r="BU1408" s="15"/>
      <c r="BV1408" s="15"/>
      <c r="BW1408" s="15"/>
      <c r="BX1408" s="15"/>
      <c r="BY1408" s="15"/>
      <c r="BZ1408" s="15"/>
      <c r="CA1408" s="15"/>
      <c r="CB1408" s="15"/>
    </row>
    <row r="1409" spans="1:80" ht="12.75" hidden="1" customHeight="1">
      <c r="A1409" s="20">
        <f ca="1">IFERROR(__xludf.DUMMYFUNCTION("""COMPUTED_VALUE"""),2020)</f>
        <v>2020</v>
      </c>
      <c r="B1409" s="45">
        <f ca="1">IFERROR(__xludf.DUMMYFUNCTION("""COMPUTED_VALUE"""),44403)</f>
        <v>44403</v>
      </c>
      <c r="C1409" s="46">
        <f ca="1">IFERROR(__xludf.DUMMYFUNCTION("""COMPUTED_VALUE"""),44403)</f>
        <v>44403</v>
      </c>
      <c r="D1409" s="47" t="str">
        <f ca="1">IFERROR(__xludf.DUMMYFUNCTION("""COMPUTED_VALUE"""),"Grey Phalarope")</f>
        <v>Grey Phalarope</v>
      </c>
      <c r="E1409" s="52">
        <f ca="1">IFERROR(__xludf.DUMMYFUNCTION("""COMPUTED_VALUE"""),1)</f>
        <v>1</v>
      </c>
      <c r="F1409" s="25"/>
      <c r="G1409" s="48" t="str">
        <f ca="1">IFERROR(__xludf.DUMMYFUNCTION("""COMPUTED_VALUE"""),"Doddington Pool")</f>
        <v>Doddington Pool</v>
      </c>
      <c r="H1409" s="22">
        <f ca="1">IFERROR(__xludf.DUMMYFUNCTION("""COMPUTED_VALUE"""),44141)</f>
        <v>44141</v>
      </c>
      <c r="I1409" s="23"/>
      <c r="J1409" s="24" t="str">
        <f ca="1">IFERROR(__xludf.DUMMYFUNCTION("""COMPUTED_VALUE"""),"Lythgoe, C")</f>
        <v>Lythgoe, C</v>
      </c>
      <c r="K1409" s="25"/>
      <c r="L1409" s="27" t="str">
        <f ca="1">IFERROR(__xludf.DUMMYFUNCTION("""COMPUTED_VALUE"""),"closed")</f>
        <v>closed</v>
      </c>
      <c r="M1409" s="27" t="str">
        <f ca="1">IFERROR(__xludf.DUMMYFUNCTION("""COMPUTED_VALUE"""),"1st U")</f>
        <v>1st U</v>
      </c>
      <c r="N1409" s="25" t="str">
        <f ca="1">IFERROR(__xludf.DUMMYFUNCTION("""COMPUTED_VALUE"""),"Accepted")</f>
        <v>Accepted</v>
      </c>
      <c r="O1409" s="28"/>
      <c r="P1409" s="25"/>
      <c r="Q1409" s="25"/>
      <c r="R1409" s="25"/>
      <c r="S1409" s="25"/>
      <c r="T1409" s="25"/>
      <c r="U1409" s="25"/>
      <c r="V1409" s="25"/>
      <c r="W1409" s="25"/>
      <c r="X1409" s="25"/>
      <c r="Y1409" s="25"/>
      <c r="Z1409" s="25"/>
      <c r="AA1409" s="25"/>
      <c r="AB1409" s="25"/>
      <c r="AC1409" s="25"/>
      <c r="AD1409" s="25"/>
      <c r="AE1409" s="25"/>
      <c r="AF1409" s="25"/>
      <c r="AG1409" s="25"/>
      <c r="AH1409" s="25"/>
      <c r="AI1409" s="25"/>
      <c r="AJ1409" s="25"/>
      <c r="AK1409" s="25"/>
      <c r="AL1409" s="25"/>
      <c r="AM1409" s="25"/>
      <c r="AN1409" s="25"/>
      <c r="AO1409" s="25"/>
      <c r="AP1409" s="25"/>
      <c r="AQ1409" s="25"/>
      <c r="AR1409" s="25"/>
      <c r="AS1409" s="25"/>
      <c r="AT1409" s="25"/>
      <c r="AU1409" s="25"/>
      <c r="AV1409" s="25"/>
      <c r="AW1409" s="25"/>
      <c r="AX1409" s="25"/>
      <c r="AY1409" s="25"/>
      <c r="AZ1409" s="25"/>
      <c r="BA1409" s="25"/>
      <c r="BB1409" s="25"/>
      <c r="BC1409" s="25"/>
      <c r="BD1409" s="25"/>
      <c r="BE1409" s="25"/>
      <c r="BF1409" s="25"/>
      <c r="BG1409" s="25"/>
      <c r="BH1409" s="25"/>
      <c r="BI1409" s="25"/>
      <c r="BJ1409" s="25"/>
      <c r="BK1409" s="25"/>
      <c r="BL1409" s="25"/>
      <c r="BM1409" s="25"/>
      <c r="BN1409" s="25"/>
      <c r="BO1409" s="25"/>
      <c r="BP1409" s="25"/>
      <c r="BQ1409" s="25"/>
      <c r="BR1409" s="25"/>
      <c r="BS1409" s="25"/>
      <c r="BT1409" s="25"/>
      <c r="BU1409" s="25"/>
      <c r="BV1409" s="25"/>
      <c r="BW1409" s="25"/>
      <c r="BX1409" s="25"/>
      <c r="BY1409" s="25"/>
      <c r="BZ1409" s="25"/>
      <c r="CA1409" s="25"/>
      <c r="CB1409" s="25"/>
    </row>
    <row r="1410" spans="1:80" ht="12.75" hidden="1" customHeight="1">
      <c r="A1410" s="10">
        <f ca="1">IFERROR(__xludf.DUMMYFUNCTION("""COMPUTED_VALUE"""),2020)</f>
        <v>2020</v>
      </c>
      <c r="B1410" s="50">
        <f ca="1">IFERROR(__xludf.DUMMYFUNCTION("""COMPUTED_VALUE"""),44604)</f>
        <v>44604</v>
      </c>
      <c r="C1410" s="41"/>
      <c r="D1410" s="42" t="str">
        <f ca="1">IFERROR(__xludf.DUMMYFUNCTION("""COMPUTED_VALUE"""),"Sabine's Gull")</f>
        <v>Sabine's Gull</v>
      </c>
      <c r="E1410" s="53">
        <f ca="1">IFERROR(__xludf.DUMMYFUNCTION("""COMPUTED_VALUE"""),1)</f>
        <v>1</v>
      </c>
      <c r="F1410" s="15" t="str">
        <f ca="1">IFERROR(__xludf.DUMMYFUNCTION("""COMPUTED_VALUE"""),"juv")</f>
        <v>juv</v>
      </c>
      <c r="G1410" s="44" t="str">
        <f ca="1">IFERROR(__xludf.DUMMYFUNCTION("""COMPUTED_VALUE"""),"Hale")</f>
        <v>Hale</v>
      </c>
      <c r="H1410" s="12">
        <f ca="1">IFERROR(__xludf.DUMMYFUNCTION("""COMPUTED_VALUE"""),44083)</f>
        <v>44083</v>
      </c>
      <c r="I1410" s="12">
        <f ca="1">IFERROR(__xludf.DUMMYFUNCTION("""COMPUTED_VALUE"""),44091)</f>
        <v>44091</v>
      </c>
      <c r="J1410" s="14" t="str">
        <f ca="1">IFERROR(__xludf.DUMMYFUNCTION("""COMPUTED_VALUE"""),"County recorder")</f>
        <v>County recorder</v>
      </c>
      <c r="K1410" s="15" t="str">
        <f ca="1">IFERROR(__xludf.DUMMYFUNCTION("""COMPUTED_VALUE"""),"Igglesden, I")</f>
        <v>Igglesden, I</v>
      </c>
      <c r="L1410" s="17" t="str">
        <f ca="1">IFERROR(__xludf.DUMMYFUNCTION("""COMPUTED_VALUE"""),"closed")</f>
        <v>closed</v>
      </c>
      <c r="M1410" s="17"/>
      <c r="N1410" s="15" t="str">
        <f ca="1">IFERROR(__xludf.DUMMYFUNCTION("""COMPUTED_VALUE"""),"Accepted w/o circ")</f>
        <v>Accepted w/o circ</v>
      </c>
      <c r="O1410" s="18" t="str">
        <f ca="1">IFERROR(__xludf.DUMMYFUNCTION("""COMPUTED_VALUE"""),"Photos")</f>
        <v>Photos</v>
      </c>
      <c r="P1410" s="58"/>
      <c r="Q1410" s="15"/>
      <c r="R1410" s="58"/>
      <c r="S1410" s="15"/>
      <c r="T1410" s="15"/>
      <c r="U1410" s="15"/>
      <c r="V1410" s="15"/>
      <c r="W1410" s="15"/>
      <c r="X1410" s="15"/>
      <c r="Y1410" s="15"/>
      <c r="Z1410" s="15"/>
      <c r="AA1410" s="15"/>
      <c r="AB1410" s="15"/>
      <c r="AC1410" s="15"/>
      <c r="AD1410" s="15"/>
      <c r="AE1410" s="15"/>
      <c r="AF1410" s="15"/>
      <c r="AG1410" s="15"/>
      <c r="AH1410" s="15"/>
      <c r="AI1410" s="15"/>
      <c r="AJ1410" s="15"/>
      <c r="AK1410" s="15"/>
      <c r="AL1410" s="15"/>
      <c r="AM1410" s="15"/>
      <c r="AN1410" s="15"/>
      <c r="AO1410" s="15"/>
      <c r="AP1410" s="15"/>
      <c r="AQ1410" s="15"/>
      <c r="AR1410" s="15"/>
      <c r="AS1410" s="15"/>
      <c r="AT1410" s="15"/>
      <c r="AU1410" s="15"/>
      <c r="AV1410" s="15"/>
      <c r="AW1410" s="15"/>
      <c r="AX1410" s="15"/>
      <c r="AY1410" s="15"/>
      <c r="AZ1410" s="15"/>
      <c r="BA1410" s="15"/>
      <c r="BB1410" s="15"/>
      <c r="BC1410" s="15"/>
      <c r="BD1410" s="15"/>
      <c r="BE1410" s="15"/>
      <c r="BF1410" s="15"/>
      <c r="BG1410" s="15"/>
      <c r="BH1410" s="15"/>
      <c r="BI1410" s="15"/>
      <c r="BJ1410" s="15"/>
      <c r="BK1410" s="15"/>
      <c r="BL1410" s="15"/>
      <c r="BM1410" s="15"/>
      <c r="BN1410" s="15"/>
      <c r="BO1410" s="15"/>
      <c r="BP1410" s="15"/>
      <c r="BQ1410" s="15"/>
      <c r="BR1410" s="15"/>
      <c r="BS1410" s="15"/>
      <c r="BT1410" s="15"/>
      <c r="BU1410" s="15"/>
      <c r="BV1410" s="15"/>
      <c r="BW1410" s="15"/>
      <c r="BX1410" s="15"/>
      <c r="BY1410" s="15"/>
      <c r="BZ1410" s="15"/>
      <c r="CA1410" s="15"/>
      <c r="CB1410" s="15"/>
    </row>
    <row r="1411" spans="1:80" ht="12.75" hidden="1" customHeight="1">
      <c r="A1411" s="20">
        <f ca="1">IFERROR(__xludf.DUMMYFUNCTION("""COMPUTED_VALUE"""),2020)</f>
        <v>2020</v>
      </c>
      <c r="B1411" s="45">
        <f ca="1">IFERROR(__xludf.DUMMYFUNCTION("""COMPUTED_VALUE"""),44568)</f>
        <v>44568</v>
      </c>
      <c r="C1411" s="46"/>
      <c r="D1411" s="47" t="str">
        <f ca="1">IFERROR(__xludf.DUMMYFUNCTION("""COMPUTED_VALUE"""),"Bonaparte's Gull")</f>
        <v>Bonaparte's Gull</v>
      </c>
      <c r="E1411" s="52"/>
      <c r="F1411" s="25"/>
      <c r="G1411" s="48" t="str">
        <f ca="1">IFERROR(__xludf.DUMMYFUNCTION("""COMPUTED_VALUE"""),"Hale")</f>
        <v>Hale</v>
      </c>
      <c r="H1411" s="22">
        <f ca="1">IFERROR(__xludf.DUMMYFUNCTION("""COMPUTED_VALUE"""),44075)</f>
        <v>44075</v>
      </c>
      <c r="I1411" s="23"/>
      <c r="J1411" s="24" t="str">
        <f ca="1">IFERROR(__xludf.DUMMYFUNCTION("""COMPUTED_VALUE"""),"Craven, D")</f>
        <v>Craven, D</v>
      </c>
      <c r="K1411" s="25"/>
      <c r="L1411" s="27" t="str">
        <f ca="1">IFERROR(__xludf.DUMMYFUNCTION("""COMPUTED_VALUE"""),"open")</f>
        <v>open</v>
      </c>
      <c r="M1411" s="27"/>
      <c r="N1411" s="25" t="str">
        <f ca="1">IFERROR(__xludf.DUMMYFUNCTION("""COMPUTED_VALUE"""),"BBRC-OK")</f>
        <v>BBRC-OK</v>
      </c>
      <c r="O1411" s="28"/>
      <c r="P1411" s="25"/>
      <c r="Q1411" s="25"/>
      <c r="R1411" s="25"/>
      <c r="S1411" s="25"/>
      <c r="T1411" s="25"/>
      <c r="U1411" s="25"/>
      <c r="V1411" s="25"/>
      <c r="W1411" s="25"/>
      <c r="X1411" s="25"/>
      <c r="Y1411" s="25"/>
      <c r="Z1411" s="25"/>
      <c r="AA1411" s="25"/>
      <c r="AB1411" s="25"/>
      <c r="AC1411" s="25"/>
      <c r="AD1411" s="25"/>
      <c r="AE1411" s="25"/>
      <c r="AF1411" s="25"/>
      <c r="AG1411" s="25"/>
      <c r="AH1411" s="25"/>
      <c r="AI1411" s="25"/>
      <c r="AJ1411" s="25"/>
      <c r="AK1411" s="25"/>
      <c r="AL1411" s="25"/>
      <c r="AM1411" s="25"/>
      <c r="AN1411" s="25"/>
      <c r="AO1411" s="25"/>
      <c r="AP1411" s="25"/>
      <c r="AQ1411" s="25"/>
      <c r="AR1411" s="25"/>
      <c r="AS1411" s="25"/>
      <c r="AT1411" s="25"/>
      <c r="AU1411" s="25"/>
      <c r="AV1411" s="25"/>
      <c r="AW1411" s="25"/>
      <c r="AX1411" s="25"/>
      <c r="AY1411" s="25"/>
      <c r="AZ1411" s="25"/>
      <c r="BA1411" s="25"/>
      <c r="BB1411" s="25"/>
      <c r="BC1411" s="25"/>
      <c r="BD1411" s="25"/>
      <c r="BE1411" s="25"/>
      <c r="BF1411" s="25"/>
      <c r="BG1411" s="25"/>
      <c r="BH1411" s="25"/>
      <c r="BI1411" s="25"/>
      <c r="BJ1411" s="25"/>
      <c r="BK1411" s="25"/>
      <c r="BL1411" s="25"/>
      <c r="BM1411" s="25"/>
      <c r="BN1411" s="25"/>
      <c r="BO1411" s="25"/>
      <c r="BP1411" s="25"/>
      <c r="BQ1411" s="25"/>
      <c r="BR1411" s="25"/>
      <c r="BS1411" s="25"/>
      <c r="BT1411" s="25"/>
      <c r="BU1411" s="25"/>
      <c r="BV1411" s="25"/>
      <c r="BW1411" s="25"/>
      <c r="BX1411" s="25"/>
      <c r="BY1411" s="25"/>
      <c r="BZ1411" s="25"/>
      <c r="CA1411" s="25"/>
      <c r="CB1411" s="25"/>
    </row>
    <row r="1412" spans="1:80" ht="12.75" hidden="1" customHeight="1">
      <c r="A1412" s="10">
        <f ca="1">IFERROR(__xludf.DUMMYFUNCTION("""COMPUTED_VALUE"""),2020)</f>
        <v>2020</v>
      </c>
      <c r="B1412" s="50">
        <f ca="1">IFERROR(__xludf.DUMMYFUNCTION("""COMPUTED_VALUE"""),44403)</f>
        <v>44403</v>
      </c>
      <c r="C1412" s="41">
        <f ca="1">IFERROR(__xludf.DUMMYFUNCTION("""COMPUTED_VALUE"""),44403)</f>
        <v>44403</v>
      </c>
      <c r="D1412" s="42" t="str">
        <f ca="1">IFERROR(__xludf.DUMMYFUNCTION("""COMPUTED_VALUE"""),"Kumlien's Gull")</f>
        <v>Kumlien's Gull</v>
      </c>
      <c r="E1412" s="53">
        <f ca="1">IFERROR(__xludf.DUMMYFUNCTION("""COMPUTED_VALUE"""),1)</f>
        <v>1</v>
      </c>
      <c r="F1412" s="15" t="str">
        <f ca="1">IFERROR(__xludf.DUMMYFUNCTION("""COMPUTED_VALUE"""),"1stw")</f>
        <v>1stw</v>
      </c>
      <c r="G1412" s="44" t="str">
        <f ca="1">IFERROR(__xludf.DUMMYFUNCTION("""COMPUTED_VALUE"""),"Sandbach, Railway Flash")</f>
        <v>Sandbach, Railway Flash</v>
      </c>
      <c r="H1412" s="12">
        <f ca="1">IFERROR(__xludf.DUMMYFUNCTION("""COMPUTED_VALUE"""),43873)</f>
        <v>43873</v>
      </c>
      <c r="I1412" s="12">
        <f ca="1">IFERROR(__xludf.DUMMYFUNCTION("""COMPUTED_VALUE"""),43890)</f>
        <v>43890</v>
      </c>
      <c r="J1412" s="14"/>
      <c r="K1412" s="15"/>
      <c r="L1412" s="17" t="str">
        <f ca="1">IFERROR(__xludf.DUMMYFUNCTION("""COMPUTED_VALUE"""),"open")</f>
        <v>open</v>
      </c>
      <c r="M1412" s="17"/>
      <c r="N1412" s="15" t="str">
        <f ca="1">IFERROR(__xludf.DUMMYFUNCTION("""COMPUTED_VALUE"""),"check")</f>
        <v>check</v>
      </c>
      <c r="O1412" s="18" t="str">
        <f ca="1">IFERROR(__xludf.DUMMYFUNCTION("""COMPUTED_VALUE"""),"check if published")</f>
        <v>check if published</v>
      </c>
      <c r="P1412" s="15"/>
      <c r="Q1412" s="15"/>
      <c r="R1412" s="15"/>
      <c r="S1412" s="15"/>
      <c r="T1412" s="15"/>
      <c r="U1412" s="15"/>
      <c r="V1412" s="15"/>
      <c r="W1412" s="15"/>
      <c r="X1412" s="15"/>
      <c r="Y1412" s="15"/>
      <c r="Z1412" s="15"/>
      <c r="AA1412" s="15"/>
      <c r="AB1412" s="15"/>
      <c r="AC1412" s="15"/>
      <c r="AD1412" s="15"/>
      <c r="AE1412" s="15"/>
      <c r="AF1412" s="15"/>
      <c r="AG1412" s="15"/>
      <c r="AH1412" s="15"/>
      <c r="AI1412" s="15"/>
      <c r="AJ1412" s="15"/>
      <c r="AK1412" s="15"/>
      <c r="AL1412" s="15"/>
      <c r="AM1412" s="15"/>
      <c r="AN1412" s="15"/>
      <c r="AO1412" s="15"/>
      <c r="AP1412" s="15"/>
      <c r="AQ1412" s="15"/>
      <c r="AR1412" s="15"/>
      <c r="AS1412" s="15"/>
      <c r="AT1412" s="15"/>
      <c r="AU1412" s="15"/>
      <c r="AV1412" s="15"/>
      <c r="AW1412" s="15"/>
      <c r="AX1412" s="15"/>
      <c r="AY1412" s="15"/>
      <c r="AZ1412" s="15"/>
      <c r="BA1412" s="15"/>
      <c r="BB1412" s="15"/>
      <c r="BC1412" s="15"/>
      <c r="BD1412" s="15"/>
      <c r="BE1412" s="15"/>
      <c r="BF1412" s="15"/>
      <c r="BG1412" s="15"/>
      <c r="BH1412" s="15"/>
      <c r="BI1412" s="15"/>
      <c r="BJ1412" s="15"/>
      <c r="BK1412" s="15"/>
      <c r="BL1412" s="15"/>
      <c r="BM1412" s="15"/>
      <c r="BN1412" s="15"/>
      <c r="BO1412" s="15"/>
      <c r="BP1412" s="15"/>
      <c r="BQ1412" s="15"/>
      <c r="BR1412" s="15"/>
      <c r="BS1412" s="15"/>
      <c r="BT1412" s="15"/>
      <c r="BU1412" s="15"/>
      <c r="BV1412" s="15"/>
      <c r="BW1412" s="15"/>
      <c r="BX1412" s="15"/>
      <c r="BY1412" s="15"/>
      <c r="BZ1412" s="15"/>
      <c r="CA1412" s="15"/>
      <c r="CB1412" s="15"/>
    </row>
    <row r="1413" spans="1:80" ht="12.75" hidden="1" customHeight="1">
      <c r="A1413" s="20">
        <f ca="1">IFERROR(__xludf.DUMMYFUNCTION("""COMPUTED_VALUE"""),2020)</f>
        <v>2020</v>
      </c>
      <c r="B1413" s="45">
        <f ca="1">IFERROR(__xludf.DUMMYFUNCTION("""COMPUTED_VALUE"""),44403)</f>
        <v>44403</v>
      </c>
      <c r="C1413" s="46">
        <f ca="1">IFERROR(__xludf.DUMMYFUNCTION("""COMPUTED_VALUE"""),44403)</f>
        <v>44403</v>
      </c>
      <c r="D1413" s="47" t="str">
        <f ca="1">IFERROR(__xludf.DUMMYFUNCTION("""COMPUTED_VALUE"""),"Kumlien's Gull")</f>
        <v>Kumlien's Gull</v>
      </c>
      <c r="E1413" s="52">
        <f ca="1">IFERROR(__xludf.DUMMYFUNCTION("""COMPUTED_VALUE"""),1)</f>
        <v>1</v>
      </c>
      <c r="F1413" s="25" t="str">
        <f ca="1">IFERROR(__xludf.DUMMYFUNCTION("""COMPUTED_VALUE"""),"1stw")</f>
        <v>1stw</v>
      </c>
      <c r="G1413" s="48" t="str">
        <f ca="1">IFERROR(__xludf.DUMMYFUNCTION("""COMPUTED_VALUE"""),"Maw Green")</f>
        <v>Maw Green</v>
      </c>
      <c r="H1413" s="22">
        <f ca="1">IFERROR(__xludf.DUMMYFUNCTION("""COMPUTED_VALUE"""),43874)</f>
        <v>43874</v>
      </c>
      <c r="I1413" s="22">
        <f ca="1">IFERROR(__xludf.DUMMYFUNCTION("""COMPUTED_VALUE"""),43889)</f>
        <v>43889</v>
      </c>
      <c r="J1413" s="24"/>
      <c r="K1413" s="25"/>
      <c r="L1413" s="27" t="str">
        <f ca="1">IFERROR(__xludf.DUMMYFUNCTION("""COMPUTED_VALUE"""),"open")</f>
        <v>open</v>
      </c>
      <c r="M1413" s="27" t="str">
        <f ca="1">IFERROR(__xludf.DUMMYFUNCTION("""COMPUTED_VALUE"""),"1st U")</f>
        <v>1st U</v>
      </c>
      <c r="N1413" s="25" t="str">
        <f ca="1">IFERROR(__xludf.DUMMYFUNCTION("""COMPUTED_VALUE"""),"accepted")</f>
        <v>accepted</v>
      </c>
      <c r="O1413" s="28"/>
      <c r="P1413" s="25"/>
      <c r="Q1413" s="25"/>
      <c r="R1413" s="25"/>
      <c r="S1413" s="25"/>
      <c r="T1413" s="25"/>
      <c r="U1413" s="25"/>
      <c r="V1413" s="25"/>
      <c r="W1413" s="25"/>
      <c r="X1413" s="25"/>
      <c r="Y1413" s="25"/>
      <c r="Z1413" s="25"/>
      <c r="AA1413" s="25"/>
      <c r="AB1413" s="25"/>
      <c r="AC1413" s="25"/>
      <c r="AD1413" s="25"/>
      <c r="AE1413" s="25"/>
      <c r="AF1413" s="25"/>
      <c r="AG1413" s="25"/>
      <c r="AH1413" s="25"/>
      <c r="AI1413" s="25"/>
      <c r="AJ1413" s="25"/>
      <c r="AK1413" s="25"/>
      <c r="AL1413" s="25"/>
      <c r="AM1413" s="25"/>
      <c r="AN1413" s="25"/>
      <c r="AO1413" s="25"/>
      <c r="AP1413" s="25"/>
      <c r="AQ1413" s="25"/>
      <c r="AR1413" s="25"/>
      <c r="AS1413" s="25"/>
      <c r="AT1413" s="25"/>
      <c r="AU1413" s="25"/>
      <c r="AV1413" s="25"/>
      <c r="AW1413" s="25"/>
      <c r="AX1413" s="25"/>
      <c r="AY1413" s="25"/>
      <c r="AZ1413" s="25"/>
      <c r="BA1413" s="25"/>
      <c r="BB1413" s="25"/>
      <c r="BC1413" s="25"/>
      <c r="BD1413" s="25"/>
      <c r="BE1413" s="25"/>
      <c r="BF1413" s="25"/>
      <c r="BG1413" s="25"/>
      <c r="BH1413" s="25"/>
      <c r="BI1413" s="25"/>
      <c r="BJ1413" s="25"/>
      <c r="BK1413" s="25"/>
      <c r="BL1413" s="25"/>
      <c r="BM1413" s="25"/>
      <c r="BN1413" s="25"/>
      <c r="BO1413" s="25"/>
      <c r="BP1413" s="25"/>
      <c r="BQ1413" s="25"/>
      <c r="BR1413" s="25"/>
      <c r="BS1413" s="25"/>
      <c r="BT1413" s="25"/>
      <c r="BU1413" s="25"/>
      <c r="BV1413" s="25"/>
      <c r="BW1413" s="25"/>
      <c r="BX1413" s="25"/>
      <c r="BY1413" s="25"/>
      <c r="BZ1413" s="25"/>
      <c r="CA1413" s="25"/>
      <c r="CB1413" s="25"/>
    </row>
    <row r="1414" spans="1:80" ht="12.75" hidden="1" customHeight="1">
      <c r="A1414" s="10">
        <f ca="1">IFERROR(__xludf.DUMMYFUNCTION("""COMPUTED_VALUE"""),2020)</f>
        <v>2020</v>
      </c>
      <c r="B1414" s="50">
        <f ca="1">IFERROR(__xludf.DUMMYFUNCTION("""COMPUTED_VALUE"""),44576)</f>
        <v>44576</v>
      </c>
      <c r="C1414" s="41"/>
      <c r="D1414" s="42" t="str">
        <f ca="1">IFERROR(__xludf.DUMMYFUNCTION("""COMPUTED_VALUE"""),"Pomarine Skua")</f>
        <v>Pomarine Skua</v>
      </c>
      <c r="E1414" s="53">
        <f ca="1">IFERROR(__xludf.DUMMYFUNCTION("""COMPUTED_VALUE"""),1)</f>
        <v>1</v>
      </c>
      <c r="F1414" s="15"/>
      <c r="G1414" s="44" t="str">
        <f ca="1">IFERROR(__xludf.DUMMYFUNCTION("""COMPUTED_VALUE"""),"Pickering's Pasture LNR, Widnes")</f>
        <v>Pickering's Pasture LNR, Widnes</v>
      </c>
      <c r="H1414" s="12">
        <f ca="1">IFERROR(__xludf.DUMMYFUNCTION("""COMPUTED_VALUE"""),44064)</f>
        <v>44064</v>
      </c>
      <c r="I1414" s="13"/>
      <c r="J1414" s="14"/>
      <c r="K1414" s="15"/>
      <c r="L1414" s="17" t="str">
        <f ca="1">IFERROR(__xludf.DUMMYFUNCTION("""COMPUTED_VALUE"""),"check")</f>
        <v>check</v>
      </c>
      <c r="M1414" s="17"/>
      <c r="N1414" s="15" t="str">
        <f ca="1">IFERROR(__xludf.DUMMYFUNCTION("""COMPUTED_VALUE"""),"check")</f>
        <v>check</v>
      </c>
      <c r="O1414" s="18"/>
      <c r="P1414" s="15"/>
      <c r="Q1414" s="15"/>
      <c r="R1414" s="15"/>
      <c r="S1414" s="15"/>
      <c r="T1414" s="15"/>
      <c r="U1414" s="15"/>
      <c r="V1414" s="15"/>
      <c r="W1414" s="15"/>
      <c r="X1414" s="15"/>
      <c r="Y1414" s="15"/>
      <c r="Z1414" s="15"/>
      <c r="AA1414" s="15"/>
      <c r="AB1414" s="15"/>
      <c r="AC1414" s="15"/>
      <c r="AD1414" s="15"/>
      <c r="AE1414" s="15"/>
      <c r="AF1414" s="15"/>
      <c r="AG1414" s="15"/>
      <c r="AH1414" s="15"/>
      <c r="AI1414" s="15"/>
      <c r="AJ1414" s="15"/>
      <c r="AK1414" s="15"/>
      <c r="AL1414" s="15"/>
      <c r="AM1414" s="15"/>
      <c r="AN1414" s="15"/>
      <c r="AO1414" s="15"/>
      <c r="AP1414" s="15"/>
      <c r="AQ1414" s="15"/>
      <c r="AR1414" s="15"/>
      <c r="AS1414" s="15"/>
      <c r="AT1414" s="15"/>
      <c r="AU1414" s="15"/>
      <c r="AV1414" s="15"/>
      <c r="AW1414" s="15"/>
      <c r="AX1414" s="15"/>
      <c r="AY1414" s="15"/>
      <c r="AZ1414" s="15"/>
      <c r="BA1414" s="15"/>
      <c r="BB1414" s="15"/>
      <c r="BC1414" s="15"/>
      <c r="BD1414" s="15"/>
      <c r="BE1414" s="15"/>
      <c r="BF1414" s="15"/>
      <c r="BG1414" s="15"/>
      <c r="BH1414" s="15"/>
      <c r="BI1414" s="15"/>
      <c r="BJ1414" s="15"/>
      <c r="BK1414" s="15"/>
      <c r="BL1414" s="15"/>
      <c r="BM1414" s="15"/>
      <c r="BN1414" s="15"/>
      <c r="BO1414" s="15"/>
      <c r="BP1414" s="15"/>
      <c r="BQ1414" s="15"/>
      <c r="BR1414" s="15"/>
      <c r="BS1414" s="15"/>
      <c r="BT1414" s="15"/>
      <c r="BU1414" s="15"/>
      <c r="BV1414" s="15"/>
      <c r="BW1414" s="15"/>
      <c r="BX1414" s="15"/>
      <c r="BY1414" s="15"/>
      <c r="BZ1414" s="15"/>
      <c r="CA1414" s="15"/>
      <c r="CB1414" s="15"/>
    </row>
    <row r="1415" spans="1:80" ht="12.75" hidden="1" customHeight="1">
      <c r="A1415" s="20">
        <f ca="1">IFERROR(__xludf.DUMMYFUNCTION("""COMPUTED_VALUE"""),2020)</f>
        <v>2020</v>
      </c>
      <c r="B1415" s="45">
        <f ca="1">IFERROR(__xludf.DUMMYFUNCTION("""COMPUTED_VALUE"""),44576)</f>
        <v>44576</v>
      </c>
      <c r="C1415" s="46"/>
      <c r="D1415" s="47" t="str">
        <f ca="1">IFERROR(__xludf.DUMMYFUNCTION("""COMPUTED_VALUE"""),"Pomarine Skua")</f>
        <v>Pomarine Skua</v>
      </c>
      <c r="E1415" s="52">
        <f ca="1">IFERROR(__xludf.DUMMYFUNCTION("""COMPUTED_VALUE"""),1)</f>
        <v>1</v>
      </c>
      <c r="F1415" s="25" t="str">
        <f ca="1">IFERROR(__xludf.DUMMYFUNCTION("""COMPUTED_VALUE"""),"sub Ad")</f>
        <v>sub Ad</v>
      </c>
      <c r="G1415" s="48" t="str">
        <f ca="1">IFERROR(__xludf.DUMMYFUNCTION("""COMPUTED_VALUE"""),"Hilbre")</f>
        <v>Hilbre</v>
      </c>
      <c r="H1415" s="22">
        <f ca="1">IFERROR(__xludf.DUMMYFUNCTION("""COMPUTED_VALUE"""),44087)</f>
        <v>44087</v>
      </c>
      <c r="I1415" s="23"/>
      <c r="J1415" s="24" t="str">
        <f ca="1">IFERROR(__xludf.DUMMYFUNCTION("""COMPUTED_VALUE"""),"HIBO")</f>
        <v>HIBO</v>
      </c>
      <c r="K1415" s="25"/>
      <c r="L1415" s="27" t="str">
        <f ca="1">IFERROR(__xludf.DUMMYFUNCTION("""COMPUTED_VALUE"""),"check")</f>
        <v>check</v>
      </c>
      <c r="M1415" s="27" t="str">
        <f ca="1">IFERROR(__xludf.DUMMYFUNCTION("""COMPUTED_VALUE"""),"photo")</f>
        <v>photo</v>
      </c>
      <c r="N1415" s="25" t="str">
        <f ca="1">IFERROR(__xludf.DUMMYFUNCTION("""COMPUTED_VALUE"""),"Accepted w/o circ")</f>
        <v>Accepted w/o circ</v>
      </c>
      <c r="O1415" s="28"/>
      <c r="P1415" s="40"/>
      <c r="Q1415" s="25"/>
      <c r="R1415" s="25"/>
      <c r="S1415" s="25"/>
      <c r="T1415" s="25"/>
      <c r="U1415" s="25"/>
      <c r="V1415" s="25"/>
      <c r="W1415" s="25"/>
      <c r="X1415" s="25"/>
      <c r="Y1415" s="25"/>
      <c r="Z1415" s="25"/>
      <c r="AA1415" s="25"/>
      <c r="AB1415" s="25"/>
      <c r="AC1415" s="25"/>
      <c r="AD1415" s="25"/>
      <c r="AE1415" s="25"/>
      <c r="AF1415" s="25"/>
      <c r="AG1415" s="25"/>
      <c r="AH1415" s="25"/>
      <c r="AI1415" s="25"/>
      <c r="AJ1415" s="25"/>
      <c r="AK1415" s="25"/>
      <c r="AL1415" s="25"/>
      <c r="AM1415" s="25"/>
      <c r="AN1415" s="25"/>
      <c r="AO1415" s="25"/>
      <c r="AP1415" s="25"/>
      <c r="AQ1415" s="25"/>
      <c r="AR1415" s="25"/>
      <c r="AS1415" s="25"/>
      <c r="AT1415" s="25"/>
      <c r="AU1415" s="25"/>
      <c r="AV1415" s="25"/>
      <c r="AW1415" s="25"/>
      <c r="AX1415" s="25"/>
      <c r="AY1415" s="25"/>
      <c r="AZ1415" s="25"/>
      <c r="BA1415" s="25"/>
      <c r="BB1415" s="25"/>
      <c r="BC1415" s="25"/>
      <c r="BD1415" s="25"/>
      <c r="BE1415" s="25"/>
      <c r="BF1415" s="25"/>
      <c r="BG1415" s="25"/>
      <c r="BH1415" s="25"/>
      <c r="BI1415" s="25"/>
      <c r="BJ1415" s="25"/>
      <c r="BK1415" s="25"/>
      <c r="BL1415" s="25"/>
      <c r="BM1415" s="25"/>
      <c r="BN1415" s="25"/>
      <c r="BO1415" s="25"/>
      <c r="BP1415" s="25"/>
      <c r="BQ1415" s="25"/>
      <c r="BR1415" s="25"/>
      <c r="BS1415" s="25"/>
      <c r="BT1415" s="25"/>
      <c r="BU1415" s="25"/>
      <c r="BV1415" s="25"/>
      <c r="BW1415" s="25"/>
      <c r="BX1415" s="25"/>
      <c r="BY1415" s="25"/>
      <c r="BZ1415" s="25"/>
      <c r="CA1415" s="25"/>
      <c r="CB1415" s="25"/>
    </row>
    <row r="1416" spans="1:80" ht="12.75" hidden="1" customHeight="1">
      <c r="A1416" s="10">
        <f ca="1">IFERROR(__xludf.DUMMYFUNCTION("""COMPUTED_VALUE"""),2020)</f>
        <v>2020</v>
      </c>
      <c r="B1416" s="50">
        <f ca="1">IFERROR(__xludf.DUMMYFUNCTION("""COMPUTED_VALUE"""),44576)</f>
        <v>44576</v>
      </c>
      <c r="C1416" s="41"/>
      <c r="D1416" s="42" t="str">
        <f ca="1">IFERROR(__xludf.DUMMYFUNCTION("""COMPUTED_VALUE"""),"Pomarine Skua")</f>
        <v>Pomarine Skua</v>
      </c>
      <c r="E1416" s="53">
        <f ca="1">IFERROR(__xludf.DUMMYFUNCTION("""COMPUTED_VALUE"""),1)</f>
        <v>1</v>
      </c>
      <c r="F1416" s="15"/>
      <c r="G1416" s="44" t="str">
        <f ca="1">IFERROR(__xludf.DUMMYFUNCTION("""COMPUTED_VALUE"""),"Leasowe")</f>
        <v>Leasowe</v>
      </c>
      <c r="H1416" s="12">
        <f ca="1">IFERROR(__xludf.DUMMYFUNCTION("""COMPUTED_VALUE"""),44114)</f>
        <v>44114</v>
      </c>
      <c r="I1416" s="13"/>
      <c r="J1416" s="14" t="str">
        <f ca="1">IFERROR(__xludf.DUMMYFUNCTION("""COMPUTED_VALUE"""),"birdguides")</f>
        <v>birdguides</v>
      </c>
      <c r="K1416" s="15"/>
      <c r="L1416" s="17" t="str">
        <f ca="1">IFERROR(__xludf.DUMMYFUNCTION("""COMPUTED_VALUE"""),"limbo")</f>
        <v>limbo</v>
      </c>
      <c r="M1416" s="17"/>
      <c r="N1416" s="15" t="str">
        <f ca="1">IFERROR(__xludf.DUMMYFUNCTION("""COMPUTED_VALUE"""),"not submitted")</f>
        <v>not submitted</v>
      </c>
      <c r="O1416" s="18"/>
      <c r="P1416" s="15"/>
      <c r="Q1416" s="15"/>
      <c r="R1416" s="15"/>
      <c r="S1416" s="15"/>
      <c r="T1416" s="15"/>
      <c r="U1416" s="15"/>
      <c r="V1416" s="15"/>
      <c r="W1416" s="15"/>
      <c r="X1416" s="15"/>
      <c r="Y1416" s="15"/>
      <c r="Z1416" s="15"/>
      <c r="AA1416" s="15"/>
      <c r="AB1416" s="15"/>
      <c r="AC1416" s="15"/>
      <c r="AD1416" s="15"/>
      <c r="AE1416" s="15"/>
      <c r="AF1416" s="15"/>
      <c r="AG1416" s="15"/>
      <c r="AH1416" s="15"/>
      <c r="AI1416" s="15"/>
      <c r="AJ1416" s="15"/>
      <c r="AK1416" s="15"/>
      <c r="AL1416" s="15"/>
      <c r="AM1416" s="15"/>
      <c r="AN1416" s="15"/>
      <c r="AO1416" s="15"/>
      <c r="AP1416" s="15"/>
      <c r="AQ1416" s="15"/>
      <c r="AR1416" s="15"/>
      <c r="AS1416" s="15"/>
      <c r="AT1416" s="15"/>
      <c r="AU1416" s="15"/>
      <c r="AV1416" s="15"/>
      <c r="AW1416" s="15"/>
      <c r="AX1416" s="15"/>
      <c r="AY1416" s="15"/>
      <c r="AZ1416" s="15"/>
      <c r="BA1416" s="15"/>
      <c r="BB1416" s="15"/>
      <c r="BC1416" s="15"/>
      <c r="BD1416" s="15"/>
      <c r="BE1416" s="15"/>
      <c r="BF1416" s="15"/>
      <c r="BG1416" s="15"/>
      <c r="BH1416" s="15"/>
      <c r="BI1416" s="15"/>
      <c r="BJ1416" s="15"/>
      <c r="BK1416" s="15"/>
      <c r="BL1416" s="15"/>
      <c r="BM1416" s="15"/>
      <c r="BN1416" s="15"/>
      <c r="BO1416" s="15"/>
      <c r="BP1416" s="15"/>
      <c r="BQ1416" s="15"/>
      <c r="BR1416" s="15"/>
      <c r="BS1416" s="15"/>
      <c r="BT1416" s="15"/>
      <c r="BU1416" s="15"/>
      <c r="BV1416" s="15"/>
      <c r="BW1416" s="15"/>
      <c r="BX1416" s="15"/>
      <c r="BY1416" s="15"/>
      <c r="BZ1416" s="15"/>
      <c r="CA1416" s="15"/>
      <c r="CB1416" s="15"/>
    </row>
    <row r="1417" spans="1:80" ht="12.75" hidden="1" customHeight="1">
      <c r="A1417" s="20">
        <f ca="1">IFERROR(__xludf.DUMMYFUNCTION("""COMPUTED_VALUE"""),2020)</f>
        <v>2020</v>
      </c>
      <c r="B1417" s="45">
        <f ca="1">IFERROR(__xludf.DUMMYFUNCTION("""COMPUTED_VALUE"""),40627)</f>
        <v>40627</v>
      </c>
      <c r="C1417" s="46">
        <f ca="1">IFERROR(__xludf.DUMMYFUNCTION("""COMPUTED_VALUE"""),40611)</f>
        <v>40611</v>
      </c>
      <c r="D1417" s="47" t="str">
        <f ca="1">IFERROR(__xludf.DUMMYFUNCTION("""COMPUTED_VALUE"""),"Arctic Skua")</f>
        <v>Arctic Skua</v>
      </c>
      <c r="E1417" s="52">
        <f ca="1">IFERROR(__xludf.DUMMYFUNCTION("""COMPUTED_VALUE"""),1)</f>
        <v>1</v>
      </c>
      <c r="F1417" s="25" t="str">
        <f ca="1">IFERROR(__xludf.DUMMYFUNCTION("""COMPUTED_VALUE"""),"dark phase")</f>
        <v>dark phase</v>
      </c>
      <c r="G1417" s="48" t="str">
        <f ca="1">IFERROR(__xludf.DUMMYFUNCTION("""COMPUTED_VALUE"""),"Hoylake")</f>
        <v>Hoylake</v>
      </c>
      <c r="H1417" s="22">
        <f ca="1">IFERROR(__xludf.DUMMYFUNCTION("""COMPUTED_VALUE"""),44165)</f>
        <v>44165</v>
      </c>
      <c r="I1417" s="23"/>
      <c r="J1417" s="24" t="str">
        <f ca="1">IFERROR(__xludf.DUMMYFUNCTION("""COMPUTED_VALUE"""),"Turner, JE")</f>
        <v>Turner, JE</v>
      </c>
      <c r="K1417" s="25" t="str">
        <f ca="1">IFERROR(__xludf.DUMMYFUNCTION("""COMPUTED_VALUE"""),"Turner, JE")</f>
        <v>Turner, JE</v>
      </c>
      <c r="L1417" s="27" t="str">
        <f ca="1">IFERROR(__xludf.DUMMYFUNCTION("""COMPUTED_VALUE"""),"closed")</f>
        <v>closed</v>
      </c>
      <c r="M1417" s="27" t="str">
        <f ca="1">IFERROR(__xludf.DUMMYFUNCTION("""COMPUTED_VALUE"""),"1st U")</f>
        <v>1st U</v>
      </c>
      <c r="N1417" s="25" t="str">
        <f ca="1">IFERROR(__xludf.DUMMYFUNCTION("""COMPUTED_VALUE"""),"accepted")</f>
        <v>accepted</v>
      </c>
      <c r="O1417" s="28" t="str">
        <f ca="1">IFERROR(__xludf.DUMMYFUNCTION("""COMPUTED_VALUE"""),"Photographed on ice floes on the beach")</f>
        <v>Photographed on ice floes on the beach</v>
      </c>
      <c r="P1417" s="25"/>
      <c r="Q1417" s="25"/>
      <c r="R1417" s="25"/>
      <c r="S1417" s="25"/>
      <c r="T1417" s="25"/>
      <c r="U1417" s="25"/>
      <c r="V1417" s="25"/>
      <c r="W1417" s="25"/>
      <c r="X1417" s="25"/>
      <c r="Y1417" s="25"/>
      <c r="Z1417" s="25"/>
      <c r="AA1417" s="25"/>
      <c r="AB1417" s="25"/>
      <c r="AC1417" s="25"/>
      <c r="AD1417" s="25"/>
      <c r="AE1417" s="25"/>
      <c r="AF1417" s="25"/>
      <c r="AG1417" s="25"/>
      <c r="AH1417" s="25"/>
      <c r="AI1417" s="25"/>
      <c r="AJ1417" s="25"/>
      <c r="AK1417" s="25"/>
      <c r="AL1417" s="25"/>
      <c r="AM1417" s="25"/>
      <c r="AN1417" s="25"/>
      <c r="AO1417" s="25"/>
      <c r="AP1417" s="25"/>
      <c r="AQ1417" s="25"/>
      <c r="AR1417" s="25"/>
      <c r="AS1417" s="25"/>
      <c r="AT1417" s="25"/>
      <c r="AU1417" s="25"/>
      <c r="AV1417" s="25"/>
      <c r="AW1417" s="25"/>
      <c r="AX1417" s="25"/>
      <c r="AY1417" s="25"/>
      <c r="AZ1417" s="25"/>
      <c r="BA1417" s="25"/>
      <c r="BB1417" s="25"/>
      <c r="BC1417" s="25"/>
      <c r="BD1417" s="25"/>
      <c r="BE1417" s="25"/>
      <c r="BF1417" s="25"/>
      <c r="BG1417" s="25"/>
      <c r="BH1417" s="25"/>
      <c r="BI1417" s="25"/>
      <c r="BJ1417" s="25"/>
      <c r="BK1417" s="25"/>
      <c r="BL1417" s="25"/>
      <c r="BM1417" s="25"/>
      <c r="BN1417" s="25"/>
      <c r="BO1417" s="25"/>
      <c r="BP1417" s="25"/>
      <c r="BQ1417" s="25"/>
      <c r="BR1417" s="25"/>
      <c r="BS1417" s="25"/>
      <c r="BT1417" s="25"/>
      <c r="BU1417" s="25"/>
      <c r="BV1417" s="25"/>
      <c r="BW1417" s="25"/>
      <c r="BX1417" s="25"/>
      <c r="BY1417" s="25"/>
      <c r="BZ1417" s="25"/>
      <c r="CA1417" s="25"/>
      <c r="CB1417" s="25"/>
    </row>
    <row r="1418" spans="1:80" ht="12.75" hidden="1" customHeight="1">
      <c r="A1418" s="10">
        <f ca="1">IFERROR(__xludf.DUMMYFUNCTION("""COMPUTED_VALUE"""),2020)</f>
        <v>2020</v>
      </c>
      <c r="B1418" s="50">
        <f ca="1">IFERROR(__xludf.DUMMYFUNCTION("""COMPUTED_VALUE"""),44575)</f>
        <v>44575</v>
      </c>
      <c r="C1418" s="41"/>
      <c r="D1418" s="42" t="str">
        <f ca="1">IFERROR(__xludf.DUMMYFUNCTION("""COMPUTED_VALUE"""),"Long-tailed Skua")</f>
        <v>Long-tailed Skua</v>
      </c>
      <c r="E1418" s="53">
        <f ca="1">IFERROR(__xludf.DUMMYFUNCTION("""COMPUTED_VALUE"""),1)</f>
        <v>1</v>
      </c>
      <c r="F1418" s="15"/>
      <c r="G1418" s="44" t="str">
        <f ca="1">IFERROR(__xludf.DUMMYFUNCTION("""COMPUTED_VALUE"""),"Frodsham Marsh")</f>
        <v>Frodsham Marsh</v>
      </c>
      <c r="H1418" s="12">
        <f ca="1">IFERROR(__xludf.DUMMYFUNCTION("""COMPUTED_VALUE"""),44083)</f>
        <v>44083</v>
      </c>
      <c r="I1418" s="13"/>
      <c r="J1418" s="14"/>
      <c r="K1418" s="15"/>
      <c r="L1418" s="17" t="str">
        <f ca="1">IFERROR(__xludf.DUMMYFUNCTION("""COMPUTED_VALUE"""),"check")</f>
        <v>check</v>
      </c>
      <c r="M1418" s="17" t="str">
        <f ca="1">IFERROR(__xludf.DUMMYFUNCTION("""COMPUTED_VALUE"""),"1st M")</f>
        <v>1st M</v>
      </c>
      <c r="N1418" s="15" t="str">
        <f ca="1">IFERROR(__xludf.DUMMYFUNCTION("""COMPUTED_VALUE"""),"unproven")</f>
        <v>unproven</v>
      </c>
      <c r="O1418" s="18" t="str">
        <f ca="1">IFERROR(__xludf.DUMMYFUNCTION("""COMPUTED_VALUE"""),"accept as skua spp")</f>
        <v>accept as skua spp</v>
      </c>
      <c r="P1418" s="15"/>
      <c r="Q1418" s="15"/>
      <c r="R1418" s="15"/>
      <c r="S1418" s="15"/>
      <c r="T1418" s="15"/>
      <c r="U1418" s="15"/>
      <c r="V1418" s="15"/>
      <c r="W1418" s="15"/>
      <c r="X1418" s="15"/>
      <c r="Y1418" s="15"/>
      <c r="Z1418" s="15"/>
      <c r="AA1418" s="15"/>
      <c r="AB1418" s="15"/>
      <c r="AC1418" s="15"/>
      <c r="AD1418" s="15"/>
      <c r="AE1418" s="15"/>
      <c r="AF1418" s="15"/>
      <c r="AG1418" s="15"/>
      <c r="AH1418" s="15"/>
      <c r="AI1418" s="15"/>
      <c r="AJ1418" s="15"/>
      <c r="AK1418" s="15"/>
      <c r="AL1418" s="15"/>
      <c r="AM1418" s="15"/>
      <c r="AN1418" s="15"/>
      <c r="AO1418" s="15"/>
      <c r="AP1418" s="15"/>
      <c r="AQ1418" s="15"/>
      <c r="AR1418" s="15"/>
      <c r="AS1418" s="15"/>
      <c r="AT1418" s="15"/>
      <c r="AU1418" s="15"/>
      <c r="AV1418" s="15"/>
      <c r="AW1418" s="15"/>
      <c r="AX1418" s="15"/>
      <c r="AY1418" s="15"/>
      <c r="AZ1418" s="15"/>
      <c r="BA1418" s="15"/>
      <c r="BB1418" s="15"/>
      <c r="BC1418" s="15"/>
      <c r="BD1418" s="15"/>
      <c r="BE1418" s="15"/>
      <c r="BF1418" s="15"/>
      <c r="BG1418" s="15"/>
      <c r="BH1418" s="15"/>
      <c r="BI1418" s="15"/>
      <c r="BJ1418" s="15"/>
      <c r="BK1418" s="15"/>
      <c r="BL1418" s="15"/>
      <c r="BM1418" s="15"/>
      <c r="BN1418" s="15"/>
      <c r="BO1418" s="15"/>
      <c r="BP1418" s="15"/>
      <c r="BQ1418" s="15"/>
      <c r="BR1418" s="15"/>
      <c r="BS1418" s="15"/>
      <c r="BT1418" s="15"/>
      <c r="BU1418" s="15"/>
      <c r="BV1418" s="15"/>
      <c r="BW1418" s="15"/>
      <c r="BX1418" s="15"/>
      <c r="BY1418" s="15"/>
      <c r="BZ1418" s="15"/>
      <c r="CA1418" s="15"/>
      <c r="CB1418" s="15"/>
    </row>
    <row r="1419" spans="1:80" ht="12.75" hidden="1" customHeight="1">
      <c r="A1419" s="20">
        <f ca="1">IFERROR(__xludf.DUMMYFUNCTION("""COMPUTED_VALUE"""),2020)</f>
        <v>2020</v>
      </c>
      <c r="B1419" s="45">
        <f ca="1">IFERROR(__xludf.DUMMYFUNCTION("""COMPUTED_VALUE"""),44576)</f>
        <v>44576</v>
      </c>
      <c r="C1419" s="46"/>
      <c r="D1419" s="47" t="str">
        <f ca="1">IFERROR(__xludf.DUMMYFUNCTION("""COMPUTED_VALUE"""),"Puffin")</f>
        <v>Puffin</v>
      </c>
      <c r="E1419" s="52">
        <f ca="1">IFERROR(__xludf.DUMMYFUNCTION("""COMPUTED_VALUE"""),1)</f>
        <v>1</v>
      </c>
      <c r="F1419" s="25"/>
      <c r="G1419" s="48" t="str">
        <f ca="1">IFERROR(__xludf.DUMMYFUNCTION("""COMPUTED_VALUE"""),"Hoylake")</f>
        <v>Hoylake</v>
      </c>
      <c r="H1419" s="22">
        <f ca="1">IFERROR(__xludf.DUMMYFUNCTION("""COMPUTED_VALUE"""),43952)</f>
        <v>43952</v>
      </c>
      <c r="I1419" s="23"/>
      <c r="J1419" s="24" t="str">
        <f ca="1">IFERROR(__xludf.DUMMYFUNCTION("""COMPUTED_VALUE"""),"Turner, JE")</f>
        <v>Turner, JE</v>
      </c>
      <c r="K1419" s="25" t="str">
        <f ca="1">IFERROR(__xludf.DUMMYFUNCTION("""COMPUTED_VALUE"""),"Turner, JE")</f>
        <v>Turner, JE</v>
      </c>
      <c r="L1419" s="27" t="str">
        <f ca="1">IFERROR(__xludf.DUMMYFUNCTION("""COMPUTED_VALUE"""),"closed")</f>
        <v>closed</v>
      </c>
      <c r="M1419" s="27" t="str">
        <f ca="1">IFERROR(__xludf.DUMMYFUNCTION("""COMPUTED_VALUE"""),"1st U")</f>
        <v>1st U</v>
      </c>
      <c r="N1419" s="25" t="str">
        <f ca="1">IFERROR(__xludf.DUMMYFUNCTION("""COMPUTED_VALUE"""),"accepted")</f>
        <v>accepted</v>
      </c>
      <c r="O1419" s="28" t="str">
        <f ca="1">IFERROR(__xludf.DUMMYFUNCTION("""COMPUTED_VALUE"""),"Flew in from offshore to join the flock feeding on sprats.")</f>
        <v>Flew in from offshore to join the flock feeding on sprats.</v>
      </c>
      <c r="P1419" s="25"/>
      <c r="Q1419" s="25"/>
      <c r="R1419" s="25"/>
      <c r="S1419" s="25"/>
      <c r="T1419" s="25"/>
      <c r="U1419" s="25"/>
      <c r="V1419" s="25"/>
      <c r="W1419" s="25"/>
      <c r="X1419" s="25"/>
      <c r="Y1419" s="25"/>
      <c r="Z1419" s="25"/>
      <c r="AA1419" s="25"/>
      <c r="AB1419" s="25"/>
      <c r="AC1419" s="25"/>
      <c r="AD1419" s="25"/>
      <c r="AE1419" s="25"/>
      <c r="AF1419" s="25"/>
      <c r="AG1419" s="25"/>
      <c r="AH1419" s="25"/>
      <c r="AI1419" s="25"/>
      <c r="AJ1419" s="25"/>
      <c r="AK1419" s="25"/>
      <c r="AL1419" s="25"/>
      <c r="AM1419" s="25"/>
      <c r="AN1419" s="25"/>
      <c r="AO1419" s="25"/>
      <c r="AP1419" s="25"/>
      <c r="AQ1419" s="25"/>
      <c r="AR1419" s="25"/>
      <c r="AS1419" s="25"/>
      <c r="AT1419" s="25"/>
      <c r="AU1419" s="25"/>
      <c r="AV1419" s="25"/>
      <c r="AW1419" s="25"/>
      <c r="AX1419" s="25"/>
      <c r="AY1419" s="25"/>
      <c r="AZ1419" s="25"/>
      <c r="BA1419" s="25"/>
      <c r="BB1419" s="25"/>
      <c r="BC1419" s="25"/>
      <c r="BD1419" s="25"/>
      <c r="BE1419" s="25"/>
      <c r="BF1419" s="25"/>
      <c r="BG1419" s="25"/>
      <c r="BH1419" s="25"/>
      <c r="BI1419" s="25"/>
      <c r="BJ1419" s="25"/>
      <c r="BK1419" s="25"/>
      <c r="BL1419" s="25"/>
      <c r="BM1419" s="25"/>
      <c r="BN1419" s="25"/>
      <c r="BO1419" s="25"/>
      <c r="BP1419" s="25"/>
      <c r="BQ1419" s="25"/>
      <c r="BR1419" s="25"/>
      <c r="BS1419" s="25"/>
      <c r="BT1419" s="25"/>
      <c r="BU1419" s="25"/>
      <c r="BV1419" s="25"/>
      <c r="BW1419" s="25"/>
      <c r="BX1419" s="25"/>
      <c r="BY1419" s="25"/>
      <c r="BZ1419" s="25"/>
      <c r="CA1419" s="25"/>
      <c r="CB1419" s="25"/>
    </row>
    <row r="1420" spans="1:80" ht="12.75" hidden="1" customHeight="1">
      <c r="A1420" s="10">
        <f ca="1">IFERROR(__xludf.DUMMYFUNCTION("""COMPUTED_VALUE"""),2020)</f>
        <v>2020</v>
      </c>
      <c r="B1420" s="50">
        <f ca="1">IFERROR(__xludf.DUMMYFUNCTION("""COMPUTED_VALUE"""),44570)</f>
        <v>44570</v>
      </c>
      <c r="C1420" s="41">
        <f ca="1">IFERROR(__xludf.DUMMYFUNCTION("""COMPUTED_VALUE"""),44408)</f>
        <v>44408</v>
      </c>
      <c r="D1420" s="42" t="str">
        <f ca="1">IFERROR(__xludf.DUMMYFUNCTION("""COMPUTED_VALUE"""),"Glossy Ibis")</f>
        <v>Glossy Ibis</v>
      </c>
      <c r="E1420" s="53">
        <f ca="1">IFERROR(__xludf.DUMMYFUNCTION("""COMPUTED_VALUE"""),1)</f>
        <v>1</v>
      </c>
      <c r="F1420" s="15"/>
      <c r="G1420" s="44" t="str">
        <f ca="1">IFERROR(__xludf.DUMMYFUNCTION("""COMPUTED_VALUE"""),"Lapwing Hall Pool")</f>
        <v>Lapwing Hall Pool</v>
      </c>
      <c r="H1420" s="12">
        <f ca="1">IFERROR(__xludf.DUMMYFUNCTION("""COMPUTED_VALUE"""),44087)</f>
        <v>44087</v>
      </c>
      <c r="I1420" s="13"/>
      <c r="J1420" s="14" t="str">
        <f ca="1">IFERROR(__xludf.DUMMYFUNCTION("""COMPUTED_VALUE"""),"Barber, S&amp;G")</f>
        <v>Barber, S&amp;G</v>
      </c>
      <c r="K1420" s="15" t="str">
        <f ca="1">IFERROR(__xludf.DUMMYFUNCTION("""COMPUTED_VALUE"""),"Barber, S&amp;G")</f>
        <v>Barber, S&amp;G</v>
      </c>
      <c r="L1420" s="17" t="str">
        <f ca="1">IFERROR(__xludf.DUMMYFUNCTION("""COMPUTED_VALUE"""),"closed")</f>
        <v>closed</v>
      </c>
      <c r="M1420" s="17" t="str">
        <f ca="1">IFERROR(__xludf.DUMMYFUNCTION("""COMPUTED_VALUE"""),"1st U")</f>
        <v>1st U</v>
      </c>
      <c r="N1420" s="15" t="str">
        <f ca="1">IFERROR(__xludf.DUMMYFUNCTION("""COMPUTED_VALUE"""),"accepted")</f>
        <v>accepted</v>
      </c>
      <c r="O1420" s="18"/>
      <c r="P1420" s="15"/>
      <c r="Q1420" s="15"/>
      <c r="R1420" s="15"/>
      <c r="S1420" s="15"/>
      <c r="T1420" s="15"/>
      <c r="U1420" s="15"/>
      <c r="V1420" s="15"/>
      <c r="W1420" s="15"/>
      <c r="X1420" s="15"/>
      <c r="Y1420" s="15"/>
      <c r="Z1420" s="15"/>
      <c r="AA1420" s="15"/>
      <c r="AB1420" s="15"/>
      <c r="AC1420" s="15"/>
      <c r="AD1420" s="15"/>
      <c r="AE1420" s="15"/>
      <c r="AF1420" s="15"/>
      <c r="AG1420" s="15"/>
      <c r="AH1420" s="15"/>
      <c r="AI1420" s="15"/>
      <c r="AJ1420" s="15"/>
      <c r="AK1420" s="15"/>
      <c r="AL1420" s="15"/>
      <c r="AM1420" s="15"/>
      <c r="AN1420" s="15"/>
      <c r="AO1420" s="15"/>
      <c r="AP1420" s="15"/>
      <c r="AQ1420" s="15"/>
      <c r="AR1420" s="15"/>
      <c r="AS1420" s="15"/>
      <c r="AT1420" s="15"/>
      <c r="AU1420" s="15"/>
      <c r="AV1420" s="15"/>
      <c r="AW1420" s="15"/>
      <c r="AX1420" s="15"/>
      <c r="AY1420" s="15"/>
      <c r="AZ1420" s="15"/>
      <c r="BA1420" s="15"/>
      <c r="BB1420" s="15"/>
      <c r="BC1420" s="15"/>
      <c r="BD1420" s="15"/>
      <c r="BE1420" s="15"/>
      <c r="BF1420" s="15"/>
      <c r="BG1420" s="15"/>
      <c r="BH1420" s="15"/>
      <c r="BI1420" s="15"/>
      <c r="BJ1420" s="15"/>
      <c r="BK1420" s="15"/>
      <c r="BL1420" s="15"/>
      <c r="BM1420" s="15"/>
      <c r="BN1420" s="15"/>
      <c r="BO1420" s="15"/>
      <c r="BP1420" s="15"/>
      <c r="BQ1420" s="15"/>
      <c r="BR1420" s="15"/>
      <c r="BS1420" s="15"/>
      <c r="BT1420" s="15"/>
      <c r="BU1420" s="15"/>
      <c r="BV1420" s="15"/>
      <c r="BW1420" s="15"/>
      <c r="BX1420" s="15"/>
      <c r="BY1420" s="15"/>
      <c r="BZ1420" s="15"/>
      <c r="CA1420" s="15"/>
      <c r="CB1420" s="15"/>
    </row>
    <row r="1421" spans="1:80" ht="12.75" hidden="1" customHeight="1">
      <c r="A1421" s="20">
        <f ca="1">IFERROR(__xludf.DUMMYFUNCTION("""COMPUTED_VALUE"""),2020)</f>
        <v>2020</v>
      </c>
      <c r="B1421" s="45">
        <f ca="1">IFERROR(__xludf.DUMMYFUNCTION("""COMPUTED_VALUE"""),44613)</f>
        <v>44613</v>
      </c>
      <c r="C1421" s="46">
        <f ca="1">IFERROR(__xludf.DUMMYFUNCTION("""COMPUTED_VALUE"""),44613)</f>
        <v>44613</v>
      </c>
      <c r="D1421" s="47" t="str">
        <f ca="1">IFERROR(__xludf.DUMMYFUNCTION("""COMPUTED_VALUE"""),"Night-Heron")</f>
        <v>Night-Heron</v>
      </c>
      <c r="E1421" s="52">
        <f ca="1">IFERROR(__xludf.DUMMYFUNCTION("""COMPUTED_VALUE"""),1)</f>
        <v>1</v>
      </c>
      <c r="F1421" s="25" t="str">
        <f ca="1">IFERROR(__xludf.DUMMYFUNCTION("""COMPUTED_VALUE"""),"ad")</f>
        <v>ad</v>
      </c>
      <c r="G1421" s="48"/>
      <c r="H1421" s="22">
        <f ca="1">IFERROR(__xludf.DUMMYFUNCTION("""COMPUTED_VALUE"""),43952)</f>
        <v>43952</v>
      </c>
      <c r="I1421" s="22">
        <f ca="1">IFERROR(__xludf.DUMMYFUNCTION("""COMPUTED_VALUE"""),43962)</f>
        <v>43962</v>
      </c>
      <c r="J1421" s="24" t="str">
        <f ca="1">IFERROR(__xludf.DUMMYFUNCTION("""COMPUTED_VALUE"""),"County recorder")</f>
        <v>County recorder</v>
      </c>
      <c r="K1421" s="25" t="str">
        <f ca="1">IFERROR(__xludf.DUMMYFUNCTION("""COMPUTED_VALUE"""),"anon")</f>
        <v>anon</v>
      </c>
      <c r="L1421" s="27" t="str">
        <f ca="1">IFERROR(__xludf.DUMMYFUNCTION("""COMPUTED_VALUE"""),"closed")</f>
        <v>closed</v>
      </c>
      <c r="M1421" s="27" t="str">
        <f ca="1">IFERROR(__xludf.DUMMYFUNCTION("""COMPUTED_VALUE"""),"1st U")</f>
        <v>1st U</v>
      </c>
      <c r="N1421" s="25" t="str">
        <f ca="1">IFERROR(__xludf.DUMMYFUNCTION("""COMPUTED_VALUE"""),"accepted")</f>
        <v>accepted</v>
      </c>
      <c r="O1421" s="28" t="str">
        <f ca="1">IFERROR(__xludf.DUMMYFUNCTION("""COMPUTED_VALUE"""),"observer wishes to remain anonymous")</f>
        <v>observer wishes to remain anonymous</v>
      </c>
      <c r="P1421" s="25"/>
      <c r="Q1421" s="25"/>
      <c r="R1421" s="25"/>
      <c r="S1421" s="25"/>
      <c r="T1421" s="25"/>
      <c r="U1421" s="25"/>
      <c r="V1421" s="25"/>
      <c r="W1421" s="25"/>
      <c r="X1421" s="25"/>
      <c r="Y1421" s="25"/>
      <c r="Z1421" s="25"/>
      <c r="AA1421" s="25"/>
      <c r="AB1421" s="25"/>
      <c r="AC1421" s="25"/>
      <c r="AD1421" s="25"/>
      <c r="AE1421" s="25"/>
      <c r="AF1421" s="25"/>
      <c r="AG1421" s="25"/>
      <c r="AH1421" s="25"/>
      <c r="AI1421" s="25"/>
      <c r="AJ1421" s="25"/>
      <c r="AK1421" s="25"/>
      <c r="AL1421" s="25"/>
      <c r="AM1421" s="25"/>
      <c r="AN1421" s="25"/>
      <c r="AO1421" s="25"/>
      <c r="AP1421" s="25"/>
      <c r="AQ1421" s="25"/>
      <c r="AR1421" s="25"/>
      <c r="AS1421" s="25"/>
      <c r="AT1421" s="25"/>
      <c r="AU1421" s="25"/>
      <c r="AV1421" s="25"/>
      <c r="AW1421" s="25"/>
      <c r="AX1421" s="25"/>
      <c r="AY1421" s="25"/>
      <c r="AZ1421" s="25"/>
      <c r="BA1421" s="25"/>
      <c r="BB1421" s="25"/>
      <c r="BC1421" s="25"/>
      <c r="BD1421" s="25"/>
      <c r="BE1421" s="25"/>
      <c r="BF1421" s="25"/>
      <c r="BG1421" s="25"/>
      <c r="BH1421" s="25"/>
      <c r="BI1421" s="25"/>
      <c r="BJ1421" s="25"/>
      <c r="BK1421" s="25"/>
      <c r="BL1421" s="25"/>
      <c r="BM1421" s="25"/>
      <c r="BN1421" s="25"/>
      <c r="BO1421" s="25"/>
      <c r="BP1421" s="25"/>
      <c r="BQ1421" s="25"/>
      <c r="BR1421" s="25"/>
      <c r="BS1421" s="25"/>
      <c r="BT1421" s="25"/>
      <c r="BU1421" s="25"/>
      <c r="BV1421" s="25"/>
      <c r="BW1421" s="25"/>
      <c r="BX1421" s="25"/>
      <c r="BY1421" s="25"/>
      <c r="BZ1421" s="25"/>
      <c r="CA1421" s="25"/>
      <c r="CB1421" s="25"/>
    </row>
    <row r="1422" spans="1:80" ht="12.75" hidden="1" customHeight="1">
      <c r="A1422" s="10">
        <f ca="1">IFERROR(__xludf.DUMMYFUNCTION("""COMPUTED_VALUE"""),2020)</f>
        <v>2020</v>
      </c>
      <c r="B1422" s="50">
        <f ca="1">IFERROR(__xludf.DUMMYFUNCTION("""COMPUTED_VALUE"""),44613)</f>
        <v>44613</v>
      </c>
      <c r="C1422" s="41">
        <f ca="1">IFERROR(__xludf.DUMMYFUNCTION("""COMPUTED_VALUE"""),44613)</f>
        <v>44613</v>
      </c>
      <c r="D1422" s="42" t="str">
        <f ca="1">IFERROR(__xludf.DUMMYFUNCTION("""COMPUTED_VALUE"""),"White-tailed Eagle")</f>
        <v>White-tailed Eagle</v>
      </c>
      <c r="E1422" s="53">
        <f ca="1">IFERROR(__xludf.DUMMYFUNCTION("""COMPUTED_VALUE"""),1)</f>
        <v>1</v>
      </c>
      <c r="F1422" s="15" t="str">
        <f ca="1">IFERROR(__xludf.DUMMYFUNCTION("""COMPUTED_VALUE"""),"juv")</f>
        <v>juv</v>
      </c>
      <c r="G1422" s="44" t="str">
        <f ca="1">IFERROR(__xludf.DUMMYFUNCTION("""COMPUTED_VALUE"""),"Macclesfield")</f>
        <v>Macclesfield</v>
      </c>
      <c r="H1422" s="12">
        <f ca="1">IFERROR(__xludf.DUMMYFUNCTION("""COMPUTED_VALUE"""),43934)</f>
        <v>43934</v>
      </c>
      <c r="I1422" s="13"/>
      <c r="J1422" s="14" t="str">
        <f ca="1">IFERROR(__xludf.DUMMYFUNCTION("""COMPUTED_VALUE"""),"Collis, D")</f>
        <v>Collis, D</v>
      </c>
      <c r="K1422" s="15" t="str">
        <f ca="1">IFERROR(__xludf.DUMMYFUNCTION("""COMPUTED_VALUE"""),"Collis, D")</f>
        <v>Collis, D</v>
      </c>
      <c r="L1422" s="17" t="str">
        <f ca="1">IFERROR(__xludf.DUMMYFUNCTION("""COMPUTED_VALUE"""),"closed")</f>
        <v>closed</v>
      </c>
      <c r="M1422" s="17" t="str">
        <f ca="1">IFERROR(__xludf.DUMMYFUNCTION("""COMPUTED_VALUE"""),"1st U")</f>
        <v>1st U</v>
      </c>
      <c r="N1422" s="15" t="str">
        <f ca="1">IFERROR(__xludf.DUMMYFUNCTION("""COMPUTED_VALUE"""),"Accepted")</f>
        <v>Accepted</v>
      </c>
      <c r="O1422" s="18"/>
      <c r="P1422" s="15"/>
      <c r="Q1422" s="15"/>
      <c r="R1422" s="58"/>
      <c r="S1422" s="15"/>
      <c r="T1422" s="15"/>
      <c r="U1422" s="15"/>
      <c r="V1422" s="15"/>
      <c r="W1422" s="15"/>
      <c r="X1422" s="15"/>
      <c r="Y1422" s="15"/>
      <c r="Z1422" s="15"/>
      <c r="AA1422" s="15"/>
      <c r="AB1422" s="15"/>
      <c r="AC1422" s="15"/>
      <c r="AD1422" s="15"/>
      <c r="AE1422" s="15"/>
      <c r="AF1422" s="15"/>
      <c r="AG1422" s="15"/>
      <c r="AH1422" s="15"/>
      <c r="AI1422" s="15"/>
      <c r="AJ1422" s="15"/>
      <c r="AK1422" s="15"/>
      <c r="AL1422" s="15"/>
      <c r="AM1422" s="15"/>
      <c r="AN1422" s="15"/>
      <c r="AO1422" s="15"/>
      <c r="AP1422" s="15"/>
      <c r="AQ1422" s="15"/>
      <c r="AR1422" s="15"/>
      <c r="AS1422" s="15"/>
      <c r="AT1422" s="15"/>
      <c r="AU1422" s="15"/>
      <c r="AV1422" s="15"/>
      <c r="AW1422" s="15"/>
      <c r="AX1422" s="15"/>
      <c r="AY1422" s="15"/>
      <c r="AZ1422" s="15"/>
      <c r="BA1422" s="15"/>
      <c r="BB1422" s="15"/>
      <c r="BC1422" s="15"/>
      <c r="BD1422" s="15"/>
      <c r="BE1422" s="15"/>
      <c r="BF1422" s="15"/>
      <c r="BG1422" s="15"/>
      <c r="BH1422" s="15"/>
      <c r="BI1422" s="15"/>
      <c r="BJ1422" s="15"/>
      <c r="BK1422" s="15"/>
      <c r="BL1422" s="15"/>
      <c r="BM1422" s="15"/>
      <c r="BN1422" s="15"/>
      <c r="BO1422" s="15"/>
      <c r="BP1422" s="15"/>
      <c r="BQ1422" s="15"/>
      <c r="BR1422" s="15"/>
      <c r="BS1422" s="15"/>
      <c r="BT1422" s="15"/>
      <c r="BU1422" s="15"/>
      <c r="BV1422" s="15"/>
      <c r="BW1422" s="15"/>
      <c r="BX1422" s="15"/>
      <c r="BY1422" s="15"/>
      <c r="BZ1422" s="15"/>
      <c r="CA1422" s="15"/>
      <c r="CB1422" s="15"/>
    </row>
    <row r="1423" spans="1:80" ht="12.75" hidden="1" customHeight="1">
      <c r="A1423" s="20">
        <f ca="1">IFERROR(__xludf.DUMMYFUNCTION("""COMPUTED_VALUE"""),2020)</f>
        <v>2020</v>
      </c>
      <c r="B1423" s="45">
        <f ca="1">IFERROR(__xludf.DUMMYFUNCTION("""COMPUTED_VALUE"""),43986)</f>
        <v>43986</v>
      </c>
      <c r="C1423" s="46">
        <f ca="1">IFERROR(__xludf.DUMMYFUNCTION("""COMPUTED_VALUE"""),44573)</f>
        <v>44573</v>
      </c>
      <c r="D1423" s="47" t="str">
        <f ca="1">IFERROR(__xludf.DUMMYFUNCTION("""COMPUTED_VALUE"""),"Hoopoe")</f>
        <v>Hoopoe</v>
      </c>
      <c r="E1423" s="52">
        <f ca="1">IFERROR(__xludf.DUMMYFUNCTION("""COMPUTED_VALUE"""),1)</f>
        <v>1</v>
      </c>
      <c r="F1423" s="25"/>
      <c r="G1423" s="48" t="str">
        <f ca="1">IFERROR(__xludf.DUMMYFUNCTION("""COMPUTED_VALUE"""),"Cuddington ")</f>
        <v xml:space="preserve">Cuddington </v>
      </c>
      <c r="H1423" s="22">
        <f ca="1">IFERROR(__xludf.DUMMYFUNCTION("""COMPUTED_VALUE"""),43944)</f>
        <v>43944</v>
      </c>
      <c r="I1423" s="23"/>
      <c r="J1423" s="24" t="str">
        <f ca="1">IFERROR(__xludf.DUMMYFUNCTION("""COMPUTED_VALUE"""),"County recorder")</f>
        <v>County recorder</v>
      </c>
      <c r="K1423" s="25" t="str">
        <f ca="1">IFERROR(__xludf.DUMMYFUNCTION("""COMPUTED_VALUE"""),"Gilbody, J")</f>
        <v>Gilbody, J</v>
      </c>
      <c r="L1423" s="27" t="str">
        <f ca="1">IFERROR(__xludf.DUMMYFUNCTION("""COMPUTED_VALUE"""),"closed")</f>
        <v>closed</v>
      </c>
      <c r="M1423" s="27" t="str">
        <f ca="1">IFERROR(__xludf.DUMMYFUNCTION("""COMPUTED_VALUE"""),"photo")</f>
        <v>photo</v>
      </c>
      <c r="N1423" s="25" t="str">
        <f ca="1">IFERROR(__xludf.DUMMYFUNCTION("""COMPUTED_VALUE"""),"Accepted w/o circ")</f>
        <v>Accepted w/o circ</v>
      </c>
      <c r="O1423" s="28"/>
      <c r="P1423" s="25"/>
      <c r="Q1423" s="25"/>
      <c r="R1423" s="40"/>
      <c r="S1423" s="25"/>
      <c r="T1423" s="25"/>
      <c r="U1423" s="25"/>
      <c r="V1423" s="25"/>
      <c r="W1423" s="25"/>
      <c r="X1423" s="25"/>
      <c r="Y1423" s="25"/>
      <c r="Z1423" s="25"/>
      <c r="AA1423" s="25"/>
      <c r="AB1423" s="25"/>
      <c r="AC1423" s="25"/>
      <c r="AD1423" s="25"/>
      <c r="AE1423" s="25"/>
      <c r="AF1423" s="25"/>
      <c r="AG1423" s="25"/>
      <c r="AH1423" s="25"/>
      <c r="AI1423" s="25"/>
      <c r="AJ1423" s="25"/>
      <c r="AK1423" s="25"/>
      <c r="AL1423" s="25"/>
      <c r="AM1423" s="25"/>
      <c r="AN1423" s="25"/>
      <c r="AO1423" s="25"/>
      <c r="AP1423" s="25"/>
      <c r="AQ1423" s="25"/>
      <c r="AR1423" s="25"/>
      <c r="AS1423" s="25"/>
      <c r="AT1423" s="25"/>
      <c r="AU1423" s="25"/>
      <c r="AV1423" s="25"/>
      <c r="AW1423" s="25"/>
      <c r="AX1423" s="25"/>
      <c r="AY1423" s="25"/>
      <c r="AZ1423" s="25"/>
      <c r="BA1423" s="25"/>
      <c r="BB1423" s="25"/>
      <c r="BC1423" s="25"/>
      <c r="BD1423" s="25"/>
      <c r="BE1423" s="25"/>
      <c r="BF1423" s="25"/>
      <c r="BG1423" s="25"/>
      <c r="BH1423" s="25"/>
      <c r="BI1423" s="25"/>
      <c r="BJ1423" s="25"/>
      <c r="BK1423" s="25"/>
      <c r="BL1423" s="25"/>
      <c r="BM1423" s="25"/>
      <c r="BN1423" s="25"/>
      <c r="BO1423" s="25"/>
      <c r="BP1423" s="25"/>
      <c r="BQ1423" s="25"/>
      <c r="BR1423" s="25"/>
      <c r="BS1423" s="25"/>
      <c r="BT1423" s="25"/>
      <c r="BU1423" s="25"/>
      <c r="BV1423" s="25"/>
      <c r="BW1423" s="25"/>
      <c r="BX1423" s="25"/>
      <c r="BY1423" s="25"/>
      <c r="BZ1423" s="25"/>
      <c r="CA1423" s="25"/>
      <c r="CB1423" s="25"/>
    </row>
    <row r="1424" spans="1:80" ht="12.75" hidden="1" customHeight="1">
      <c r="A1424" s="10">
        <f ca="1">IFERROR(__xludf.DUMMYFUNCTION("""COMPUTED_VALUE"""),2020)</f>
        <v>2020</v>
      </c>
      <c r="B1424" s="50">
        <f ca="1">IFERROR(__xludf.DUMMYFUNCTION("""COMPUTED_VALUE"""),44613)</f>
        <v>44613</v>
      </c>
      <c r="C1424" s="41">
        <f ca="1">IFERROR(__xludf.DUMMYFUNCTION("""COMPUTED_VALUE"""),44613)</f>
        <v>44613</v>
      </c>
      <c r="D1424" s="42" t="str">
        <f ca="1">IFERROR(__xludf.DUMMYFUNCTION("""COMPUTED_VALUE"""),"Hoopoe")</f>
        <v>Hoopoe</v>
      </c>
      <c r="E1424" s="53">
        <f ca="1">IFERROR(__xludf.DUMMYFUNCTION("""COMPUTED_VALUE"""),1)</f>
        <v>1</v>
      </c>
      <c r="F1424" s="15"/>
      <c r="G1424" s="44" t="str">
        <f ca="1">IFERROR(__xludf.DUMMYFUNCTION("""COMPUTED_VALUE"""),"Heswall")</f>
        <v>Heswall</v>
      </c>
      <c r="H1424" s="12">
        <f ca="1">IFERROR(__xludf.DUMMYFUNCTION("""COMPUTED_VALUE"""),43959)</f>
        <v>43959</v>
      </c>
      <c r="I1424" s="13"/>
      <c r="J1424" s="14"/>
      <c r="K1424" s="15"/>
      <c r="L1424" s="17" t="str">
        <f ca="1">IFERROR(__xludf.DUMMYFUNCTION("""COMPUTED_VALUE"""),"open")</f>
        <v>open</v>
      </c>
      <c r="M1424" s="17"/>
      <c r="N1424" s="15" t="str">
        <f ca="1">IFERROR(__xludf.DUMMYFUNCTION("""COMPUTED_VALUE"""),"in circulation")</f>
        <v>in circulation</v>
      </c>
      <c r="O1424" s="18"/>
      <c r="P1424" s="15"/>
      <c r="Q1424" s="15"/>
      <c r="R1424" s="58"/>
      <c r="S1424" s="15"/>
      <c r="T1424" s="15"/>
      <c r="U1424" s="15"/>
      <c r="V1424" s="15"/>
      <c r="W1424" s="15"/>
      <c r="X1424" s="15"/>
      <c r="Y1424" s="15"/>
      <c r="Z1424" s="15"/>
      <c r="AA1424" s="15"/>
      <c r="AB1424" s="15"/>
      <c r="AC1424" s="15"/>
      <c r="AD1424" s="15"/>
      <c r="AE1424" s="15"/>
      <c r="AF1424" s="15"/>
      <c r="AG1424" s="15"/>
      <c r="AH1424" s="15"/>
      <c r="AI1424" s="15"/>
      <c r="AJ1424" s="15"/>
      <c r="AK1424" s="15"/>
      <c r="AL1424" s="15"/>
      <c r="AM1424" s="15"/>
      <c r="AN1424" s="15"/>
      <c r="AO1424" s="15"/>
      <c r="AP1424" s="15"/>
      <c r="AQ1424" s="15"/>
      <c r="AR1424" s="15"/>
      <c r="AS1424" s="15"/>
      <c r="AT1424" s="15"/>
      <c r="AU1424" s="15"/>
      <c r="AV1424" s="15"/>
      <c r="AW1424" s="15"/>
      <c r="AX1424" s="15"/>
      <c r="AY1424" s="15"/>
      <c r="AZ1424" s="15"/>
      <c r="BA1424" s="15"/>
      <c r="BB1424" s="15"/>
      <c r="BC1424" s="15"/>
      <c r="BD1424" s="15"/>
      <c r="BE1424" s="15"/>
      <c r="BF1424" s="15"/>
      <c r="BG1424" s="15"/>
      <c r="BH1424" s="15"/>
      <c r="BI1424" s="15"/>
      <c r="BJ1424" s="15"/>
      <c r="BK1424" s="15"/>
      <c r="BL1424" s="15"/>
      <c r="BM1424" s="15"/>
      <c r="BN1424" s="15"/>
      <c r="BO1424" s="15"/>
      <c r="BP1424" s="15"/>
      <c r="BQ1424" s="15"/>
      <c r="BR1424" s="15"/>
      <c r="BS1424" s="15"/>
      <c r="BT1424" s="15"/>
      <c r="BU1424" s="15"/>
      <c r="BV1424" s="15"/>
      <c r="BW1424" s="15"/>
      <c r="BX1424" s="15"/>
      <c r="BY1424" s="15"/>
      <c r="BZ1424" s="15"/>
      <c r="CA1424" s="15"/>
      <c r="CB1424" s="15"/>
    </row>
    <row r="1425" spans="1:80" ht="12.75" hidden="1" customHeight="1">
      <c r="A1425" s="20">
        <f ca="1">IFERROR(__xludf.DUMMYFUNCTION("""COMPUTED_VALUE"""),2020)</f>
        <v>2020</v>
      </c>
      <c r="B1425" s="45">
        <f ca="1">IFERROR(__xludf.DUMMYFUNCTION("""COMPUTED_VALUE"""),43986)</f>
        <v>43986</v>
      </c>
      <c r="C1425" s="46"/>
      <c r="D1425" s="47" t="str">
        <f ca="1">IFERROR(__xludf.DUMMYFUNCTION("""COMPUTED_VALUE"""),"Hoopoe")</f>
        <v>Hoopoe</v>
      </c>
      <c r="E1425" s="52">
        <f ca="1">IFERROR(__xludf.DUMMYFUNCTION("""COMPUTED_VALUE"""),1)</f>
        <v>1</v>
      </c>
      <c r="F1425" s="25"/>
      <c r="G1425" s="48" t="str">
        <f ca="1">IFERROR(__xludf.DUMMYFUNCTION("""COMPUTED_VALUE"""),"Heswall")</f>
        <v>Heswall</v>
      </c>
      <c r="H1425" s="22">
        <f ca="1">IFERROR(__xludf.DUMMYFUNCTION("""COMPUTED_VALUE"""),43969)</f>
        <v>43969</v>
      </c>
      <c r="I1425" s="22"/>
      <c r="J1425" s="24"/>
      <c r="K1425" s="25"/>
      <c r="L1425" s="27" t="str">
        <f ca="1">IFERROR(__xludf.DUMMYFUNCTION("""COMPUTED_VALUE"""),"limbo")</f>
        <v>limbo</v>
      </c>
      <c r="M1425" s="27"/>
      <c r="N1425" s="25" t="str">
        <f ca="1">IFERROR(__xludf.DUMMYFUNCTION("""COMPUTED_VALUE"""),"not submitted")</f>
        <v>not submitted</v>
      </c>
      <c r="O1425" s="28" t="str">
        <f ca="1">IFERROR(__xludf.DUMMYFUNCTION("""COMPUTED_VALUE"""),"flight view no desc as yet, need to locate observer (again)")</f>
        <v>flight view no desc as yet, need to locate observer (again)</v>
      </c>
      <c r="P1425" s="25"/>
      <c r="Q1425" s="25"/>
      <c r="R1425" s="40"/>
      <c r="S1425" s="25"/>
      <c r="T1425" s="25"/>
      <c r="U1425" s="25"/>
      <c r="V1425" s="25"/>
      <c r="W1425" s="25"/>
      <c r="X1425" s="25"/>
      <c r="Y1425" s="25"/>
      <c r="Z1425" s="25"/>
      <c r="AA1425" s="25"/>
      <c r="AB1425" s="25"/>
      <c r="AC1425" s="25"/>
      <c r="AD1425" s="25"/>
      <c r="AE1425" s="25"/>
      <c r="AF1425" s="25"/>
      <c r="AG1425" s="25"/>
      <c r="AH1425" s="25"/>
      <c r="AI1425" s="25"/>
      <c r="AJ1425" s="25"/>
      <c r="AK1425" s="25"/>
      <c r="AL1425" s="25"/>
      <c r="AM1425" s="25"/>
      <c r="AN1425" s="25"/>
      <c r="AO1425" s="25"/>
      <c r="AP1425" s="25"/>
      <c r="AQ1425" s="25"/>
      <c r="AR1425" s="25"/>
      <c r="AS1425" s="25"/>
      <c r="AT1425" s="25"/>
      <c r="AU1425" s="25"/>
      <c r="AV1425" s="25"/>
      <c r="AW1425" s="25"/>
      <c r="AX1425" s="25"/>
      <c r="AY1425" s="25"/>
      <c r="AZ1425" s="25"/>
      <c r="BA1425" s="25"/>
      <c r="BB1425" s="25"/>
      <c r="BC1425" s="25"/>
      <c r="BD1425" s="25"/>
      <c r="BE1425" s="25"/>
      <c r="BF1425" s="25"/>
      <c r="BG1425" s="25"/>
      <c r="BH1425" s="25"/>
      <c r="BI1425" s="25"/>
      <c r="BJ1425" s="25"/>
      <c r="BK1425" s="25"/>
      <c r="BL1425" s="25"/>
      <c r="BM1425" s="25"/>
      <c r="BN1425" s="25"/>
      <c r="BO1425" s="25"/>
      <c r="BP1425" s="25"/>
      <c r="BQ1425" s="25"/>
      <c r="BR1425" s="25"/>
      <c r="BS1425" s="25"/>
      <c r="BT1425" s="25"/>
      <c r="BU1425" s="25"/>
      <c r="BV1425" s="25"/>
      <c r="BW1425" s="25"/>
      <c r="BX1425" s="25"/>
      <c r="BY1425" s="25"/>
      <c r="BZ1425" s="25"/>
      <c r="CA1425" s="25"/>
      <c r="CB1425" s="25"/>
    </row>
    <row r="1426" spans="1:80" ht="12.75" hidden="1" customHeight="1">
      <c r="A1426" s="10">
        <f ca="1">IFERROR(__xludf.DUMMYFUNCTION("""COMPUTED_VALUE"""),2020)</f>
        <v>2020</v>
      </c>
      <c r="B1426" s="50">
        <f ca="1">IFERROR(__xludf.DUMMYFUNCTION("""COMPUTED_VALUE"""),44409)</f>
        <v>44409</v>
      </c>
      <c r="C1426" s="41">
        <f ca="1">IFERROR(__xludf.DUMMYFUNCTION("""COMPUTED_VALUE"""),44605)</f>
        <v>44605</v>
      </c>
      <c r="D1426" s="42" t="str">
        <f ca="1">IFERROR(__xludf.DUMMYFUNCTION("""COMPUTED_VALUE"""),"Hoopoe")</f>
        <v>Hoopoe</v>
      </c>
      <c r="E1426" s="53">
        <f ca="1">IFERROR(__xludf.DUMMYFUNCTION("""COMPUTED_VALUE"""),1)</f>
        <v>1</v>
      </c>
      <c r="F1426" s="15"/>
      <c r="G1426" s="44" t="str">
        <f ca="1">IFERROR(__xludf.DUMMYFUNCTION("""COMPUTED_VALUE"""),"Leigh")</f>
        <v>Leigh</v>
      </c>
      <c r="H1426" s="12">
        <f ca="1">IFERROR(__xludf.DUMMYFUNCTION("""COMPUTED_VALUE"""),44005)</f>
        <v>44005</v>
      </c>
      <c r="I1426" s="12">
        <f ca="1">IFERROR(__xludf.DUMMYFUNCTION("""COMPUTED_VALUE"""),44011)</f>
        <v>44011</v>
      </c>
      <c r="J1426" s="14" t="str">
        <f ca="1">IFERROR(__xludf.DUMMYFUNCTION("""COMPUTED_VALUE"""),"Burns, J")</f>
        <v>Burns, J</v>
      </c>
      <c r="K1426" s="15"/>
      <c r="L1426" s="17" t="str">
        <f ca="1">IFERROR(__xludf.DUMMYFUNCTION("""COMPUTED_VALUE"""),"closed")</f>
        <v>closed</v>
      </c>
      <c r="M1426" s="17" t="str">
        <f ca="1">IFERROR(__xludf.DUMMYFUNCTION("""COMPUTED_VALUE"""),"1st U")</f>
        <v>1st U</v>
      </c>
      <c r="N1426" s="15" t="str">
        <f ca="1">IFERROR(__xludf.DUMMYFUNCTION("""COMPUTED_VALUE"""),"Accepted")</f>
        <v>Accepted</v>
      </c>
      <c r="O1426" s="18"/>
      <c r="P1426" s="15"/>
      <c r="Q1426" s="15"/>
      <c r="R1426" s="15"/>
      <c r="S1426" s="15"/>
      <c r="T1426" s="15"/>
      <c r="U1426" s="15"/>
      <c r="V1426" s="15"/>
      <c r="W1426" s="15"/>
      <c r="X1426" s="15"/>
      <c r="Y1426" s="15"/>
      <c r="Z1426" s="15"/>
      <c r="AA1426" s="15"/>
      <c r="AB1426" s="15"/>
      <c r="AC1426" s="15"/>
      <c r="AD1426" s="15"/>
      <c r="AE1426" s="15"/>
      <c r="AF1426" s="15"/>
      <c r="AG1426" s="15"/>
      <c r="AH1426" s="15"/>
      <c r="AI1426" s="15"/>
      <c r="AJ1426" s="15"/>
      <c r="AK1426" s="15"/>
      <c r="AL1426" s="15"/>
      <c r="AM1426" s="15"/>
      <c r="AN1426" s="15"/>
      <c r="AO1426" s="15"/>
      <c r="AP1426" s="15"/>
      <c r="AQ1426" s="15"/>
      <c r="AR1426" s="15"/>
      <c r="AS1426" s="15"/>
      <c r="AT1426" s="15"/>
      <c r="AU1426" s="15"/>
      <c r="AV1426" s="15"/>
      <c r="AW1426" s="15"/>
      <c r="AX1426" s="15"/>
      <c r="AY1426" s="15"/>
      <c r="AZ1426" s="15"/>
      <c r="BA1426" s="15"/>
      <c r="BB1426" s="15"/>
      <c r="BC1426" s="15"/>
      <c r="BD1426" s="15"/>
      <c r="BE1426" s="15"/>
      <c r="BF1426" s="15"/>
      <c r="BG1426" s="15"/>
      <c r="BH1426" s="15"/>
      <c r="BI1426" s="15"/>
      <c r="BJ1426" s="15"/>
      <c r="BK1426" s="15"/>
      <c r="BL1426" s="15"/>
      <c r="BM1426" s="15"/>
      <c r="BN1426" s="15"/>
      <c r="BO1426" s="15"/>
      <c r="BP1426" s="15"/>
      <c r="BQ1426" s="15"/>
      <c r="BR1426" s="15"/>
      <c r="BS1426" s="15"/>
      <c r="BT1426" s="15"/>
      <c r="BU1426" s="15"/>
      <c r="BV1426" s="15"/>
      <c r="BW1426" s="15"/>
      <c r="BX1426" s="15"/>
      <c r="BY1426" s="15"/>
      <c r="BZ1426" s="15"/>
      <c r="CA1426" s="15"/>
      <c r="CB1426" s="15"/>
    </row>
    <row r="1427" spans="1:80" ht="12.75" hidden="1" customHeight="1">
      <c r="A1427" s="20">
        <f ca="1">IFERROR(__xludf.DUMMYFUNCTION("""COMPUTED_VALUE"""),2020)</f>
        <v>2020</v>
      </c>
      <c r="B1427" s="45"/>
      <c r="C1427" s="46"/>
      <c r="D1427" s="47" t="str">
        <f ca="1">IFERROR(__xludf.DUMMYFUNCTION("""COMPUTED_VALUE"""),"Great Grey Shrike")</f>
        <v>Great Grey Shrike</v>
      </c>
      <c r="E1427" s="52">
        <f ca="1">IFERROR(__xludf.DUMMYFUNCTION("""COMPUTED_VALUE"""),1)</f>
        <v>1</v>
      </c>
      <c r="F1427" s="40"/>
      <c r="G1427" s="71" t="str">
        <f ca="1">IFERROR(__xludf.DUMMYFUNCTION("""COMPUTED_VALUE"""),"Wrenbury")</f>
        <v>Wrenbury</v>
      </c>
      <c r="H1427" s="22">
        <f ca="1">IFERROR(__xludf.DUMMYFUNCTION("""COMPUTED_VALUE"""),43889)</f>
        <v>43889</v>
      </c>
      <c r="I1427" s="22"/>
      <c r="J1427" s="73"/>
      <c r="K1427" s="25"/>
      <c r="L1427" s="27" t="str">
        <f ca="1">IFERROR(__xludf.DUMMYFUNCTION("""COMPUTED_VALUE"""),"check")</f>
        <v>check</v>
      </c>
      <c r="M1427" s="27"/>
      <c r="N1427" s="40" t="str">
        <f ca="1">IFERROR(__xludf.DUMMYFUNCTION("""COMPUTED_VALUE"""),"check")</f>
        <v>check</v>
      </c>
      <c r="O1427" s="74"/>
      <c r="P1427" s="25"/>
      <c r="Q1427" s="40"/>
      <c r="R1427" s="40"/>
      <c r="S1427" s="25"/>
      <c r="T1427" s="25"/>
      <c r="U1427" s="25"/>
      <c r="V1427" s="25"/>
      <c r="W1427" s="25"/>
      <c r="X1427" s="25"/>
      <c r="Y1427" s="25"/>
      <c r="Z1427" s="25"/>
      <c r="AA1427" s="25"/>
      <c r="AB1427" s="25"/>
      <c r="AC1427" s="25"/>
      <c r="AD1427" s="25"/>
      <c r="AE1427" s="25"/>
      <c r="AF1427" s="25"/>
      <c r="AG1427" s="25"/>
      <c r="AH1427" s="25"/>
      <c r="AI1427" s="25"/>
      <c r="AJ1427" s="25"/>
      <c r="AK1427" s="25"/>
      <c r="AL1427" s="25"/>
      <c r="AM1427" s="25"/>
      <c r="AN1427" s="25"/>
      <c r="AO1427" s="25"/>
      <c r="AP1427" s="25"/>
      <c r="AQ1427" s="25"/>
      <c r="AR1427" s="25"/>
      <c r="AS1427" s="25"/>
      <c r="AT1427" s="25"/>
      <c r="AU1427" s="25"/>
      <c r="AV1427" s="25"/>
      <c r="AW1427" s="25"/>
      <c r="AX1427" s="25"/>
      <c r="AY1427" s="25"/>
      <c r="AZ1427" s="25"/>
      <c r="BA1427" s="25"/>
      <c r="BB1427" s="25"/>
      <c r="BC1427" s="25"/>
      <c r="BD1427" s="25"/>
      <c r="BE1427" s="25"/>
      <c r="BF1427" s="25"/>
      <c r="BG1427" s="25"/>
      <c r="BH1427" s="25"/>
      <c r="BI1427" s="25"/>
      <c r="BJ1427" s="25"/>
      <c r="BK1427" s="25"/>
      <c r="BL1427" s="25"/>
      <c r="BM1427" s="25"/>
      <c r="BN1427" s="25"/>
      <c r="BO1427" s="25"/>
      <c r="BP1427" s="25"/>
      <c r="BQ1427" s="25"/>
      <c r="BR1427" s="25"/>
      <c r="BS1427" s="25"/>
      <c r="BT1427" s="25"/>
      <c r="BU1427" s="25"/>
      <c r="BV1427" s="25"/>
      <c r="BW1427" s="25"/>
      <c r="BX1427" s="25"/>
      <c r="BY1427" s="25"/>
      <c r="BZ1427" s="25"/>
      <c r="CA1427" s="25"/>
      <c r="CB1427" s="25"/>
    </row>
    <row r="1428" spans="1:80" ht="12.75" hidden="1" customHeight="1">
      <c r="A1428" s="10">
        <f ca="1">IFERROR(__xludf.DUMMYFUNCTION("""COMPUTED_VALUE"""),2020)</f>
        <v>2020</v>
      </c>
      <c r="B1428" s="50">
        <f ca="1">IFERROR(__xludf.DUMMYFUNCTION("""COMPUTED_VALUE"""),44613)</f>
        <v>44613</v>
      </c>
      <c r="C1428" s="41">
        <f ca="1">IFERROR(__xludf.DUMMYFUNCTION("""COMPUTED_VALUE"""),44403)</f>
        <v>44403</v>
      </c>
      <c r="D1428" s="42" t="str">
        <f ca="1">IFERROR(__xludf.DUMMYFUNCTION("""COMPUTED_VALUE"""),"Golden Oriole")</f>
        <v>Golden Oriole</v>
      </c>
      <c r="E1428" s="53">
        <f ca="1">IFERROR(__xludf.DUMMYFUNCTION("""COMPUTED_VALUE"""),1)</f>
        <v>1</v>
      </c>
      <c r="F1428" s="15" t="str">
        <f ca="1">IFERROR(__xludf.DUMMYFUNCTION("""COMPUTED_VALUE"""),"2nd cal M")</f>
        <v>2nd cal M</v>
      </c>
      <c r="G1428" s="44" t="str">
        <f ca="1">IFERROR(__xludf.DUMMYFUNCTION("""COMPUTED_VALUE"""),"Sand Lane, Eaton nr Congleton")</f>
        <v>Sand Lane, Eaton nr Congleton</v>
      </c>
      <c r="H1428" s="12">
        <f ca="1">IFERROR(__xludf.DUMMYFUNCTION("""COMPUTED_VALUE"""),43964)</f>
        <v>43964</v>
      </c>
      <c r="I1428" s="13"/>
      <c r="J1428" s="14"/>
      <c r="K1428" s="15"/>
      <c r="L1428" s="17" t="str">
        <f ca="1">IFERROR(__xludf.DUMMYFUNCTION("""COMPUTED_VALUE"""),"closed")</f>
        <v>closed</v>
      </c>
      <c r="M1428" s="17"/>
      <c r="N1428" s="15" t="str">
        <f ca="1">IFERROR(__xludf.DUMMYFUNCTION("""COMPUTED_VALUE"""),"unproven")</f>
        <v>unproven</v>
      </c>
      <c r="O1428" s="18" t="str">
        <f ca="1">IFERROR(__xludf.DUMMYFUNCTION("""COMPUTED_VALUE"""),"more detail requested but not received")</f>
        <v>more detail requested but not received</v>
      </c>
      <c r="P1428" s="15"/>
      <c r="Q1428" s="15"/>
      <c r="R1428" s="15"/>
      <c r="S1428" s="15"/>
      <c r="T1428" s="15"/>
      <c r="U1428" s="15"/>
      <c r="V1428" s="15"/>
      <c r="W1428" s="15"/>
      <c r="X1428" s="15"/>
      <c r="Y1428" s="15"/>
      <c r="Z1428" s="15"/>
      <c r="AA1428" s="15"/>
      <c r="AB1428" s="15"/>
      <c r="AC1428" s="15"/>
      <c r="AD1428" s="15"/>
      <c r="AE1428" s="15"/>
      <c r="AF1428" s="15"/>
      <c r="AG1428" s="15"/>
      <c r="AH1428" s="15"/>
      <c r="AI1428" s="15"/>
      <c r="AJ1428" s="15"/>
      <c r="AK1428" s="15"/>
      <c r="AL1428" s="15"/>
      <c r="AM1428" s="15"/>
      <c r="AN1428" s="15"/>
      <c r="AO1428" s="15"/>
      <c r="AP1428" s="15"/>
      <c r="AQ1428" s="15"/>
      <c r="AR1428" s="15"/>
      <c r="AS1428" s="15"/>
      <c r="AT1428" s="15"/>
      <c r="AU1428" s="15"/>
      <c r="AV1428" s="15"/>
      <c r="AW1428" s="15"/>
      <c r="AX1428" s="15"/>
      <c r="AY1428" s="15"/>
      <c r="AZ1428" s="15"/>
      <c r="BA1428" s="15"/>
      <c r="BB1428" s="15"/>
      <c r="BC1428" s="15"/>
      <c r="BD1428" s="15"/>
      <c r="BE1428" s="15"/>
      <c r="BF1428" s="15"/>
      <c r="BG1428" s="15"/>
      <c r="BH1428" s="15"/>
      <c r="BI1428" s="15"/>
      <c r="BJ1428" s="15"/>
      <c r="BK1428" s="15"/>
      <c r="BL1428" s="15"/>
      <c r="BM1428" s="15"/>
      <c r="BN1428" s="15"/>
      <c r="BO1428" s="15"/>
      <c r="BP1428" s="15"/>
      <c r="BQ1428" s="15"/>
      <c r="BR1428" s="15"/>
      <c r="BS1428" s="15"/>
      <c r="BT1428" s="15"/>
      <c r="BU1428" s="15"/>
      <c r="BV1428" s="15"/>
      <c r="BW1428" s="15"/>
      <c r="BX1428" s="15"/>
      <c r="BY1428" s="15"/>
      <c r="BZ1428" s="15"/>
      <c r="CA1428" s="15"/>
      <c r="CB1428" s="15"/>
    </row>
    <row r="1429" spans="1:80" ht="12.75" hidden="1" customHeight="1">
      <c r="A1429" s="20">
        <f ca="1">IFERROR(__xludf.DUMMYFUNCTION("""COMPUTED_VALUE"""),2020)</f>
        <v>2020</v>
      </c>
      <c r="B1429" s="45">
        <f ca="1">IFERROR(__xludf.DUMMYFUNCTION("""COMPUTED_VALUE"""),44572)</f>
        <v>44572</v>
      </c>
      <c r="C1429" s="46"/>
      <c r="D1429" s="47" t="str">
        <f ca="1">IFERROR(__xludf.DUMMYFUNCTION("""COMPUTED_VALUE"""),"Chough")</f>
        <v>Chough</v>
      </c>
      <c r="E1429" s="52">
        <f ca="1">IFERROR(__xludf.DUMMYFUNCTION("""COMPUTED_VALUE"""),1)</f>
        <v>1</v>
      </c>
      <c r="F1429" s="25"/>
      <c r="G1429" s="48" t="str">
        <f ca="1">IFERROR(__xludf.DUMMYFUNCTION("""COMPUTED_VALUE"""),"Shavington, Crewe")</f>
        <v>Shavington, Crewe</v>
      </c>
      <c r="H1429" s="22">
        <f ca="1">IFERROR(__xludf.DUMMYFUNCTION("""COMPUTED_VALUE"""),44014)</f>
        <v>44014</v>
      </c>
      <c r="I1429" s="23"/>
      <c r="J1429" s="24"/>
      <c r="K1429" s="25"/>
      <c r="L1429" s="27" t="str">
        <f ca="1">IFERROR(__xludf.DUMMYFUNCTION("""COMPUTED_VALUE"""),"check")</f>
        <v>check</v>
      </c>
      <c r="M1429" s="27"/>
      <c r="N1429" s="25" t="str">
        <f ca="1">IFERROR(__xludf.DUMMYFUNCTION("""COMPUTED_VALUE"""),"check")</f>
        <v>check</v>
      </c>
      <c r="O1429" s="28" t="str">
        <f ca="1">IFERROR(__xludf.DUMMYFUNCTION("""COMPUTED_VALUE"""),"should have been circulated")</f>
        <v>should have been circulated</v>
      </c>
      <c r="P1429" s="25"/>
      <c r="Q1429" s="25"/>
      <c r="R1429" s="40"/>
      <c r="S1429" s="25"/>
      <c r="T1429" s="25"/>
      <c r="U1429" s="25"/>
      <c r="V1429" s="25"/>
      <c r="W1429" s="25"/>
      <c r="X1429" s="25"/>
      <c r="Y1429" s="25"/>
      <c r="Z1429" s="25"/>
      <c r="AA1429" s="25"/>
      <c r="AB1429" s="25"/>
      <c r="AC1429" s="25"/>
      <c r="AD1429" s="25"/>
      <c r="AE1429" s="25"/>
      <c r="AF1429" s="25"/>
      <c r="AG1429" s="25"/>
      <c r="AH1429" s="25"/>
      <c r="AI1429" s="25"/>
      <c r="AJ1429" s="25"/>
      <c r="AK1429" s="25"/>
      <c r="AL1429" s="25"/>
      <c r="AM1429" s="25"/>
      <c r="AN1429" s="25"/>
      <c r="AO1429" s="25"/>
      <c r="AP1429" s="25"/>
      <c r="AQ1429" s="25"/>
      <c r="AR1429" s="25"/>
      <c r="AS1429" s="25"/>
      <c r="AT1429" s="25"/>
      <c r="AU1429" s="25"/>
      <c r="AV1429" s="25"/>
      <c r="AW1429" s="25"/>
      <c r="AX1429" s="25"/>
      <c r="AY1429" s="25"/>
      <c r="AZ1429" s="25"/>
      <c r="BA1429" s="25"/>
      <c r="BB1429" s="25"/>
      <c r="BC1429" s="25"/>
      <c r="BD1429" s="25"/>
      <c r="BE1429" s="25"/>
      <c r="BF1429" s="25"/>
      <c r="BG1429" s="25"/>
      <c r="BH1429" s="25"/>
      <c r="BI1429" s="25"/>
      <c r="BJ1429" s="25"/>
      <c r="BK1429" s="25"/>
      <c r="BL1429" s="25"/>
      <c r="BM1429" s="25"/>
      <c r="BN1429" s="25"/>
      <c r="BO1429" s="25"/>
      <c r="BP1429" s="25"/>
      <c r="BQ1429" s="25"/>
      <c r="BR1429" s="25"/>
      <c r="BS1429" s="25"/>
      <c r="BT1429" s="25"/>
      <c r="BU1429" s="25"/>
      <c r="BV1429" s="25"/>
      <c r="BW1429" s="25"/>
      <c r="BX1429" s="25"/>
      <c r="BY1429" s="25"/>
      <c r="BZ1429" s="25"/>
      <c r="CA1429" s="25"/>
      <c r="CB1429" s="25"/>
    </row>
    <row r="1430" spans="1:80" ht="12.75" hidden="1" customHeight="1">
      <c r="A1430" s="10">
        <f ca="1">IFERROR(__xludf.DUMMYFUNCTION("""COMPUTED_VALUE"""),2020)</f>
        <v>2020</v>
      </c>
      <c r="B1430" s="50">
        <f ca="1">IFERROR(__xludf.DUMMYFUNCTION("""COMPUTED_VALUE"""),44573)</f>
        <v>44573</v>
      </c>
      <c r="C1430" s="41"/>
      <c r="D1430" s="42" t="str">
        <f ca="1">IFERROR(__xludf.DUMMYFUNCTION("""COMPUTED_VALUE"""),"Hooded Crow")</f>
        <v>Hooded Crow</v>
      </c>
      <c r="E1430" s="53">
        <f ca="1">IFERROR(__xludf.DUMMYFUNCTION("""COMPUTED_VALUE"""),1)</f>
        <v>1</v>
      </c>
      <c r="F1430" s="15"/>
      <c r="G1430" s="44" t="str">
        <f ca="1">IFERROR(__xludf.DUMMYFUNCTION("""COMPUTED_VALUE"""),"Hilbre")</f>
        <v>Hilbre</v>
      </c>
      <c r="H1430" s="12">
        <f ca="1">IFERROR(__xludf.DUMMYFUNCTION("""COMPUTED_VALUE"""),43946)</f>
        <v>43946</v>
      </c>
      <c r="I1430" s="13"/>
      <c r="J1430" s="14" t="str">
        <f ca="1">IFERROR(__xludf.DUMMYFUNCTION("""COMPUTED_VALUE"""),"Birdguides")</f>
        <v>Birdguides</v>
      </c>
      <c r="K1430" s="15"/>
      <c r="L1430" s="17" t="str">
        <f ca="1">IFERROR(__xludf.DUMMYFUNCTION("""COMPUTED_VALUE"""),"Check")</f>
        <v>Check</v>
      </c>
      <c r="M1430" s="17"/>
      <c r="N1430" s="15" t="str">
        <f ca="1">IFERROR(__xludf.DUMMYFUNCTION("""COMPUTED_VALUE"""),"Check")</f>
        <v>Check</v>
      </c>
      <c r="O1430" s="18"/>
      <c r="P1430" s="15"/>
      <c r="Q1430" s="15"/>
      <c r="R1430" s="15"/>
      <c r="S1430" s="15"/>
      <c r="T1430" s="15"/>
      <c r="U1430" s="15"/>
      <c r="V1430" s="15"/>
      <c r="W1430" s="15"/>
      <c r="X1430" s="15"/>
      <c r="Y1430" s="15"/>
      <c r="Z1430" s="15"/>
      <c r="AA1430" s="15"/>
      <c r="AB1430" s="15"/>
      <c r="AC1430" s="15"/>
      <c r="AD1430" s="15"/>
      <c r="AE1430" s="15"/>
      <c r="AF1430" s="15"/>
      <c r="AG1430" s="15"/>
      <c r="AH1430" s="15"/>
      <c r="AI1430" s="15"/>
      <c r="AJ1430" s="15"/>
      <c r="AK1430" s="15"/>
      <c r="AL1430" s="15"/>
      <c r="AM1430" s="15"/>
      <c r="AN1430" s="15"/>
      <c r="AO1430" s="15"/>
      <c r="AP1430" s="15"/>
      <c r="AQ1430" s="15"/>
      <c r="AR1430" s="15"/>
      <c r="AS1430" s="15"/>
      <c r="AT1430" s="15"/>
      <c r="AU1430" s="15"/>
      <c r="AV1430" s="15"/>
      <c r="AW1430" s="15"/>
      <c r="AX1430" s="15"/>
      <c r="AY1430" s="15"/>
      <c r="AZ1430" s="15"/>
      <c r="BA1430" s="15"/>
      <c r="BB1430" s="15"/>
      <c r="BC1430" s="15"/>
      <c r="BD1430" s="15"/>
      <c r="BE1430" s="15"/>
      <c r="BF1430" s="15"/>
      <c r="BG1430" s="15"/>
      <c r="BH1430" s="15"/>
      <c r="BI1430" s="15"/>
      <c r="BJ1430" s="15"/>
      <c r="BK1430" s="15"/>
      <c r="BL1430" s="15"/>
      <c r="BM1430" s="15"/>
      <c r="BN1430" s="15"/>
      <c r="BO1430" s="15"/>
      <c r="BP1430" s="15"/>
      <c r="BQ1430" s="15"/>
      <c r="BR1430" s="15"/>
      <c r="BS1430" s="15"/>
      <c r="BT1430" s="15"/>
      <c r="BU1430" s="15"/>
      <c r="BV1430" s="15"/>
      <c r="BW1430" s="15"/>
      <c r="BX1430" s="15"/>
      <c r="BY1430" s="15"/>
      <c r="BZ1430" s="15"/>
      <c r="CA1430" s="15"/>
      <c r="CB1430" s="15"/>
    </row>
    <row r="1431" spans="1:80" ht="12.75" hidden="1" customHeight="1">
      <c r="A1431" s="20">
        <f ca="1">IFERROR(__xludf.DUMMYFUNCTION("""COMPUTED_VALUE"""),2020)</f>
        <v>2020</v>
      </c>
      <c r="B1431" s="45">
        <f ca="1">IFERROR(__xludf.DUMMYFUNCTION("""COMPUTED_VALUE"""),44403)</f>
        <v>44403</v>
      </c>
      <c r="C1431" s="46">
        <f ca="1">IFERROR(__xludf.DUMMYFUNCTION("""COMPUTED_VALUE"""),44403)</f>
        <v>44403</v>
      </c>
      <c r="D1431" s="47" t="str">
        <f ca="1">IFERROR(__xludf.DUMMYFUNCTION("""COMPUTED_VALUE"""),"Yellow-browed Warbler")</f>
        <v>Yellow-browed Warbler</v>
      </c>
      <c r="E1431" s="52">
        <f ca="1">IFERROR(__xludf.DUMMYFUNCTION("""COMPUTED_VALUE"""),1)</f>
        <v>1</v>
      </c>
      <c r="F1431" s="25"/>
      <c r="G1431" s="48" t="str">
        <f ca="1">IFERROR(__xludf.DUMMYFUNCTION("""COMPUTED_VALUE"""),"Macclesfield canal congleton")</f>
        <v>Macclesfield canal congleton</v>
      </c>
      <c r="H1431" s="22">
        <f ca="1">IFERROR(__xludf.DUMMYFUNCTION("""COMPUTED_VALUE"""),44109)</f>
        <v>44109</v>
      </c>
      <c r="I1431" s="23"/>
      <c r="J1431" s="24" t="str">
        <f ca="1">IFERROR(__xludf.DUMMYFUNCTION("""COMPUTED_VALUE"""),"Stubbs, M")</f>
        <v>Stubbs, M</v>
      </c>
      <c r="K1431" s="25" t="str">
        <f ca="1">IFERROR(__xludf.DUMMYFUNCTION("""COMPUTED_VALUE"""),"Stubbs, M")</f>
        <v>Stubbs, M</v>
      </c>
      <c r="L1431" s="27" t="str">
        <f ca="1">IFERROR(__xludf.DUMMYFUNCTION("""COMPUTED_VALUE"""),"closed")</f>
        <v>closed</v>
      </c>
      <c r="M1431" s="27" t="str">
        <f ca="1">IFERROR(__xludf.DUMMYFUNCTION("""COMPUTED_VALUE"""),"1st U")</f>
        <v>1st U</v>
      </c>
      <c r="N1431" s="25" t="str">
        <f ca="1">IFERROR(__xludf.DUMMYFUNCTION("""COMPUTED_VALUE"""),"Accepted")</f>
        <v>Accepted</v>
      </c>
      <c r="O1431" s="28"/>
      <c r="P1431" s="25"/>
      <c r="Q1431" s="25"/>
      <c r="R1431" s="25"/>
      <c r="S1431" s="25"/>
      <c r="T1431" s="25"/>
      <c r="U1431" s="25"/>
      <c r="V1431" s="25"/>
      <c r="W1431" s="25"/>
      <c r="X1431" s="25"/>
      <c r="Y1431" s="25"/>
      <c r="Z1431" s="25"/>
      <c r="AA1431" s="25"/>
      <c r="AB1431" s="25"/>
      <c r="AC1431" s="25"/>
      <c r="AD1431" s="25"/>
      <c r="AE1431" s="25"/>
      <c r="AF1431" s="25"/>
      <c r="AG1431" s="25"/>
      <c r="AH1431" s="25"/>
      <c r="AI1431" s="25"/>
      <c r="AJ1431" s="25"/>
      <c r="AK1431" s="25"/>
      <c r="AL1431" s="25"/>
      <c r="AM1431" s="25"/>
      <c r="AN1431" s="25"/>
      <c r="AO1431" s="25"/>
      <c r="AP1431" s="25"/>
      <c r="AQ1431" s="25"/>
      <c r="AR1431" s="25"/>
      <c r="AS1431" s="25"/>
      <c r="AT1431" s="25"/>
      <c r="AU1431" s="25"/>
      <c r="AV1431" s="25"/>
      <c r="AW1431" s="25"/>
      <c r="AX1431" s="25"/>
      <c r="AY1431" s="25"/>
      <c r="AZ1431" s="25"/>
      <c r="BA1431" s="25"/>
      <c r="BB1431" s="25"/>
      <c r="BC1431" s="25"/>
      <c r="BD1431" s="25"/>
      <c r="BE1431" s="25"/>
      <c r="BF1431" s="25"/>
      <c r="BG1431" s="25"/>
      <c r="BH1431" s="25"/>
      <c r="BI1431" s="25"/>
      <c r="BJ1431" s="25"/>
      <c r="BK1431" s="25"/>
      <c r="BL1431" s="25"/>
      <c r="BM1431" s="25"/>
      <c r="BN1431" s="25"/>
      <c r="BO1431" s="25"/>
      <c r="BP1431" s="25"/>
      <c r="BQ1431" s="25"/>
      <c r="BR1431" s="25"/>
      <c r="BS1431" s="25"/>
      <c r="BT1431" s="25"/>
      <c r="BU1431" s="25"/>
      <c r="BV1431" s="25"/>
      <c r="BW1431" s="25"/>
      <c r="BX1431" s="25"/>
      <c r="BY1431" s="25"/>
      <c r="BZ1431" s="25"/>
      <c r="CA1431" s="25"/>
      <c r="CB1431" s="25"/>
    </row>
    <row r="1432" spans="1:80" ht="12.75" hidden="1" customHeight="1">
      <c r="A1432" s="10">
        <f ca="1">IFERROR(__xludf.DUMMYFUNCTION("""COMPUTED_VALUE"""),2020)</f>
        <v>2020</v>
      </c>
      <c r="B1432" s="50">
        <f ca="1">IFERROR(__xludf.DUMMYFUNCTION("""COMPUTED_VALUE"""),44403)</f>
        <v>44403</v>
      </c>
      <c r="C1432" s="41">
        <f ca="1">IFERROR(__xludf.DUMMYFUNCTION("""COMPUTED_VALUE"""),44403)</f>
        <v>44403</v>
      </c>
      <c r="D1432" s="42" t="str">
        <f ca="1">IFERROR(__xludf.DUMMYFUNCTION("""COMPUTED_VALUE"""),"Yellow-browed Warbler")</f>
        <v>Yellow-browed Warbler</v>
      </c>
      <c r="E1432" s="53">
        <f ca="1">IFERROR(__xludf.DUMMYFUNCTION("""COMPUTED_VALUE"""),1)</f>
        <v>1</v>
      </c>
      <c r="F1432" s="15"/>
      <c r="G1432" s="44" t="str">
        <f ca="1">IFERROR(__xludf.DUMMYFUNCTION("""COMPUTED_VALUE"""),"Bickerton, Natwich")</f>
        <v>Bickerton, Natwich</v>
      </c>
      <c r="H1432" s="12">
        <f ca="1">IFERROR(__xludf.DUMMYFUNCTION("""COMPUTED_VALUE"""),44126)</f>
        <v>44126</v>
      </c>
      <c r="I1432" s="13"/>
      <c r="J1432" s="14" t="str">
        <f ca="1">IFERROR(__xludf.DUMMYFUNCTION("""COMPUTED_VALUE"""),"Stubbs, M")</f>
        <v>Stubbs, M</v>
      </c>
      <c r="K1432" s="15" t="str">
        <f ca="1">IFERROR(__xludf.DUMMYFUNCTION("""COMPUTED_VALUE"""),"Stubbs, M")</f>
        <v>Stubbs, M</v>
      </c>
      <c r="L1432" s="17" t="str">
        <f ca="1">IFERROR(__xludf.DUMMYFUNCTION("""COMPUTED_VALUE"""),"closed")</f>
        <v>closed</v>
      </c>
      <c r="M1432" s="17" t="str">
        <f ca="1">IFERROR(__xludf.DUMMYFUNCTION("""COMPUTED_VALUE"""),"1st U")</f>
        <v>1st U</v>
      </c>
      <c r="N1432" s="15" t="str">
        <f ca="1">IFERROR(__xludf.DUMMYFUNCTION("""COMPUTED_VALUE"""),"Accepted")</f>
        <v>Accepted</v>
      </c>
      <c r="O1432" s="18"/>
      <c r="P1432" s="15"/>
      <c r="Q1432" s="15"/>
      <c r="R1432" s="15"/>
      <c r="S1432" s="15"/>
      <c r="T1432" s="15"/>
      <c r="U1432" s="15"/>
      <c r="V1432" s="15"/>
      <c r="W1432" s="15"/>
      <c r="X1432" s="15"/>
      <c r="Y1432" s="15"/>
      <c r="Z1432" s="15"/>
      <c r="AA1432" s="15"/>
      <c r="AB1432" s="15"/>
      <c r="AC1432" s="15"/>
      <c r="AD1432" s="15"/>
      <c r="AE1432" s="15"/>
      <c r="AF1432" s="15"/>
      <c r="AG1432" s="15"/>
      <c r="AH1432" s="15"/>
      <c r="AI1432" s="15"/>
      <c r="AJ1432" s="15"/>
      <c r="AK1432" s="15"/>
      <c r="AL1432" s="15"/>
      <c r="AM1432" s="15"/>
      <c r="AN1432" s="15"/>
      <c r="AO1432" s="15"/>
      <c r="AP1432" s="15"/>
      <c r="AQ1432" s="15"/>
      <c r="AR1432" s="15"/>
      <c r="AS1432" s="15"/>
      <c r="AT1432" s="15"/>
      <c r="AU1432" s="15"/>
      <c r="AV1432" s="15"/>
      <c r="AW1432" s="15"/>
      <c r="AX1432" s="15"/>
      <c r="AY1432" s="15"/>
      <c r="AZ1432" s="15"/>
      <c r="BA1432" s="15"/>
      <c r="BB1432" s="15"/>
      <c r="BC1432" s="15"/>
      <c r="BD1432" s="15"/>
      <c r="BE1432" s="15"/>
      <c r="BF1432" s="15"/>
      <c r="BG1432" s="15"/>
      <c r="BH1432" s="15"/>
      <c r="BI1432" s="15"/>
      <c r="BJ1432" s="15"/>
      <c r="BK1432" s="15"/>
      <c r="BL1432" s="15"/>
      <c r="BM1432" s="15"/>
      <c r="BN1432" s="15"/>
      <c r="BO1432" s="15"/>
      <c r="BP1432" s="15"/>
      <c r="BQ1432" s="15"/>
      <c r="BR1432" s="15"/>
      <c r="BS1432" s="15"/>
      <c r="BT1432" s="15"/>
      <c r="BU1432" s="15"/>
      <c r="BV1432" s="15"/>
      <c r="BW1432" s="15"/>
      <c r="BX1432" s="15"/>
      <c r="BY1432" s="15"/>
      <c r="BZ1432" s="15"/>
      <c r="CA1432" s="15"/>
      <c r="CB1432" s="15"/>
    </row>
    <row r="1433" spans="1:80" ht="12.75" hidden="1" customHeight="1">
      <c r="A1433" s="20">
        <f ca="1">IFERROR(__xludf.DUMMYFUNCTION("""COMPUTED_VALUE"""),2020)</f>
        <v>2020</v>
      </c>
      <c r="B1433" s="45">
        <f ca="1">IFERROR(__xludf.DUMMYFUNCTION("""COMPUTED_VALUE"""),44403)</f>
        <v>44403</v>
      </c>
      <c r="C1433" s="46">
        <f ca="1">IFERROR(__xludf.DUMMYFUNCTION("""COMPUTED_VALUE"""),44403)</f>
        <v>44403</v>
      </c>
      <c r="D1433" s="47" t="str">
        <f ca="1">IFERROR(__xludf.DUMMYFUNCTION("""COMPUTED_VALUE"""),"Dusky Warbler")</f>
        <v>Dusky Warbler</v>
      </c>
      <c r="E1433" s="52">
        <f ca="1">IFERROR(__xludf.DUMMYFUNCTION("""COMPUTED_VALUE"""),1)</f>
        <v>1</v>
      </c>
      <c r="F1433" s="25"/>
      <c r="G1433" s="48" t="str">
        <f ca="1">IFERROR(__xludf.DUMMYFUNCTION("""COMPUTED_VALUE"""),"Astbury Mere")</f>
        <v>Astbury Mere</v>
      </c>
      <c r="H1433" s="22">
        <f ca="1">IFERROR(__xludf.DUMMYFUNCTION("""COMPUTED_VALUE"""),44185)</f>
        <v>44185</v>
      </c>
      <c r="I1433" s="22">
        <f ca="1">IFERROR(__xludf.DUMMYFUNCTION("""COMPUTED_VALUE"""),44199)</f>
        <v>44199</v>
      </c>
      <c r="J1433" s="24" t="str">
        <f ca="1">IFERROR(__xludf.DUMMYFUNCTION("""COMPUTED_VALUE"""),"Stubbs, M")</f>
        <v>Stubbs, M</v>
      </c>
      <c r="K1433" s="25" t="str">
        <f ca="1">IFERROR(__xludf.DUMMYFUNCTION("""COMPUTED_VALUE"""),"Stubbs, M")</f>
        <v>Stubbs, M</v>
      </c>
      <c r="L1433" s="27" t="str">
        <f ca="1">IFERROR(__xludf.DUMMYFUNCTION("""COMPUTED_VALUE"""),"closed")</f>
        <v>closed</v>
      </c>
      <c r="M1433" s="27" t="str">
        <f ca="1">IFERROR(__xludf.DUMMYFUNCTION("""COMPUTED_VALUE"""),"1st U")</f>
        <v>1st U</v>
      </c>
      <c r="N1433" s="25" t="str">
        <f ca="1">IFERROR(__xludf.DUMMYFUNCTION("""COMPUTED_VALUE"""),"accepted")</f>
        <v>accepted</v>
      </c>
      <c r="O1433" s="28"/>
      <c r="P1433" s="25"/>
      <c r="Q1433" s="25"/>
      <c r="R1433" s="25"/>
      <c r="S1433" s="25"/>
      <c r="T1433" s="25"/>
      <c r="U1433" s="25"/>
      <c r="V1433" s="25"/>
      <c r="W1433" s="25"/>
      <c r="X1433" s="25"/>
      <c r="Y1433" s="25"/>
      <c r="Z1433" s="25"/>
      <c r="AA1433" s="25"/>
      <c r="AB1433" s="25"/>
      <c r="AC1433" s="25"/>
      <c r="AD1433" s="25"/>
      <c r="AE1433" s="25"/>
      <c r="AF1433" s="25"/>
      <c r="AG1433" s="25"/>
      <c r="AH1433" s="25"/>
      <c r="AI1433" s="25"/>
      <c r="AJ1433" s="25"/>
      <c r="AK1433" s="25"/>
      <c r="AL1433" s="25"/>
      <c r="AM1433" s="25"/>
      <c r="AN1433" s="25"/>
      <c r="AO1433" s="25"/>
      <c r="AP1433" s="25"/>
      <c r="AQ1433" s="25"/>
      <c r="AR1433" s="25"/>
      <c r="AS1433" s="25"/>
      <c r="AT1433" s="25"/>
      <c r="AU1433" s="25"/>
      <c r="AV1433" s="25"/>
      <c r="AW1433" s="25"/>
      <c r="AX1433" s="25"/>
      <c r="AY1433" s="25"/>
      <c r="AZ1433" s="25"/>
      <c r="BA1433" s="25"/>
      <c r="BB1433" s="25"/>
      <c r="BC1433" s="25"/>
      <c r="BD1433" s="25"/>
      <c r="BE1433" s="25"/>
      <c r="BF1433" s="25"/>
      <c r="BG1433" s="25"/>
      <c r="BH1433" s="25"/>
      <c r="BI1433" s="25"/>
      <c r="BJ1433" s="25"/>
      <c r="BK1433" s="25"/>
      <c r="BL1433" s="25"/>
      <c r="BM1433" s="25"/>
      <c r="BN1433" s="25"/>
      <c r="BO1433" s="25"/>
      <c r="BP1433" s="25"/>
      <c r="BQ1433" s="25"/>
      <c r="BR1433" s="25"/>
      <c r="BS1433" s="25"/>
      <c r="BT1433" s="25"/>
      <c r="BU1433" s="25"/>
      <c r="BV1433" s="25"/>
      <c r="BW1433" s="25"/>
      <c r="BX1433" s="25"/>
      <c r="BY1433" s="25"/>
      <c r="BZ1433" s="25"/>
      <c r="CA1433" s="25"/>
      <c r="CB1433" s="25"/>
    </row>
    <row r="1434" spans="1:80" ht="12.75" hidden="1" customHeight="1">
      <c r="A1434" s="10">
        <f ca="1">IFERROR(__xludf.DUMMYFUNCTION("""COMPUTED_VALUE"""),2020)</f>
        <v>2020</v>
      </c>
      <c r="B1434" s="50">
        <f ca="1">IFERROR(__xludf.DUMMYFUNCTION("""COMPUTED_VALUE"""),44610)</f>
        <v>44610</v>
      </c>
      <c r="C1434" s="41">
        <f ca="1">IFERROR(__xludf.DUMMYFUNCTION("""COMPUTED_VALUE"""),44610)</f>
        <v>44610</v>
      </c>
      <c r="D1434" s="42" t="str">
        <f ca="1">IFERROR(__xludf.DUMMYFUNCTION("""COMPUTED_VALUE"""),"Eastern Chiffchaff [tristis/abientinus race]")</f>
        <v>Eastern Chiffchaff [tristis/abientinus race]</v>
      </c>
      <c r="E1434" s="53"/>
      <c r="F1434" s="15"/>
      <c r="G1434" s="44" t="str">
        <f ca="1">IFERROR(__xludf.DUMMYFUNCTION("""COMPUTED_VALUE"""),"Frodsham")</f>
        <v>Frodsham</v>
      </c>
      <c r="H1434" s="12">
        <f ca="1">IFERROR(__xludf.DUMMYFUNCTION("""COMPUTED_VALUE"""),43906)</f>
        <v>43906</v>
      </c>
      <c r="I1434" s="13"/>
      <c r="J1434" s="14"/>
      <c r="K1434" s="15"/>
      <c r="L1434" s="17" t="str">
        <f ca="1">IFERROR(__xludf.DUMMYFUNCTION("""COMPUTED_VALUE"""),"open")</f>
        <v>open</v>
      </c>
      <c r="M1434" s="17"/>
      <c r="N1434" s="15" t="str">
        <f ca="1">IFERROR(__xludf.DUMMYFUNCTION("""COMPUTED_VALUE"""),"in circulation")</f>
        <v>in circulation</v>
      </c>
      <c r="O1434" s="18"/>
      <c r="P1434" s="15"/>
      <c r="Q1434" s="15"/>
      <c r="R1434" s="15"/>
      <c r="S1434" s="15"/>
      <c r="T1434" s="15"/>
      <c r="U1434" s="15"/>
      <c r="V1434" s="15"/>
      <c r="W1434" s="15"/>
      <c r="X1434" s="15"/>
      <c r="Y1434" s="15"/>
      <c r="Z1434" s="15"/>
      <c r="AA1434" s="15"/>
      <c r="AB1434" s="15"/>
      <c r="AC1434" s="15"/>
      <c r="AD1434" s="15"/>
      <c r="AE1434" s="15"/>
      <c r="AF1434" s="15"/>
      <c r="AG1434" s="15"/>
      <c r="AH1434" s="15"/>
      <c r="AI1434" s="15"/>
      <c r="AJ1434" s="15"/>
      <c r="AK1434" s="15"/>
      <c r="AL1434" s="15"/>
      <c r="AM1434" s="15"/>
      <c r="AN1434" s="15"/>
      <c r="AO1434" s="15"/>
      <c r="AP1434" s="15"/>
      <c r="AQ1434" s="15"/>
      <c r="AR1434" s="15"/>
      <c r="AS1434" s="15"/>
      <c r="AT1434" s="15"/>
      <c r="AU1434" s="15"/>
      <c r="AV1434" s="15"/>
      <c r="AW1434" s="15"/>
      <c r="AX1434" s="15"/>
      <c r="AY1434" s="15"/>
      <c r="AZ1434" s="15"/>
      <c r="BA1434" s="15"/>
      <c r="BB1434" s="15"/>
      <c r="BC1434" s="15"/>
      <c r="BD1434" s="15"/>
      <c r="BE1434" s="15"/>
      <c r="BF1434" s="15"/>
      <c r="BG1434" s="15"/>
      <c r="BH1434" s="15"/>
      <c r="BI1434" s="15"/>
      <c r="BJ1434" s="15"/>
      <c r="BK1434" s="15"/>
      <c r="BL1434" s="15"/>
      <c r="BM1434" s="15"/>
      <c r="BN1434" s="15"/>
      <c r="BO1434" s="15"/>
      <c r="BP1434" s="15"/>
      <c r="BQ1434" s="15"/>
      <c r="BR1434" s="15"/>
      <c r="BS1434" s="15"/>
      <c r="BT1434" s="15"/>
      <c r="BU1434" s="15"/>
      <c r="BV1434" s="15"/>
      <c r="BW1434" s="15"/>
      <c r="BX1434" s="15"/>
      <c r="BY1434" s="15"/>
      <c r="BZ1434" s="15"/>
      <c r="CA1434" s="15"/>
      <c r="CB1434" s="15"/>
    </row>
    <row r="1435" spans="1:80" ht="12.75" hidden="1" customHeight="1">
      <c r="A1435" s="20">
        <f ca="1">IFERROR(__xludf.DUMMYFUNCTION("""COMPUTED_VALUE"""),2020)</f>
        <v>2020</v>
      </c>
      <c r="B1435" s="45">
        <f ca="1">IFERROR(__xludf.DUMMYFUNCTION("""COMPUTED_VALUE"""),44610)</f>
        <v>44610</v>
      </c>
      <c r="C1435" s="46">
        <f ca="1">IFERROR(__xludf.DUMMYFUNCTION("""COMPUTED_VALUE"""),44610)</f>
        <v>44610</v>
      </c>
      <c r="D1435" s="47" t="str">
        <f ca="1">IFERROR(__xludf.DUMMYFUNCTION("""COMPUTED_VALUE"""),"Siberian Chiffchaff [tristis race]")</f>
        <v>Siberian Chiffchaff [tristis race]</v>
      </c>
      <c r="E1435" s="52"/>
      <c r="F1435" s="25"/>
      <c r="G1435" s="48" t="str">
        <f ca="1">IFERROR(__xludf.DUMMYFUNCTION("""COMPUTED_VALUE"""),"Leasowe")</f>
        <v>Leasowe</v>
      </c>
      <c r="H1435" s="22">
        <f ca="1">IFERROR(__xludf.DUMMYFUNCTION("""COMPUTED_VALUE"""),44148)</f>
        <v>44148</v>
      </c>
      <c r="I1435" s="22">
        <f ca="1">IFERROR(__xludf.DUMMYFUNCTION("""COMPUTED_VALUE"""),44154)</f>
        <v>44154</v>
      </c>
      <c r="J1435" s="24"/>
      <c r="K1435" s="25"/>
      <c r="L1435" s="27" t="str">
        <f ca="1">IFERROR(__xludf.DUMMYFUNCTION("""COMPUTED_VALUE"""),"limbo")</f>
        <v>limbo</v>
      </c>
      <c r="M1435" s="27"/>
      <c r="N1435" s="25" t="str">
        <f ca="1">IFERROR(__xludf.DUMMYFUNCTION("""COMPUTED_VALUE"""),"not submitted")</f>
        <v>not submitted</v>
      </c>
      <c r="O1435" s="28"/>
      <c r="P1435" s="25"/>
      <c r="Q1435" s="25"/>
      <c r="R1435" s="25"/>
      <c r="S1435" s="25"/>
      <c r="T1435" s="25"/>
      <c r="U1435" s="25"/>
      <c r="V1435" s="25"/>
      <c r="W1435" s="25"/>
      <c r="X1435" s="25"/>
      <c r="Y1435" s="25"/>
      <c r="Z1435" s="25"/>
      <c r="AA1435" s="25"/>
      <c r="AB1435" s="25"/>
      <c r="AC1435" s="25"/>
      <c r="AD1435" s="25"/>
      <c r="AE1435" s="25"/>
      <c r="AF1435" s="25"/>
      <c r="AG1435" s="25"/>
      <c r="AH1435" s="25"/>
      <c r="AI1435" s="25"/>
      <c r="AJ1435" s="25"/>
      <c r="AK1435" s="25"/>
      <c r="AL1435" s="25"/>
      <c r="AM1435" s="25"/>
      <c r="AN1435" s="25"/>
      <c r="AO1435" s="25"/>
      <c r="AP1435" s="25"/>
      <c r="AQ1435" s="25"/>
      <c r="AR1435" s="25"/>
      <c r="AS1435" s="25"/>
      <c r="AT1435" s="25"/>
      <c r="AU1435" s="25"/>
      <c r="AV1435" s="25"/>
      <c r="AW1435" s="25"/>
      <c r="AX1435" s="25"/>
      <c r="AY1435" s="25"/>
      <c r="AZ1435" s="25"/>
      <c r="BA1435" s="25"/>
      <c r="BB1435" s="25"/>
      <c r="BC1435" s="25"/>
      <c r="BD1435" s="25"/>
      <c r="BE1435" s="25"/>
      <c r="BF1435" s="25"/>
      <c r="BG1435" s="25"/>
      <c r="BH1435" s="25"/>
      <c r="BI1435" s="25"/>
      <c r="BJ1435" s="25"/>
      <c r="BK1435" s="25"/>
      <c r="BL1435" s="25"/>
      <c r="BM1435" s="25"/>
      <c r="BN1435" s="25"/>
      <c r="BO1435" s="25"/>
      <c r="BP1435" s="25"/>
      <c r="BQ1435" s="25"/>
      <c r="BR1435" s="25"/>
      <c r="BS1435" s="25"/>
      <c r="BT1435" s="25"/>
      <c r="BU1435" s="25"/>
      <c r="BV1435" s="25"/>
      <c r="BW1435" s="25"/>
      <c r="BX1435" s="25"/>
      <c r="BY1435" s="25"/>
      <c r="BZ1435" s="25"/>
      <c r="CA1435" s="25"/>
      <c r="CB1435" s="25"/>
    </row>
    <row r="1436" spans="1:80" ht="12.75" hidden="1" customHeight="1">
      <c r="A1436" s="10">
        <f ca="1">IFERROR(__xludf.DUMMYFUNCTION("""COMPUTED_VALUE"""),2020)</f>
        <v>2020</v>
      </c>
      <c r="B1436" s="50">
        <f ca="1">IFERROR(__xludf.DUMMYFUNCTION("""COMPUTED_VALUE"""),45128)</f>
        <v>45128</v>
      </c>
      <c r="C1436" s="41"/>
      <c r="D1436" s="42" t="str">
        <f ca="1">IFERROR(__xludf.DUMMYFUNCTION("""COMPUTED_VALUE"""),"Central Asian Lesser Whitethroat")</f>
        <v>Central Asian Lesser Whitethroat</v>
      </c>
      <c r="E1436" s="53">
        <f ca="1">IFERROR(__xludf.DUMMYFUNCTION("""COMPUTED_VALUE"""),1)</f>
        <v>1</v>
      </c>
      <c r="F1436" s="15"/>
      <c r="G1436" s="44" t="str">
        <f ca="1">IFERROR(__xludf.DUMMYFUNCTION("""COMPUTED_VALUE"""),"Widnes")</f>
        <v>Widnes</v>
      </c>
      <c r="H1436" s="12">
        <f ca="1">IFERROR(__xludf.DUMMYFUNCTION("""COMPUTED_VALUE"""),44166)</f>
        <v>44166</v>
      </c>
      <c r="I1436" s="12">
        <f ca="1">IFERROR(__xludf.DUMMYFUNCTION("""COMPUTED_VALUE"""),44299)</f>
        <v>44299</v>
      </c>
      <c r="J1436" s="14"/>
      <c r="K1436" s="15"/>
      <c r="L1436" s="17" t="str">
        <f ca="1">IFERROR(__xludf.DUMMYFUNCTION("""COMPUTED_VALUE"""),"closed")</f>
        <v>closed</v>
      </c>
      <c r="M1436" s="17"/>
      <c r="N1436" s="15" t="str">
        <f ca="1">IFERROR(__xludf.DUMMYFUNCTION("""COMPUTED_VALUE"""),"BBRC-NP")</f>
        <v>BBRC-NP</v>
      </c>
      <c r="O1436" s="18"/>
      <c r="P1436" s="15"/>
      <c r="Q1436" s="15"/>
      <c r="R1436" s="15"/>
      <c r="S1436" s="15"/>
      <c r="T1436" s="15"/>
      <c r="U1436" s="15"/>
      <c r="V1436" s="15"/>
      <c r="W1436" s="15"/>
      <c r="X1436" s="15"/>
      <c r="Y1436" s="15"/>
      <c r="Z1436" s="15"/>
      <c r="AA1436" s="15"/>
      <c r="AB1436" s="15"/>
      <c r="AC1436" s="15"/>
      <c r="AD1436" s="15"/>
      <c r="AE1436" s="15"/>
      <c r="AF1436" s="15"/>
      <c r="AG1436" s="15"/>
      <c r="AH1436" s="15"/>
      <c r="AI1436" s="15"/>
      <c r="AJ1436" s="15"/>
      <c r="AK1436" s="15"/>
      <c r="AL1436" s="15"/>
      <c r="AM1436" s="15"/>
      <c r="AN1436" s="15"/>
      <c r="AO1436" s="15"/>
      <c r="AP1436" s="15"/>
      <c r="AQ1436" s="15"/>
      <c r="AR1436" s="15"/>
      <c r="AS1436" s="15"/>
      <c r="AT1436" s="15"/>
      <c r="AU1436" s="15"/>
      <c r="AV1436" s="15"/>
      <c r="AW1436" s="15"/>
      <c r="AX1436" s="15"/>
      <c r="AY1436" s="15"/>
      <c r="AZ1436" s="15"/>
      <c r="BA1436" s="15"/>
      <c r="BB1436" s="15"/>
      <c r="BC1436" s="15"/>
      <c r="BD1436" s="15"/>
      <c r="BE1436" s="15"/>
      <c r="BF1436" s="15"/>
      <c r="BG1436" s="15"/>
      <c r="BH1436" s="15"/>
      <c r="BI1436" s="15"/>
      <c r="BJ1436" s="15"/>
      <c r="BK1436" s="15"/>
      <c r="BL1436" s="15"/>
      <c r="BM1436" s="15"/>
      <c r="BN1436" s="15"/>
      <c r="BO1436" s="15"/>
      <c r="BP1436" s="15"/>
      <c r="BQ1436" s="15"/>
      <c r="BR1436" s="15"/>
      <c r="BS1436" s="15"/>
      <c r="BT1436" s="15"/>
      <c r="BU1436" s="15"/>
      <c r="BV1436" s="15"/>
      <c r="BW1436" s="15"/>
      <c r="BX1436" s="15"/>
      <c r="BY1436" s="15"/>
      <c r="BZ1436" s="15"/>
      <c r="CA1436" s="15"/>
      <c r="CB1436" s="15"/>
    </row>
    <row r="1437" spans="1:80" ht="12.75" hidden="1" customHeight="1">
      <c r="A1437" s="20">
        <f ca="1">IFERROR(__xludf.DUMMYFUNCTION("""COMPUTED_VALUE"""),2020)</f>
        <v>2020</v>
      </c>
      <c r="B1437" s="45">
        <f ca="1">IFERROR(__xludf.DUMMYFUNCTION("""COMPUTED_VALUE"""),44585)</f>
        <v>44585</v>
      </c>
      <c r="C1437" s="46">
        <f ca="1">IFERROR(__xludf.DUMMYFUNCTION("""COMPUTED_VALUE"""),44585)</f>
        <v>44585</v>
      </c>
      <c r="D1437" s="47" t="str">
        <f ca="1">IFERROR(__xludf.DUMMYFUNCTION("""COMPUTED_VALUE"""),"Rose-coloured Starling")</f>
        <v>Rose-coloured Starling</v>
      </c>
      <c r="E1437" s="52">
        <f ca="1">IFERROR(__xludf.DUMMYFUNCTION("""COMPUTED_VALUE"""),1)</f>
        <v>1</v>
      </c>
      <c r="F1437" s="25"/>
      <c r="G1437" s="48" t="str">
        <f ca="1">IFERROR(__xludf.DUMMYFUNCTION("""COMPUTED_VALUE"""),"Winsford")</f>
        <v>Winsford</v>
      </c>
      <c r="H1437" s="22">
        <f ca="1">IFERROR(__xludf.DUMMYFUNCTION("""COMPUTED_VALUE"""),43983)</f>
        <v>43983</v>
      </c>
      <c r="I1437" s="23"/>
      <c r="J1437" s="24"/>
      <c r="K1437" s="25"/>
      <c r="L1437" s="27" t="str">
        <f ca="1">IFERROR(__xludf.DUMMYFUNCTION("""COMPUTED_VALUE"""),"closed")</f>
        <v>closed</v>
      </c>
      <c r="M1437" s="27"/>
      <c r="N1437" s="25" t="str">
        <f ca="1">IFERROR(__xludf.DUMMYFUNCTION("""COMPUTED_VALUE"""),"Accepted")</f>
        <v>Accepted</v>
      </c>
      <c r="O1437" s="28" t="str">
        <f ca="1">IFERROR(__xludf.DUMMYFUNCTION("""COMPUTED_VALUE"""),"also 24/7/20")</f>
        <v>also 24/7/20</v>
      </c>
      <c r="P1437" s="25"/>
      <c r="Q1437" s="25"/>
      <c r="R1437" s="25"/>
      <c r="S1437" s="25"/>
      <c r="T1437" s="25"/>
      <c r="U1437" s="25"/>
      <c r="V1437" s="25"/>
      <c r="W1437" s="25"/>
      <c r="X1437" s="25"/>
      <c r="Y1437" s="25"/>
      <c r="Z1437" s="25"/>
      <c r="AA1437" s="25"/>
      <c r="AB1437" s="25"/>
      <c r="AC1437" s="25"/>
      <c r="AD1437" s="25"/>
      <c r="AE1437" s="25"/>
      <c r="AF1437" s="25"/>
      <c r="AG1437" s="25"/>
      <c r="AH1437" s="25"/>
      <c r="AI1437" s="25"/>
      <c r="AJ1437" s="25"/>
      <c r="AK1437" s="25"/>
      <c r="AL1437" s="25"/>
      <c r="AM1437" s="25"/>
      <c r="AN1437" s="25"/>
      <c r="AO1437" s="25"/>
      <c r="AP1437" s="25"/>
      <c r="AQ1437" s="25"/>
      <c r="AR1437" s="25"/>
      <c r="AS1437" s="25"/>
      <c r="AT1437" s="25"/>
      <c r="AU1437" s="25"/>
      <c r="AV1437" s="25"/>
      <c r="AW1437" s="25"/>
      <c r="AX1437" s="25"/>
      <c r="AY1437" s="25"/>
      <c r="AZ1437" s="25"/>
      <c r="BA1437" s="25"/>
      <c r="BB1437" s="25"/>
      <c r="BC1437" s="25"/>
      <c r="BD1437" s="25"/>
      <c r="BE1437" s="25"/>
      <c r="BF1437" s="25"/>
      <c r="BG1437" s="25"/>
      <c r="BH1437" s="25"/>
      <c r="BI1437" s="25"/>
      <c r="BJ1437" s="25"/>
      <c r="BK1437" s="25"/>
      <c r="BL1437" s="25"/>
      <c r="BM1437" s="25"/>
      <c r="BN1437" s="25"/>
      <c r="BO1437" s="25"/>
      <c r="BP1437" s="25"/>
      <c r="BQ1437" s="25"/>
      <c r="BR1437" s="25"/>
      <c r="BS1437" s="25"/>
      <c r="BT1437" s="25"/>
      <c r="BU1437" s="25"/>
      <c r="BV1437" s="25"/>
      <c r="BW1437" s="25"/>
      <c r="BX1437" s="25"/>
      <c r="BY1437" s="25"/>
      <c r="BZ1437" s="25"/>
      <c r="CA1437" s="25"/>
      <c r="CB1437" s="25"/>
    </row>
    <row r="1438" spans="1:80" ht="12.75" hidden="1" customHeight="1">
      <c r="A1438" s="10">
        <f ca="1">IFERROR(__xludf.DUMMYFUNCTION("""COMPUTED_VALUE"""),2020)</f>
        <v>2020</v>
      </c>
      <c r="B1438" s="50">
        <f ca="1">IFERROR(__xludf.DUMMYFUNCTION("""COMPUTED_VALUE"""),44585)</f>
        <v>44585</v>
      </c>
      <c r="C1438" s="41">
        <f ca="1">IFERROR(__xludf.DUMMYFUNCTION("""COMPUTED_VALUE"""),44585)</f>
        <v>44585</v>
      </c>
      <c r="D1438" s="42" t="str">
        <f ca="1">IFERROR(__xludf.DUMMYFUNCTION("""COMPUTED_VALUE"""),"Rose-coloured Starling")</f>
        <v>Rose-coloured Starling</v>
      </c>
      <c r="E1438" s="53">
        <f ca="1">IFERROR(__xludf.DUMMYFUNCTION("""COMPUTED_VALUE"""),1)</f>
        <v>1</v>
      </c>
      <c r="F1438" s="15"/>
      <c r="G1438" s="44" t="str">
        <f ca="1">IFERROR(__xludf.DUMMYFUNCTION("""COMPUTED_VALUE"""),"Frodsham")</f>
        <v>Frodsham</v>
      </c>
      <c r="H1438" s="12">
        <f ca="1">IFERROR(__xludf.DUMMYFUNCTION("""COMPUTED_VALUE"""),43992)</f>
        <v>43992</v>
      </c>
      <c r="I1438" s="12">
        <f ca="1">IFERROR(__xludf.DUMMYFUNCTION("""COMPUTED_VALUE"""),43995)</f>
        <v>43995</v>
      </c>
      <c r="J1438" s="14" t="str">
        <f ca="1">IFERROR(__xludf.DUMMYFUNCTION("""COMPUTED_VALUE"""),"County recorder")</f>
        <v>County recorder</v>
      </c>
      <c r="K1438" s="15" t="str">
        <f ca="1">IFERROR(__xludf.DUMMYFUNCTION("""COMPUTED_VALUE"""),"O'Hara, S")</f>
        <v>O'Hara, S</v>
      </c>
      <c r="L1438" s="17" t="str">
        <f ca="1">IFERROR(__xludf.DUMMYFUNCTION("""COMPUTED_VALUE"""),"open")</f>
        <v>open</v>
      </c>
      <c r="M1438" s="17" t="str">
        <f ca="1">IFERROR(__xludf.DUMMYFUNCTION("""COMPUTED_VALUE"""),"photo")</f>
        <v>photo</v>
      </c>
      <c r="N1438" s="15" t="str">
        <f ca="1">IFERROR(__xludf.DUMMYFUNCTION("""COMPUTED_VALUE"""),"Accepted w/o circ")</f>
        <v>Accepted w/o circ</v>
      </c>
      <c r="O1438" s="18"/>
      <c r="P1438" s="15"/>
      <c r="Q1438" s="15"/>
      <c r="R1438" s="15"/>
      <c r="S1438" s="15"/>
      <c r="T1438" s="15"/>
      <c r="U1438" s="15"/>
      <c r="V1438" s="15"/>
      <c r="W1438" s="15"/>
      <c r="X1438" s="15"/>
      <c r="Y1438" s="15"/>
      <c r="Z1438" s="15"/>
      <c r="AA1438" s="15"/>
      <c r="AB1438" s="15"/>
      <c r="AC1438" s="15"/>
      <c r="AD1438" s="15"/>
      <c r="AE1438" s="15"/>
      <c r="AF1438" s="15"/>
      <c r="AG1438" s="15"/>
      <c r="AH1438" s="15"/>
      <c r="AI1438" s="15"/>
      <c r="AJ1438" s="15"/>
      <c r="AK1438" s="15"/>
      <c r="AL1438" s="15"/>
      <c r="AM1438" s="15"/>
      <c r="AN1438" s="15"/>
      <c r="AO1438" s="15"/>
      <c r="AP1438" s="15"/>
      <c r="AQ1438" s="15"/>
      <c r="AR1438" s="15"/>
      <c r="AS1438" s="15"/>
      <c r="AT1438" s="15"/>
      <c r="AU1438" s="15"/>
      <c r="AV1438" s="15"/>
      <c r="AW1438" s="15"/>
      <c r="AX1438" s="15"/>
      <c r="AY1438" s="15"/>
      <c r="AZ1438" s="15"/>
      <c r="BA1438" s="15"/>
      <c r="BB1438" s="15"/>
      <c r="BC1438" s="15"/>
      <c r="BD1438" s="15"/>
      <c r="BE1438" s="15"/>
      <c r="BF1438" s="15"/>
      <c r="BG1438" s="15"/>
      <c r="BH1438" s="15"/>
      <c r="BI1438" s="15"/>
      <c r="BJ1438" s="15"/>
      <c r="BK1438" s="15"/>
      <c r="BL1438" s="15"/>
      <c r="BM1438" s="15"/>
      <c r="BN1438" s="15"/>
      <c r="BO1438" s="15"/>
      <c r="BP1438" s="15"/>
      <c r="BQ1438" s="15"/>
      <c r="BR1438" s="15"/>
      <c r="BS1438" s="15"/>
      <c r="BT1438" s="15"/>
      <c r="BU1438" s="15"/>
      <c r="BV1438" s="15"/>
      <c r="BW1438" s="15"/>
      <c r="BX1438" s="15"/>
      <c r="BY1438" s="15"/>
      <c r="BZ1438" s="15"/>
      <c r="CA1438" s="15"/>
      <c r="CB1438" s="15"/>
    </row>
    <row r="1439" spans="1:80" ht="12.75" hidden="1" customHeight="1">
      <c r="A1439" s="20">
        <f ca="1">IFERROR(__xludf.DUMMYFUNCTION("""COMPUTED_VALUE"""),2020)</f>
        <v>2020</v>
      </c>
      <c r="B1439" s="45">
        <f ca="1">IFERROR(__xludf.DUMMYFUNCTION("""COMPUTED_VALUE"""),44612)</f>
        <v>44612</v>
      </c>
      <c r="C1439" s="46">
        <f ca="1">IFERROR(__xludf.DUMMYFUNCTION("""COMPUTED_VALUE"""),44612)</f>
        <v>44612</v>
      </c>
      <c r="D1439" s="47" t="str">
        <f ca="1">IFERROR(__xludf.DUMMYFUNCTION("""COMPUTED_VALUE"""),"Nightingale")</f>
        <v>Nightingale</v>
      </c>
      <c r="E1439" s="52">
        <f ca="1">IFERROR(__xludf.DUMMYFUNCTION("""COMPUTED_VALUE"""),1)</f>
        <v>1</v>
      </c>
      <c r="F1439" s="25"/>
      <c r="G1439" s="48" t="str">
        <f ca="1">IFERROR(__xludf.DUMMYFUNCTION("""COMPUTED_VALUE"""),"Burtonwood")</f>
        <v>Burtonwood</v>
      </c>
      <c r="H1439" s="22">
        <f ca="1">IFERROR(__xludf.DUMMYFUNCTION("""COMPUTED_VALUE"""),43958)</f>
        <v>43958</v>
      </c>
      <c r="I1439" s="23"/>
      <c r="J1439" s="24"/>
      <c r="K1439" s="25"/>
      <c r="L1439" s="27" t="str">
        <f ca="1">IFERROR(__xludf.DUMMYFUNCTION("""COMPUTED_VALUE"""),"closed")</f>
        <v>closed</v>
      </c>
      <c r="M1439" s="27" t="str">
        <f ca="1">IFERROR(__xludf.DUMMYFUNCTION("""COMPUTED_VALUE"""),"2nd U")</f>
        <v>2nd U</v>
      </c>
      <c r="N1439" s="25" t="str">
        <f ca="1">IFERROR(__xludf.DUMMYFUNCTION("""COMPUTED_VALUE"""),"unproven")</f>
        <v>unproven</v>
      </c>
      <c r="O1439" s="28" t="str">
        <f ca="1">IFERROR(__xludf.DUMMYFUNCTION("""COMPUTED_VALUE"""),"The description failed to exclude Cetis warbler and some features fit that species better")</f>
        <v>The description failed to exclude Cetis warbler and some features fit that species better</v>
      </c>
      <c r="P1439" s="40"/>
      <c r="Q1439" s="25"/>
      <c r="R1439" s="25"/>
      <c r="S1439" s="25"/>
      <c r="T1439" s="25"/>
      <c r="U1439" s="25"/>
      <c r="V1439" s="25"/>
      <c r="W1439" s="25"/>
      <c r="X1439" s="25"/>
      <c r="Y1439" s="25"/>
      <c r="Z1439" s="25"/>
      <c r="AA1439" s="25"/>
      <c r="AB1439" s="25"/>
      <c r="AC1439" s="25"/>
      <c r="AD1439" s="25"/>
      <c r="AE1439" s="25"/>
      <c r="AF1439" s="25"/>
      <c r="AG1439" s="25"/>
      <c r="AH1439" s="25"/>
      <c r="AI1439" s="25"/>
      <c r="AJ1439" s="25"/>
      <c r="AK1439" s="25"/>
      <c r="AL1439" s="25"/>
      <c r="AM1439" s="25"/>
      <c r="AN1439" s="25"/>
      <c r="AO1439" s="25"/>
      <c r="AP1439" s="25"/>
      <c r="AQ1439" s="25"/>
      <c r="AR1439" s="25"/>
      <c r="AS1439" s="25"/>
      <c r="AT1439" s="25"/>
      <c r="AU1439" s="25"/>
      <c r="AV1439" s="25"/>
      <c r="AW1439" s="25"/>
      <c r="AX1439" s="25"/>
      <c r="AY1439" s="25"/>
      <c r="AZ1439" s="25"/>
      <c r="BA1439" s="25"/>
      <c r="BB1439" s="25"/>
      <c r="BC1439" s="25"/>
      <c r="BD1439" s="25"/>
      <c r="BE1439" s="25"/>
      <c r="BF1439" s="25"/>
      <c r="BG1439" s="25"/>
      <c r="BH1439" s="25"/>
      <c r="BI1439" s="25"/>
      <c r="BJ1439" s="25"/>
      <c r="BK1439" s="25"/>
      <c r="BL1439" s="25"/>
      <c r="BM1439" s="25"/>
      <c r="BN1439" s="25"/>
      <c r="BO1439" s="25"/>
      <c r="BP1439" s="25"/>
      <c r="BQ1439" s="25"/>
      <c r="BR1439" s="25"/>
      <c r="BS1439" s="25"/>
      <c r="BT1439" s="25"/>
      <c r="BU1439" s="25"/>
      <c r="BV1439" s="25"/>
      <c r="BW1439" s="25"/>
      <c r="BX1439" s="25"/>
      <c r="BY1439" s="25"/>
      <c r="BZ1439" s="25"/>
      <c r="CA1439" s="25"/>
      <c r="CB1439" s="25"/>
    </row>
    <row r="1440" spans="1:80" ht="12.75" hidden="1" customHeight="1">
      <c r="A1440" s="10">
        <f ca="1">IFERROR(__xludf.DUMMYFUNCTION("""COMPUTED_VALUE"""),2020)</f>
        <v>2020</v>
      </c>
      <c r="B1440" s="50">
        <f ca="1">IFERROR(__xludf.DUMMYFUNCTION("""COMPUTED_VALUE"""),43986)</f>
        <v>43986</v>
      </c>
      <c r="C1440" s="41">
        <f ca="1">IFERROR(__xludf.DUMMYFUNCTION("""COMPUTED_VALUE"""),43986)</f>
        <v>43986</v>
      </c>
      <c r="D1440" s="42" t="str">
        <f ca="1">IFERROR(__xludf.DUMMYFUNCTION("""COMPUTED_VALUE"""),"Black Redstart")</f>
        <v>Black Redstart</v>
      </c>
      <c r="E1440" s="53">
        <f ca="1">IFERROR(__xludf.DUMMYFUNCTION("""COMPUTED_VALUE"""),1)</f>
        <v>1</v>
      </c>
      <c r="F1440" s="15" t="str">
        <f ca="1">IFERROR(__xludf.DUMMYFUNCTION("""COMPUTED_VALUE"""),"m")</f>
        <v>m</v>
      </c>
      <c r="G1440" s="44" t="str">
        <f ca="1">IFERROR(__xludf.DUMMYFUNCTION("""COMPUTED_VALUE"""),"Sandbach   ")</f>
        <v xml:space="preserve">Sandbach   </v>
      </c>
      <c r="H1440" s="12">
        <f ca="1">IFERROR(__xludf.DUMMYFUNCTION("""COMPUTED_VALUE"""),43913)</f>
        <v>43913</v>
      </c>
      <c r="I1440" s="13"/>
      <c r="J1440" s="14" t="str">
        <f ca="1">IFERROR(__xludf.DUMMYFUNCTION("""COMPUTED_VALUE"""),"Goodwin, A")</f>
        <v>Goodwin, A</v>
      </c>
      <c r="K1440" s="15" t="str">
        <f ca="1">IFERROR(__xludf.DUMMYFUNCTION("""COMPUTED_VALUE"""),"Goodwin, A")</f>
        <v>Goodwin, A</v>
      </c>
      <c r="L1440" s="17" t="str">
        <f ca="1">IFERROR(__xludf.DUMMYFUNCTION("""COMPUTED_VALUE"""),"closed")</f>
        <v>closed</v>
      </c>
      <c r="M1440" s="17"/>
      <c r="N1440" s="15" t="str">
        <f ca="1">IFERROR(__xludf.DUMMYFUNCTION("""COMPUTED_VALUE"""),"accepted")</f>
        <v>accepted</v>
      </c>
      <c r="O1440" s="18"/>
      <c r="P1440" s="15"/>
      <c r="Q1440" s="15"/>
      <c r="R1440" s="15"/>
      <c r="S1440" s="15"/>
      <c r="T1440" s="15"/>
      <c r="U1440" s="15"/>
      <c r="V1440" s="15"/>
      <c r="W1440" s="15"/>
      <c r="X1440" s="15"/>
      <c r="Y1440" s="15"/>
      <c r="Z1440" s="15"/>
      <c r="AA1440" s="15"/>
      <c r="AB1440" s="15"/>
      <c r="AC1440" s="15"/>
      <c r="AD1440" s="15"/>
      <c r="AE1440" s="15"/>
      <c r="AF1440" s="15"/>
      <c r="AG1440" s="15"/>
      <c r="AH1440" s="15"/>
      <c r="AI1440" s="15"/>
      <c r="AJ1440" s="15"/>
      <c r="AK1440" s="15"/>
      <c r="AL1440" s="15"/>
      <c r="AM1440" s="15"/>
      <c r="AN1440" s="15"/>
      <c r="AO1440" s="15"/>
      <c r="AP1440" s="15"/>
      <c r="AQ1440" s="15"/>
      <c r="AR1440" s="15"/>
      <c r="AS1440" s="15"/>
      <c r="AT1440" s="15"/>
      <c r="AU1440" s="15"/>
      <c r="AV1440" s="15"/>
      <c r="AW1440" s="15"/>
      <c r="AX1440" s="15"/>
      <c r="AY1440" s="15"/>
      <c r="AZ1440" s="15"/>
      <c r="BA1440" s="15"/>
      <c r="BB1440" s="15"/>
      <c r="BC1440" s="15"/>
      <c r="BD1440" s="15"/>
      <c r="BE1440" s="15"/>
      <c r="BF1440" s="15"/>
      <c r="BG1440" s="15"/>
      <c r="BH1440" s="15"/>
      <c r="BI1440" s="15"/>
      <c r="BJ1440" s="15"/>
      <c r="BK1440" s="15"/>
      <c r="BL1440" s="15"/>
      <c r="BM1440" s="15"/>
      <c r="BN1440" s="15"/>
      <c r="BO1440" s="15"/>
      <c r="BP1440" s="15"/>
      <c r="BQ1440" s="15"/>
      <c r="BR1440" s="15"/>
      <c r="BS1440" s="15"/>
      <c r="BT1440" s="15"/>
      <c r="BU1440" s="15"/>
      <c r="BV1440" s="15"/>
      <c r="BW1440" s="15"/>
      <c r="BX1440" s="15"/>
      <c r="BY1440" s="15"/>
      <c r="BZ1440" s="15"/>
      <c r="CA1440" s="15"/>
      <c r="CB1440" s="15"/>
    </row>
    <row r="1441" spans="1:80" ht="12.75" hidden="1" customHeight="1">
      <c r="A1441" s="20">
        <f ca="1">IFERROR(__xludf.DUMMYFUNCTION("""COMPUTED_VALUE"""),2020)</f>
        <v>2020</v>
      </c>
      <c r="B1441" s="45">
        <f ca="1">IFERROR(__xludf.DUMMYFUNCTION("""COMPUTED_VALUE"""),44613)</f>
        <v>44613</v>
      </c>
      <c r="C1441" s="46">
        <f ca="1">IFERROR(__xludf.DUMMYFUNCTION("""COMPUTED_VALUE"""),44403)</f>
        <v>44403</v>
      </c>
      <c r="D1441" s="47" t="str">
        <f ca="1">IFERROR(__xludf.DUMMYFUNCTION("""COMPUTED_VALUE"""),"Yellow Wagtail [Grey-headed]")</f>
        <v>Yellow Wagtail [Grey-headed]</v>
      </c>
      <c r="E1441" s="52">
        <f ca="1">IFERROR(__xludf.DUMMYFUNCTION("""COMPUTED_VALUE"""),1)</f>
        <v>1</v>
      </c>
      <c r="F1441" s="25" t="str">
        <f ca="1">IFERROR(__xludf.DUMMYFUNCTION("""COMPUTED_VALUE"""),"m")</f>
        <v>m</v>
      </c>
      <c r="G1441" s="48" t="str">
        <f ca="1">IFERROR(__xludf.DUMMYFUNCTION("""COMPUTED_VALUE"""),"Bath Vale")</f>
        <v>Bath Vale</v>
      </c>
      <c r="H1441" s="22">
        <f ca="1">IFERROR(__xludf.DUMMYFUNCTION("""COMPUTED_VALUE"""),43931)</f>
        <v>43931</v>
      </c>
      <c r="I1441" s="23"/>
      <c r="J1441" s="24"/>
      <c r="K1441" s="25"/>
      <c r="L1441" s="27" t="str">
        <f ca="1">IFERROR(__xludf.DUMMYFUNCTION("""COMPUTED_VALUE"""),"closed")</f>
        <v>closed</v>
      </c>
      <c r="M1441" s="27" t="str">
        <f ca="1">IFERROR(__xludf.DUMMYFUNCTION("""COMPUTED_VALUE"""),"1st U")</f>
        <v>1st U</v>
      </c>
      <c r="N1441" s="25" t="str">
        <f ca="1">IFERROR(__xludf.DUMMYFUNCTION("""COMPUTED_VALUE"""),"unproven")</f>
        <v>unproven</v>
      </c>
      <c r="O1441" s="28" t="str">
        <f ca="1">IFERROR(__xludf.DUMMYFUNCTION("""COMPUTED_VALUE"""),"The desciption did not rule out several other races or grey wagtail")</f>
        <v>The desciption did not rule out several other races or grey wagtail</v>
      </c>
      <c r="P1441" s="25"/>
      <c r="Q1441" s="25"/>
      <c r="R1441" s="25"/>
      <c r="S1441" s="25"/>
      <c r="T1441" s="25"/>
      <c r="U1441" s="25"/>
      <c r="V1441" s="25"/>
      <c r="W1441" s="25"/>
      <c r="X1441" s="25"/>
      <c r="Y1441" s="25"/>
      <c r="Z1441" s="25"/>
      <c r="AA1441" s="25"/>
      <c r="AB1441" s="25"/>
      <c r="AC1441" s="25"/>
      <c r="AD1441" s="25"/>
      <c r="AE1441" s="25"/>
      <c r="AF1441" s="25"/>
      <c r="AG1441" s="25"/>
      <c r="AH1441" s="25"/>
      <c r="AI1441" s="25"/>
      <c r="AJ1441" s="25"/>
      <c r="AK1441" s="25"/>
      <c r="AL1441" s="25"/>
      <c r="AM1441" s="25"/>
      <c r="AN1441" s="25"/>
      <c r="AO1441" s="25"/>
      <c r="AP1441" s="25"/>
      <c r="AQ1441" s="25"/>
      <c r="AR1441" s="25"/>
      <c r="AS1441" s="25"/>
      <c r="AT1441" s="25"/>
      <c r="AU1441" s="25"/>
      <c r="AV1441" s="25"/>
      <c r="AW1441" s="25"/>
      <c r="AX1441" s="25"/>
      <c r="AY1441" s="25"/>
      <c r="AZ1441" s="25"/>
      <c r="BA1441" s="25"/>
      <c r="BB1441" s="25"/>
      <c r="BC1441" s="25"/>
      <c r="BD1441" s="25"/>
      <c r="BE1441" s="25"/>
      <c r="BF1441" s="25"/>
      <c r="BG1441" s="25"/>
      <c r="BH1441" s="25"/>
      <c r="BI1441" s="25"/>
      <c r="BJ1441" s="25"/>
      <c r="BK1441" s="25"/>
      <c r="BL1441" s="25"/>
      <c r="BM1441" s="25"/>
      <c r="BN1441" s="25"/>
      <c r="BO1441" s="25"/>
      <c r="BP1441" s="25"/>
      <c r="BQ1441" s="25"/>
      <c r="BR1441" s="25"/>
      <c r="BS1441" s="25"/>
      <c r="BT1441" s="25"/>
      <c r="BU1441" s="25"/>
      <c r="BV1441" s="25"/>
      <c r="BW1441" s="25"/>
      <c r="BX1441" s="25"/>
      <c r="BY1441" s="25"/>
      <c r="BZ1441" s="25"/>
      <c r="CA1441" s="25"/>
      <c r="CB1441" s="25"/>
    </row>
    <row r="1442" spans="1:80" ht="12.75" hidden="1" customHeight="1">
      <c r="A1442" s="10">
        <f ca="1">IFERROR(__xludf.DUMMYFUNCTION("""COMPUTED_VALUE"""),2020)</f>
        <v>2020</v>
      </c>
      <c r="B1442" s="50">
        <f ca="1">IFERROR(__xludf.DUMMYFUNCTION("""COMPUTED_VALUE"""),44574)</f>
        <v>44574</v>
      </c>
      <c r="C1442" s="41"/>
      <c r="D1442" s="42" t="str">
        <f ca="1">IFERROR(__xludf.DUMMYFUNCTION("""COMPUTED_VALUE"""),"Lapland Bunting")</f>
        <v>Lapland Bunting</v>
      </c>
      <c r="E1442" s="53">
        <f ca="1">IFERROR(__xludf.DUMMYFUNCTION("""COMPUTED_VALUE"""),1)</f>
        <v>1</v>
      </c>
      <c r="F1442" s="15"/>
      <c r="G1442" s="44" t="str">
        <f ca="1">IFERROR(__xludf.DUMMYFUNCTION("""COMPUTED_VALUE"""),"Hale")</f>
        <v>Hale</v>
      </c>
      <c r="H1442" s="12">
        <f ca="1">IFERROR(__xludf.DUMMYFUNCTION("""COMPUTED_VALUE"""),44145)</f>
        <v>44145</v>
      </c>
      <c r="I1442" s="12">
        <f ca="1">IFERROR(__xludf.DUMMYFUNCTION("""COMPUTED_VALUE"""),44146)</f>
        <v>44146</v>
      </c>
      <c r="J1442" s="14" t="str">
        <f ca="1">IFERROR(__xludf.DUMMYFUNCTION("""COMPUTED_VALUE"""),"Birdguides")</f>
        <v>Birdguides</v>
      </c>
      <c r="K1442" s="15"/>
      <c r="L1442" s="17" t="str">
        <f ca="1">IFERROR(__xludf.DUMMYFUNCTION("""COMPUTED_VALUE"""),"limbo")</f>
        <v>limbo</v>
      </c>
      <c r="M1442" s="17"/>
      <c r="N1442" s="15" t="str">
        <f ca="1">IFERROR(__xludf.DUMMYFUNCTION("""COMPUTED_VALUE"""),"not submitted")</f>
        <v>not submitted</v>
      </c>
      <c r="O1442" s="18" t="str">
        <f ca="1">IFERROR(__xludf.DUMMYFUNCTION("""COMPUTED_VALUE"""),"Birdguides, would be exempted if observer identified themselves")</f>
        <v>Birdguides, would be exempted if observer identified themselves</v>
      </c>
      <c r="P1442" s="15"/>
      <c r="Q1442" s="15"/>
      <c r="R1442" s="15"/>
      <c r="S1442" s="15"/>
      <c r="T1442" s="15"/>
      <c r="U1442" s="15"/>
      <c r="V1442" s="15"/>
      <c r="W1442" s="15"/>
      <c r="X1442" s="15"/>
      <c r="Y1442" s="15"/>
      <c r="Z1442" s="15"/>
      <c r="AA1442" s="15"/>
      <c r="AB1442" s="15"/>
      <c r="AC1442" s="15"/>
      <c r="AD1442" s="15"/>
      <c r="AE1442" s="15"/>
      <c r="AF1442" s="15"/>
      <c r="AG1442" s="15"/>
      <c r="AH1442" s="15"/>
      <c r="AI1442" s="15"/>
      <c r="AJ1442" s="15"/>
      <c r="AK1442" s="15"/>
      <c r="AL1442" s="15"/>
      <c r="AM1442" s="15"/>
      <c r="AN1442" s="15"/>
      <c r="AO1442" s="15"/>
      <c r="AP1442" s="15"/>
      <c r="AQ1442" s="15"/>
      <c r="AR1442" s="15"/>
      <c r="AS1442" s="15"/>
      <c r="AT1442" s="15"/>
      <c r="AU1442" s="15"/>
      <c r="AV1442" s="15"/>
      <c r="AW1442" s="15"/>
      <c r="AX1442" s="15"/>
      <c r="AY1442" s="15"/>
      <c r="AZ1442" s="15"/>
      <c r="BA1442" s="15"/>
      <c r="BB1442" s="15"/>
      <c r="BC1442" s="15"/>
      <c r="BD1442" s="15"/>
      <c r="BE1442" s="15"/>
      <c r="BF1442" s="15"/>
      <c r="BG1442" s="15"/>
      <c r="BH1442" s="15"/>
      <c r="BI1442" s="15"/>
      <c r="BJ1442" s="15"/>
      <c r="BK1442" s="15"/>
      <c r="BL1442" s="15"/>
      <c r="BM1442" s="15"/>
      <c r="BN1442" s="15"/>
      <c r="BO1442" s="15"/>
      <c r="BP1442" s="15"/>
      <c r="BQ1442" s="15"/>
      <c r="BR1442" s="15"/>
      <c r="BS1442" s="15"/>
      <c r="BT1442" s="15"/>
      <c r="BU1442" s="15"/>
      <c r="BV1442" s="15"/>
      <c r="BW1442" s="15"/>
      <c r="BX1442" s="15"/>
      <c r="BY1442" s="15"/>
      <c r="BZ1442" s="15"/>
      <c r="CA1442" s="15"/>
      <c r="CB1442" s="15"/>
    </row>
    <row r="1443" spans="1:80" ht="12.75" hidden="1" customHeight="1">
      <c r="A1443" s="20">
        <f ca="1">IFERROR(__xludf.DUMMYFUNCTION("""COMPUTED_VALUE"""),2020)</f>
        <v>2020</v>
      </c>
      <c r="B1443" s="45">
        <f ca="1">IFERROR(__xludf.DUMMYFUNCTION("""COMPUTED_VALUE"""),44574)</f>
        <v>44574</v>
      </c>
      <c r="C1443" s="46"/>
      <c r="D1443" s="47" t="str">
        <f ca="1">IFERROR(__xludf.DUMMYFUNCTION("""COMPUTED_VALUE"""),"Lapland Bunting")</f>
        <v>Lapland Bunting</v>
      </c>
      <c r="E1443" s="52">
        <f ca="1">IFERROR(__xludf.DUMMYFUNCTION("""COMPUTED_VALUE"""),1)</f>
        <v>1</v>
      </c>
      <c r="F1443" s="25"/>
      <c r="G1443" s="48" t="str">
        <f ca="1">IFERROR(__xludf.DUMMYFUNCTION("""COMPUTED_VALUE"""),"Red Rocks, Hoylake")</f>
        <v>Red Rocks, Hoylake</v>
      </c>
      <c r="H1443" s="22">
        <f ca="1">IFERROR(__xludf.DUMMYFUNCTION("""COMPUTED_VALUE"""),44153)</f>
        <v>44153</v>
      </c>
      <c r="I1443" s="23"/>
      <c r="J1443" s="24" t="str">
        <f ca="1">IFERROR(__xludf.DUMMYFUNCTION("""COMPUTED_VALUE"""),"Birdguides")</f>
        <v>Birdguides</v>
      </c>
      <c r="K1443" s="25"/>
      <c r="L1443" s="27" t="str">
        <f ca="1">IFERROR(__xludf.DUMMYFUNCTION("""COMPUTED_VALUE"""),"limbo")</f>
        <v>limbo</v>
      </c>
      <c r="M1443" s="27"/>
      <c r="N1443" s="25" t="str">
        <f ca="1">IFERROR(__xludf.DUMMYFUNCTION("""COMPUTED_VALUE"""),"not submitted")</f>
        <v>not submitted</v>
      </c>
      <c r="O1443" s="28" t="str">
        <f ca="1">IFERROR(__xludf.DUMMYFUNCTION("""COMPUTED_VALUE"""),"Birdguides, would be exempted if observer identified themselves")</f>
        <v>Birdguides, would be exempted if observer identified themselves</v>
      </c>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K1443" s="25"/>
      <c r="AL1443" s="25"/>
      <c r="AM1443" s="25"/>
      <c r="AN1443" s="25"/>
      <c r="AO1443" s="25"/>
      <c r="AP1443" s="25"/>
      <c r="AQ1443" s="25"/>
      <c r="AR1443" s="25"/>
      <c r="AS1443" s="25"/>
      <c r="AT1443" s="25"/>
      <c r="AU1443" s="25"/>
      <c r="AV1443" s="25"/>
      <c r="AW1443" s="25"/>
      <c r="AX1443" s="25"/>
      <c r="AY1443" s="25"/>
      <c r="AZ1443" s="25"/>
      <c r="BA1443" s="25"/>
      <c r="BB1443" s="25"/>
      <c r="BC1443" s="25"/>
      <c r="BD1443" s="25"/>
      <c r="BE1443" s="25"/>
      <c r="BF1443" s="25"/>
      <c r="BG1443" s="25"/>
      <c r="BH1443" s="25"/>
      <c r="BI1443" s="25"/>
      <c r="BJ1443" s="25"/>
      <c r="BK1443" s="25"/>
      <c r="BL1443" s="25"/>
      <c r="BM1443" s="25"/>
      <c r="BN1443" s="25"/>
      <c r="BO1443" s="25"/>
      <c r="BP1443" s="25"/>
      <c r="BQ1443" s="25"/>
      <c r="BR1443" s="25"/>
      <c r="BS1443" s="25"/>
      <c r="BT1443" s="25"/>
      <c r="BU1443" s="25"/>
      <c r="BV1443" s="25"/>
      <c r="BW1443" s="25"/>
      <c r="BX1443" s="25"/>
      <c r="BY1443" s="25"/>
      <c r="BZ1443" s="25"/>
      <c r="CA1443" s="25"/>
      <c r="CB1443" s="25"/>
    </row>
    <row r="1444" spans="1:80" ht="12.75" hidden="1" customHeight="1">
      <c r="A1444" s="10">
        <f ca="1">IFERROR(__xludf.DUMMYFUNCTION("""COMPUTED_VALUE"""),2021)</f>
        <v>2021</v>
      </c>
      <c r="B1444" s="50">
        <f ca="1">IFERROR(__xludf.DUMMYFUNCTION("""COMPUTED_VALUE"""),44841)</f>
        <v>44841</v>
      </c>
      <c r="C1444" s="41"/>
      <c r="D1444" s="42" t="str">
        <f ca="1">IFERROR(__xludf.DUMMYFUNCTION("""COMPUTED_VALUE"""),"Blue-winged Teal")</f>
        <v>Blue-winged Teal</v>
      </c>
      <c r="E1444" s="53"/>
      <c r="F1444" s="15"/>
      <c r="G1444" s="44" t="str">
        <f ca="1">IFERROR(__xludf.DUMMYFUNCTION("""COMPUTED_VALUE"""),"Neumann's Flash")</f>
        <v>Neumann's Flash</v>
      </c>
      <c r="H1444" s="12">
        <f ca="1">IFERROR(__xludf.DUMMYFUNCTION("""COMPUTED_VALUE"""),44477)</f>
        <v>44477</v>
      </c>
      <c r="I1444" s="12">
        <f ca="1">IFERROR(__xludf.DUMMYFUNCTION("""COMPUTED_VALUE"""),44491)</f>
        <v>44491</v>
      </c>
      <c r="J1444" s="14" t="str">
        <f ca="1">IFERROR(__xludf.DUMMYFUNCTION("""COMPUTED_VALUE"""),"G.Baker et al")</f>
        <v>G.Baker et al</v>
      </c>
      <c r="K1444" s="15"/>
      <c r="L1444" s="17" t="str">
        <f ca="1">IFERROR(__xludf.DUMMYFUNCTION("""COMPUTED_VALUE"""),"closed")</f>
        <v>closed</v>
      </c>
      <c r="M1444" s="17"/>
      <c r="N1444" s="15" t="str">
        <f ca="1">IFERROR(__xludf.DUMMYFUNCTION("""COMPUTED_VALUE"""),"BBRC-ok")</f>
        <v>BBRC-ok</v>
      </c>
      <c r="O1444" s="18"/>
      <c r="P1444" s="58"/>
      <c r="Q1444" s="15"/>
      <c r="R1444" s="15"/>
      <c r="S1444" s="15"/>
      <c r="T1444" s="15"/>
      <c r="U1444" s="15"/>
      <c r="V1444" s="15"/>
      <c r="W1444" s="15"/>
      <c r="X1444" s="15"/>
      <c r="Y1444" s="15"/>
      <c r="Z1444" s="15"/>
      <c r="AA1444" s="15"/>
      <c r="AB1444" s="15"/>
      <c r="AC1444" s="15"/>
      <c r="AD1444" s="15"/>
      <c r="AE1444" s="15"/>
      <c r="AF1444" s="15"/>
      <c r="AG1444" s="15"/>
      <c r="AH1444" s="15"/>
      <c r="AI1444" s="15"/>
      <c r="AJ1444" s="15"/>
      <c r="AK1444" s="15"/>
      <c r="AL1444" s="15"/>
      <c r="AM1444" s="15"/>
      <c r="AN1444" s="15"/>
      <c r="AO1444" s="15"/>
      <c r="AP1444" s="15"/>
      <c r="AQ1444" s="15"/>
      <c r="AR1444" s="15"/>
      <c r="AS1444" s="15"/>
      <c r="AT1444" s="15"/>
      <c r="AU1444" s="15"/>
      <c r="AV1444" s="15"/>
      <c r="AW1444" s="15"/>
      <c r="AX1444" s="15"/>
      <c r="AY1444" s="15"/>
      <c r="AZ1444" s="15"/>
      <c r="BA1444" s="15"/>
      <c r="BB1444" s="15"/>
      <c r="BC1444" s="15"/>
      <c r="BD1444" s="15"/>
      <c r="BE1444" s="15"/>
      <c r="BF1444" s="15"/>
      <c r="BG1444" s="15"/>
      <c r="BH1444" s="15"/>
      <c r="BI1444" s="15"/>
      <c r="BJ1444" s="15"/>
      <c r="BK1444" s="15"/>
      <c r="BL1444" s="15"/>
      <c r="BM1444" s="15"/>
      <c r="BN1444" s="15"/>
      <c r="BO1444" s="15"/>
      <c r="BP1444" s="15"/>
      <c r="BQ1444" s="15"/>
      <c r="BR1444" s="15"/>
      <c r="BS1444" s="15"/>
      <c r="BT1444" s="15"/>
      <c r="BU1444" s="15"/>
      <c r="BV1444" s="15"/>
      <c r="BW1444" s="15"/>
      <c r="BX1444" s="15"/>
      <c r="BY1444" s="15"/>
      <c r="BZ1444" s="15"/>
      <c r="CA1444" s="15"/>
      <c r="CB1444" s="15"/>
    </row>
    <row r="1445" spans="1:80" ht="12.75" hidden="1" customHeight="1">
      <c r="A1445" s="20">
        <f ca="1">IFERROR(__xludf.DUMMYFUNCTION("""COMPUTED_VALUE"""),2021)</f>
        <v>2021</v>
      </c>
      <c r="B1445" s="45">
        <f ca="1">IFERROR(__xludf.DUMMYFUNCTION("""COMPUTED_VALUE"""),44830)</f>
        <v>44830</v>
      </c>
      <c r="C1445" s="46"/>
      <c r="D1445" s="47" t="str">
        <f ca="1">IFERROR(__xludf.DUMMYFUNCTION("""COMPUTED_VALUE"""),"Green-winged Teal")</f>
        <v>Green-winged Teal</v>
      </c>
      <c r="E1445" s="52">
        <f ca="1">IFERROR(__xludf.DUMMYFUNCTION("""COMPUTED_VALUE"""),1)</f>
        <v>1</v>
      </c>
      <c r="F1445" s="25"/>
      <c r="G1445" s="48" t="str">
        <f ca="1">IFERROR(__xludf.DUMMYFUNCTION("""COMPUTED_VALUE"""),"Audlem")</f>
        <v>Audlem</v>
      </c>
      <c r="H1445" s="22">
        <f ca="1">IFERROR(__xludf.DUMMYFUNCTION("""COMPUTED_VALUE"""),44509)</f>
        <v>44509</v>
      </c>
      <c r="I1445" s="23"/>
      <c r="J1445" s="24"/>
      <c r="K1445" s="25"/>
      <c r="L1445" s="27" t="str">
        <f ca="1">IFERROR(__xludf.DUMMYFUNCTION("""COMPUTED_VALUE"""),"limbo")</f>
        <v>limbo</v>
      </c>
      <c r="M1445" s="27"/>
      <c r="N1445" s="25" t="str">
        <f ca="1">IFERROR(__xludf.DUMMYFUNCTION("""COMPUTED_VALUE"""),"not submitted")</f>
        <v>not submitted</v>
      </c>
      <c r="O1445" s="28"/>
      <c r="P1445" s="25"/>
      <c r="Q1445" s="25"/>
      <c r="R1445" s="25"/>
      <c r="S1445" s="25"/>
      <c r="T1445" s="25"/>
      <c r="U1445" s="25"/>
      <c r="V1445" s="25"/>
      <c r="W1445" s="25"/>
      <c r="X1445" s="25"/>
      <c r="Y1445" s="25"/>
      <c r="Z1445" s="25"/>
      <c r="AA1445" s="25"/>
      <c r="AB1445" s="25"/>
      <c r="AC1445" s="25"/>
      <c r="AD1445" s="25"/>
      <c r="AE1445" s="25"/>
      <c r="AF1445" s="25"/>
      <c r="AG1445" s="25"/>
      <c r="AH1445" s="25"/>
      <c r="AI1445" s="25"/>
      <c r="AJ1445" s="25"/>
      <c r="AK1445" s="25"/>
      <c r="AL1445" s="25"/>
      <c r="AM1445" s="25"/>
      <c r="AN1445" s="25"/>
      <c r="AO1445" s="25"/>
      <c r="AP1445" s="25"/>
      <c r="AQ1445" s="25"/>
      <c r="AR1445" s="25"/>
      <c r="AS1445" s="25"/>
      <c r="AT1445" s="25"/>
      <c r="AU1445" s="25"/>
      <c r="AV1445" s="25"/>
      <c r="AW1445" s="25"/>
      <c r="AX1445" s="25"/>
      <c r="AY1445" s="25"/>
      <c r="AZ1445" s="25"/>
      <c r="BA1445" s="25"/>
      <c r="BB1445" s="25"/>
      <c r="BC1445" s="25"/>
      <c r="BD1445" s="25"/>
      <c r="BE1445" s="25"/>
      <c r="BF1445" s="25"/>
      <c r="BG1445" s="25"/>
      <c r="BH1445" s="25"/>
      <c r="BI1445" s="25"/>
      <c r="BJ1445" s="25"/>
      <c r="BK1445" s="25"/>
      <c r="BL1445" s="25"/>
      <c r="BM1445" s="25"/>
      <c r="BN1445" s="25"/>
      <c r="BO1445" s="25"/>
      <c r="BP1445" s="25"/>
      <c r="BQ1445" s="25"/>
      <c r="BR1445" s="25"/>
      <c r="BS1445" s="25"/>
      <c r="BT1445" s="25"/>
      <c r="BU1445" s="25"/>
      <c r="BV1445" s="25"/>
      <c r="BW1445" s="25"/>
      <c r="BX1445" s="25"/>
      <c r="BY1445" s="25"/>
      <c r="BZ1445" s="25"/>
      <c r="CA1445" s="25"/>
      <c r="CB1445" s="25"/>
    </row>
    <row r="1446" spans="1:80" ht="12.75" hidden="1" customHeight="1">
      <c r="A1446" s="10">
        <f ca="1">IFERROR(__xludf.DUMMYFUNCTION("""COMPUTED_VALUE"""),2021)</f>
        <v>2021</v>
      </c>
      <c r="B1446" s="50">
        <f ca="1">IFERROR(__xludf.DUMMYFUNCTION("""COMPUTED_VALUE"""),44584)</f>
        <v>44584</v>
      </c>
      <c r="C1446" s="41"/>
      <c r="D1446" s="42" t="str">
        <f ca="1">IFERROR(__xludf.DUMMYFUNCTION("""COMPUTED_VALUE"""),"Ring-necked Duck")</f>
        <v>Ring-necked Duck</v>
      </c>
      <c r="E1446" s="53">
        <f ca="1">IFERROR(__xludf.DUMMYFUNCTION("""COMPUTED_VALUE"""),1)</f>
        <v>1</v>
      </c>
      <c r="F1446" s="15"/>
      <c r="G1446" s="44" t="str">
        <f ca="1">IFERROR(__xludf.DUMMYFUNCTION("""COMPUTED_VALUE"""),"Newchurch Common")</f>
        <v>Newchurch Common</v>
      </c>
      <c r="H1446" s="12">
        <f ca="1">IFERROR(__xludf.DUMMYFUNCTION("""COMPUTED_VALUE"""),44297)</f>
        <v>44297</v>
      </c>
      <c r="I1446" s="12">
        <f ca="1">IFERROR(__xludf.DUMMYFUNCTION("""COMPUTED_VALUE"""),44327)</f>
        <v>44327</v>
      </c>
      <c r="J1446" s="14"/>
      <c r="K1446" s="15"/>
      <c r="L1446" s="17" t="str">
        <f ca="1">IFERROR(__xludf.DUMMYFUNCTION("""COMPUTED_VALUE"""),"closed")</f>
        <v>closed</v>
      </c>
      <c r="M1446" s="17" t="str">
        <f ca="1">IFERROR(__xludf.DUMMYFUNCTION("""COMPUTED_VALUE"""),"photo")</f>
        <v>photo</v>
      </c>
      <c r="N1446" s="15" t="str">
        <f ca="1">IFERROR(__xludf.DUMMYFUNCTION("""COMPUTED_VALUE"""),"Accepted w/o circ")</f>
        <v>Accepted w/o circ</v>
      </c>
      <c r="O1446" s="18"/>
      <c r="P1446" s="15"/>
      <c r="Q1446" s="15"/>
      <c r="R1446" s="15"/>
      <c r="S1446" s="15"/>
      <c r="T1446" s="15"/>
      <c r="U1446" s="15"/>
      <c r="V1446" s="15"/>
      <c r="W1446" s="15"/>
      <c r="X1446" s="15"/>
      <c r="Y1446" s="15"/>
      <c r="Z1446" s="15"/>
      <c r="AA1446" s="15"/>
      <c r="AB1446" s="15"/>
      <c r="AC1446" s="15"/>
      <c r="AD1446" s="15"/>
      <c r="AE1446" s="15"/>
      <c r="AF1446" s="15"/>
      <c r="AG1446" s="15"/>
      <c r="AH1446" s="15"/>
      <c r="AI1446" s="15"/>
      <c r="AJ1446" s="15"/>
      <c r="AK1446" s="15"/>
      <c r="AL1446" s="15"/>
      <c r="AM1446" s="15"/>
      <c r="AN1446" s="15"/>
      <c r="AO1446" s="15"/>
      <c r="AP1446" s="15"/>
      <c r="AQ1446" s="15"/>
      <c r="AR1446" s="15"/>
      <c r="AS1446" s="15"/>
      <c r="AT1446" s="15"/>
      <c r="AU1446" s="15"/>
      <c r="AV1446" s="15"/>
      <c r="AW1446" s="15"/>
      <c r="AX1446" s="15"/>
      <c r="AY1446" s="15"/>
      <c r="AZ1446" s="15"/>
      <c r="BA1446" s="15"/>
      <c r="BB1446" s="15"/>
      <c r="BC1446" s="15"/>
      <c r="BD1446" s="15"/>
      <c r="BE1446" s="15"/>
      <c r="BF1446" s="15"/>
      <c r="BG1446" s="15"/>
      <c r="BH1446" s="15"/>
      <c r="BI1446" s="15"/>
      <c r="BJ1446" s="15"/>
      <c r="BK1446" s="15"/>
      <c r="BL1446" s="15"/>
      <c r="BM1446" s="15"/>
      <c r="BN1446" s="15"/>
      <c r="BO1446" s="15"/>
      <c r="BP1446" s="15"/>
      <c r="BQ1446" s="15"/>
      <c r="BR1446" s="15"/>
      <c r="BS1446" s="15"/>
      <c r="BT1446" s="15"/>
      <c r="BU1446" s="15"/>
      <c r="BV1446" s="15"/>
      <c r="BW1446" s="15"/>
      <c r="BX1446" s="15"/>
      <c r="BY1446" s="15"/>
      <c r="BZ1446" s="15"/>
      <c r="CA1446" s="15"/>
      <c r="CB1446" s="15"/>
    </row>
    <row r="1447" spans="1:80" ht="12.75" hidden="1" customHeight="1">
      <c r="A1447" s="20">
        <f ca="1">IFERROR(__xludf.DUMMYFUNCTION("""COMPUTED_VALUE"""),2021)</f>
        <v>2021</v>
      </c>
      <c r="B1447" s="45">
        <f ca="1">IFERROR(__xludf.DUMMYFUNCTION("""COMPUTED_VALUE"""),44841)</f>
        <v>44841</v>
      </c>
      <c r="C1447" s="46"/>
      <c r="D1447" s="47" t="str">
        <f ca="1">IFERROR(__xludf.DUMMYFUNCTION("""COMPUTED_VALUE"""),"Hooded Merganser")</f>
        <v>Hooded Merganser</v>
      </c>
      <c r="E1447" s="52">
        <f ca="1">IFERROR(__xludf.DUMMYFUNCTION("""COMPUTED_VALUE"""),1)</f>
        <v>1</v>
      </c>
      <c r="F1447" s="25" t="str">
        <f ca="1">IFERROR(__xludf.DUMMYFUNCTION("""COMPUTED_VALUE"""),"2nd CY m")</f>
        <v>2nd CY m</v>
      </c>
      <c r="G1447" s="48" t="str">
        <f ca="1">IFERROR(__xludf.DUMMYFUNCTION("""COMPUTED_VALUE"""),"Tatton")</f>
        <v>Tatton</v>
      </c>
      <c r="H1447" s="22">
        <f ca="1">IFERROR(__xludf.DUMMYFUNCTION("""COMPUTED_VALUE"""),44216)</f>
        <v>44216</v>
      </c>
      <c r="I1447" s="22">
        <f ca="1">IFERROR(__xludf.DUMMYFUNCTION("""COMPUTED_VALUE"""),44236)</f>
        <v>44236</v>
      </c>
      <c r="J1447" s="24" t="str">
        <f ca="1">IFERROR(__xludf.DUMMYFUNCTION("""COMPUTED_VALUE"""),"recorder")</f>
        <v>recorder</v>
      </c>
      <c r="K1447" s="25"/>
      <c r="L1447" s="27" t="str">
        <f ca="1">IFERROR(__xludf.DUMMYFUNCTION("""COMPUTED_VALUE"""),"closed")</f>
        <v>closed</v>
      </c>
      <c r="M1447" s="27"/>
      <c r="N1447" s="25" t="str">
        <f ca="1">IFERROR(__xludf.DUMMYFUNCTION("""COMPUTED_VALUE"""),"BBRC-ok")</f>
        <v>BBRC-ok</v>
      </c>
      <c r="O1447" s="28"/>
      <c r="P1447" s="25"/>
      <c r="Q1447" s="25"/>
      <c r="R1447" s="25"/>
      <c r="S1447" s="25"/>
      <c r="T1447" s="25"/>
      <c r="U1447" s="25"/>
      <c r="V1447" s="25"/>
      <c r="W1447" s="25"/>
      <c r="X1447" s="25"/>
      <c r="Y1447" s="25"/>
      <c r="Z1447" s="25"/>
      <c r="AA1447" s="25"/>
      <c r="AB1447" s="25"/>
      <c r="AC1447" s="25"/>
      <c r="AD1447" s="25"/>
      <c r="AE1447" s="25"/>
      <c r="AF1447" s="25"/>
      <c r="AG1447" s="25"/>
      <c r="AH1447" s="25"/>
      <c r="AI1447" s="25"/>
      <c r="AJ1447" s="25"/>
      <c r="AK1447" s="25"/>
      <c r="AL1447" s="25"/>
      <c r="AM1447" s="25"/>
      <c r="AN1447" s="25"/>
      <c r="AO1447" s="25"/>
      <c r="AP1447" s="25"/>
      <c r="AQ1447" s="25"/>
      <c r="AR1447" s="25"/>
      <c r="AS1447" s="25"/>
      <c r="AT1447" s="25"/>
      <c r="AU1447" s="25"/>
      <c r="AV1447" s="25"/>
      <c r="AW1447" s="25"/>
      <c r="AX1447" s="25"/>
      <c r="AY1447" s="25"/>
      <c r="AZ1447" s="25"/>
      <c r="BA1447" s="25"/>
      <c r="BB1447" s="25"/>
      <c r="BC1447" s="25"/>
      <c r="BD1447" s="25"/>
      <c r="BE1447" s="25"/>
      <c r="BF1447" s="25"/>
      <c r="BG1447" s="25"/>
      <c r="BH1447" s="25"/>
      <c r="BI1447" s="25"/>
      <c r="BJ1447" s="25"/>
      <c r="BK1447" s="25"/>
      <c r="BL1447" s="25"/>
      <c r="BM1447" s="25"/>
      <c r="BN1447" s="25"/>
      <c r="BO1447" s="25"/>
      <c r="BP1447" s="25"/>
      <c r="BQ1447" s="25"/>
      <c r="BR1447" s="25"/>
      <c r="BS1447" s="25"/>
      <c r="BT1447" s="25"/>
      <c r="BU1447" s="25"/>
      <c r="BV1447" s="25"/>
      <c r="BW1447" s="25"/>
      <c r="BX1447" s="25"/>
      <c r="BY1447" s="25"/>
      <c r="BZ1447" s="25"/>
      <c r="CA1447" s="25"/>
      <c r="CB1447" s="25"/>
    </row>
    <row r="1448" spans="1:80" ht="12.75" hidden="1" customHeight="1">
      <c r="A1448" s="10">
        <f ca="1">IFERROR(__xludf.DUMMYFUNCTION("""COMPUTED_VALUE"""),2021)</f>
        <v>2021</v>
      </c>
      <c r="B1448" s="50">
        <f ca="1">IFERROR(__xludf.DUMMYFUNCTION("""COMPUTED_VALUE"""),44841)</f>
        <v>44841</v>
      </c>
      <c r="C1448" s="41"/>
      <c r="D1448" s="42" t="str">
        <f ca="1">IFERROR(__xludf.DUMMYFUNCTION("""COMPUTED_VALUE"""),"Hooded Merganser")</f>
        <v>Hooded Merganser</v>
      </c>
      <c r="E1448" s="53">
        <f ca="1">IFERROR(__xludf.DUMMYFUNCTION("""COMPUTED_VALUE"""),1)</f>
        <v>1</v>
      </c>
      <c r="F1448" s="15" t="str">
        <f ca="1">IFERROR(__xludf.DUMMYFUNCTION("""COMPUTED_VALUE"""),"2nd CY m")</f>
        <v>2nd CY m</v>
      </c>
      <c r="G1448" s="44" t="str">
        <f ca="1">IFERROR(__xludf.DUMMYFUNCTION("""COMPUTED_VALUE"""),"Rostherne")</f>
        <v>Rostherne</v>
      </c>
      <c r="H1448" s="12">
        <f ca="1">IFERROR(__xludf.DUMMYFUNCTION("""COMPUTED_VALUE"""),44254)</f>
        <v>44254</v>
      </c>
      <c r="I1448" s="13"/>
      <c r="J1448" s="14" t="str">
        <f ca="1">IFERROR(__xludf.DUMMYFUNCTION("""COMPUTED_VALUE"""),"recorder")</f>
        <v>recorder</v>
      </c>
      <c r="K1448" s="15"/>
      <c r="L1448" s="17" t="str">
        <f ca="1">IFERROR(__xludf.DUMMYFUNCTION("""COMPUTED_VALUE"""),"closed")</f>
        <v>closed</v>
      </c>
      <c r="M1448" s="17"/>
      <c r="N1448" s="15" t="str">
        <f ca="1">IFERROR(__xludf.DUMMYFUNCTION("""COMPUTED_VALUE"""),"BBRC-ok")</f>
        <v>BBRC-ok</v>
      </c>
      <c r="O1448" s="18"/>
      <c r="P1448" s="15"/>
      <c r="Q1448" s="15"/>
      <c r="R1448" s="15"/>
      <c r="S1448" s="15"/>
      <c r="T1448" s="15"/>
      <c r="U1448" s="15"/>
      <c r="V1448" s="15"/>
      <c r="W1448" s="15"/>
      <c r="X1448" s="15"/>
      <c r="Y1448" s="15"/>
      <c r="Z1448" s="15"/>
      <c r="AA1448" s="15"/>
      <c r="AB1448" s="15"/>
      <c r="AC1448" s="15"/>
      <c r="AD1448" s="15"/>
      <c r="AE1448" s="15"/>
      <c r="AF1448" s="15"/>
      <c r="AG1448" s="15"/>
      <c r="AH1448" s="15"/>
      <c r="AI1448" s="15"/>
      <c r="AJ1448" s="15"/>
      <c r="AK1448" s="15"/>
      <c r="AL1448" s="15"/>
      <c r="AM1448" s="15"/>
      <c r="AN1448" s="15"/>
      <c r="AO1448" s="15"/>
      <c r="AP1448" s="15"/>
      <c r="AQ1448" s="15"/>
      <c r="AR1448" s="15"/>
      <c r="AS1448" s="15"/>
      <c r="AT1448" s="15"/>
      <c r="AU1448" s="15"/>
      <c r="AV1448" s="15"/>
      <c r="AW1448" s="15"/>
      <c r="AX1448" s="15"/>
      <c r="AY1448" s="15"/>
      <c r="AZ1448" s="15"/>
      <c r="BA1448" s="15"/>
      <c r="BB1448" s="15"/>
      <c r="BC1448" s="15"/>
      <c r="BD1448" s="15"/>
      <c r="BE1448" s="15"/>
      <c r="BF1448" s="15"/>
      <c r="BG1448" s="15"/>
      <c r="BH1448" s="15"/>
      <c r="BI1448" s="15"/>
      <c r="BJ1448" s="15"/>
      <c r="BK1448" s="15"/>
      <c r="BL1448" s="15"/>
      <c r="BM1448" s="15"/>
      <c r="BN1448" s="15"/>
      <c r="BO1448" s="15"/>
      <c r="BP1448" s="15"/>
      <c r="BQ1448" s="15"/>
      <c r="BR1448" s="15"/>
      <c r="BS1448" s="15"/>
      <c r="BT1448" s="15"/>
      <c r="BU1448" s="15"/>
      <c r="BV1448" s="15"/>
      <c r="BW1448" s="15"/>
      <c r="BX1448" s="15"/>
      <c r="BY1448" s="15"/>
      <c r="BZ1448" s="15"/>
      <c r="CA1448" s="15"/>
      <c r="CB1448" s="15"/>
    </row>
    <row r="1449" spans="1:80" ht="12.75" hidden="1" customHeight="1">
      <c r="A1449" s="20">
        <f ca="1">IFERROR(__xludf.DUMMYFUNCTION("""COMPUTED_VALUE"""),2021)</f>
        <v>2021</v>
      </c>
      <c r="B1449" s="45">
        <f ca="1">IFERROR(__xludf.DUMMYFUNCTION("""COMPUTED_VALUE"""),44721)</f>
        <v>44721</v>
      </c>
      <c r="C1449" s="46"/>
      <c r="D1449" s="47" t="str">
        <f ca="1">IFERROR(__xludf.DUMMYFUNCTION("""COMPUTED_VALUE"""),"White Stork")</f>
        <v>White Stork</v>
      </c>
      <c r="E1449" s="52">
        <f ca="1">IFERROR(__xludf.DUMMYFUNCTION("""COMPUTED_VALUE"""),1)</f>
        <v>1</v>
      </c>
      <c r="F1449" s="25"/>
      <c r="G1449" s="48" t="str">
        <f ca="1">IFERROR(__xludf.DUMMYFUNCTION("""COMPUTED_VALUE"""),"Rixton")</f>
        <v>Rixton</v>
      </c>
      <c r="H1449" s="22">
        <f ca="1">IFERROR(__xludf.DUMMYFUNCTION("""COMPUTED_VALUE"""),44258)</f>
        <v>44258</v>
      </c>
      <c r="I1449" s="23"/>
      <c r="J1449" s="24"/>
      <c r="K1449" s="25"/>
      <c r="L1449" s="27" t="str">
        <f ca="1">IFERROR(__xludf.DUMMYFUNCTION("""COMPUTED_VALUE"""),"limbo")</f>
        <v>limbo</v>
      </c>
      <c r="M1449" s="27"/>
      <c r="N1449" s="25" t="str">
        <f ca="1">IFERROR(__xludf.DUMMYFUNCTION("""COMPUTED_VALUE"""),"not submitted")</f>
        <v>not submitted</v>
      </c>
      <c r="O1449" s="28" t="str">
        <f ca="1">IFERROR(__xludf.DUMMYFUNCTION("""COMPUTED_VALUE"""),"Assumed escape/feral")</f>
        <v>Assumed escape/feral</v>
      </c>
      <c r="P1449" s="25"/>
      <c r="Q1449" s="25"/>
      <c r="R1449" s="40"/>
      <c r="S1449" s="25"/>
      <c r="T1449" s="25"/>
      <c r="U1449" s="25"/>
      <c r="V1449" s="25"/>
      <c r="W1449" s="25"/>
      <c r="X1449" s="25"/>
      <c r="Y1449" s="25"/>
      <c r="Z1449" s="25"/>
      <c r="AA1449" s="25"/>
      <c r="AB1449" s="25"/>
      <c r="AC1449" s="25"/>
      <c r="AD1449" s="25"/>
      <c r="AE1449" s="25"/>
      <c r="AF1449" s="25"/>
      <c r="AG1449" s="25"/>
      <c r="AH1449" s="25"/>
      <c r="AI1449" s="25"/>
      <c r="AJ1449" s="25"/>
      <c r="AK1449" s="25"/>
      <c r="AL1449" s="25"/>
      <c r="AM1449" s="25"/>
      <c r="AN1449" s="25"/>
      <c r="AO1449" s="25"/>
      <c r="AP1449" s="25"/>
      <c r="AQ1449" s="25"/>
      <c r="AR1449" s="25"/>
      <c r="AS1449" s="25"/>
      <c r="AT1449" s="25"/>
      <c r="AU1449" s="25"/>
      <c r="AV1449" s="25"/>
      <c r="AW1449" s="25"/>
      <c r="AX1449" s="25"/>
      <c r="AY1449" s="25"/>
      <c r="AZ1449" s="25"/>
      <c r="BA1449" s="25"/>
      <c r="BB1449" s="25"/>
      <c r="BC1449" s="25"/>
      <c r="BD1449" s="25"/>
      <c r="BE1449" s="25"/>
      <c r="BF1449" s="25"/>
      <c r="BG1449" s="25"/>
      <c r="BH1449" s="25"/>
      <c r="BI1449" s="25"/>
      <c r="BJ1449" s="25"/>
      <c r="BK1449" s="25"/>
      <c r="BL1449" s="25"/>
      <c r="BM1449" s="25"/>
      <c r="BN1449" s="25"/>
      <c r="BO1449" s="25"/>
      <c r="BP1449" s="25"/>
      <c r="BQ1449" s="25"/>
      <c r="BR1449" s="25"/>
      <c r="BS1449" s="25"/>
      <c r="BT1449" s="25"/>
      <c r="BU1449" s="25"/>
      <c r="BV1449" s="25"/>
      <c r="BW1449" s="25"/>
      <c r="BX1449" s="25"/>
      <c r="BY1449" s="25"/>
      <c r="BZ1449" s="25"/>
      <c r="CA1449" s="25"/>
      <c r="CB1449" s="25"/>
    </row>
    <row r="1450" spans="1:80" ht="12.75" hidden="1" customHeight="1">
      <c r="A1450" s="10">
        <f ca="1">IFERROR(__xludf.DUMMYFUNCTION("""COMPUTED_VALUE"""),2021)</f>
        <v>2021</v>
      </c>
      <c r="B1450" s="50">
        <f ca="1">IFERROR(__xludf.DUMMYFUNCTION("""COMPUTED_VALUE"""),44727)</f>
        <v>44727</v>
      </c>
      <c r="C1450" s="41"/>
      <c r="D1450" s="42" t="str">
        <f ca="1">IFERROR(__xludf.DUMMYFUNCTION("""COMPUTED_VALUE"""),"White Stork")</f>
        <v>White Stork</v>
      </c>
      <c r="E1450" s="53">
        <f ca="1">IFERROR(__xludf.DUMMYFUNCTION("""COMPUTED_VALUE"""),1)</f>
        <v>1</v>
      </c>
      <c r="F1450" s="15"/>
      <c r="G1450" s="44" t="str">
        <f ca="1">IFERROR(__xludf.DUMMYFUNCTION("""COMPUTED_VALUE"""),"Frodsham")</f>
        <v>Frodsham</v>
      </c>
      <c r="H1450" s="12">
        <f ca="1">IFERROR(__xludf.DUMMYFUNCTION("""COMPUTED_VALUE"""),44302)</f>
        <v>44302</v>
      </c>
      <c r="I1450" s="13"/>
      <c r="J1450" s="14"/>
      <c r="K1450" s="15"/>
      <c r="L1450" s="17" t="str">
        <f ca="1">IFERROR(__xludf.DUMMYFUNCTION("""COMPUTED_VALUE"""),"limbo")</f>
        <v>limbo</v>
      </c>
      <c r="M1450" s="17"/>
      <c r="N1450" s="15" t="str">
        <f ca="1">IFERROR(__xludf.DUMMYFUNCTION("""COMPUTED_VALUE"""),"not submitted")</f>
        <v>not submitted</v>
      </c>
      <c r="O1450" s="18"/>
      <c r="P1450" s="15"/>
      <c r="Q1450" s="15"/>
      <c r="R1450" s="15"/>
      <c r="S1450" s="15"/>
      <c r="T1450" s="15"/>
      <c r="U1450" s="15"/>
      <c r="V1450" s="15"/>
      <c r="W1450" s="15"/>
      <c r="X1450" s="15"/>
      <c r="Y1450" s="15"/>
      <c r="Z1450" s="15"/>
      <c r="AA1450" s="15"/>
      <c r="AB1450" s="15"/>
      <c r="AC1450" s="15"/>
      <c r="AD1450" s="15"/>
      <c r="AE1450" s="15"/>
      <c r="AF1450" s="15"/>
      <c r="AG1450" s="15"/>
      <c r="AH1450" s="15"/>
      <c r="AI1450" s="15"/>
      <c r="AJ1450" s="15"/>
      <c r="AK1450" s="15"/>
      <c r="AL1450" s="15"/>
      <c r="AM1450" s="15"/>
      <c r="AN1450" s="15"/>
      <c r="AO1450" s="15"/>
      <c r="AP1450" s="15"/>
      <c r="AQ1450" s="15"/>
      <c r="AR1450" s="15"/>
      <c r="AS1450" s="15"/>
      <c r="AT1450" s="15"/>
      <c r="AU1450" s="15"/>
      <c r="AV1450" s="15"/>
      <c r="AW1450" s="15"/>
      <c r="AX1450" s="15"/>
      <c r="AY1450" s="15"/>
      <c r="AZ1450" s="15"/>
      <c r="BA1450" s="15"/>
      <c r="BB1450" s="15"/>
      <c r="BC1450" s="15"/>
      <c r="BD1450" s="15"/>
      <c r="BE1450" s="15"/>
      <c r="BF1450" s="15"/>
      <c r="BG1450" s="15"/>
      <c r="BH1450" s="15"/>
      <c r="BI1450" s="15"/>
      <c r="BJ1450" s="15"/>
      <c r="BK1450" s="15"/>
      <c r="BL1450" s="15"/>
      <c r="BM1450" s="15"/>
      <c r="BN1450" s="15"/>
      <c r="BO1450" s="15"/>
      <c r="BP1450" s="15"/>
      <c r="BQ1450" s="15"/>
      <c r="BR1450" s="15"/>
      <c r="BS1450" s="15"/>
      <c r="BT1450" s="15"/>
      <c r="BU1450" s="15"/>
      <c r="BV1450" s="15"/>
      <c r="BW1450" s="15"/>
      <c r="BX1450" s="15"/>
      <c r="BY1450" s="15"/>
      <c r="BZ1450" s="15"/>
      <c r="CA1450" s="15"/>
      <c r="CB1450" s="15"/>
    </row>
    <row r="1451" spans="1:80" ht="12.75" hidden="1" customHeight="1">
      <c r="A1451" s="20">
        <f ca="1">IFERROR(__xludf.DUMMYFUNCTION("""COMPUTED_VALUE"""),2021)</f>
        <v>2021</v>
      </c>
      <c r="B1451" s="45">
        <f ca="1">IFERROR(__xludf.DUMMYFUNCTION("""COMPUTED_VALUE"""),44404)</f>
        <v>44404</v>
      </c>
      <c r="C1451" s="46"/>
      <c r="D1451" s="47" t="str">
        <f ca="1">IFERROR(__xludf.DUMMYFUNCTION("""COMPUTED_VALUE"""),"White Stork")</f>
        <v>White Stork</v>
      </c>
      <c r="E1451" s="52">
        <f ca="1">IFERROR(__xludf.DUMMYFUNCTION("""COMPUTED_VALUE"""),1)</f>
        <v>1</v>
      </c>
      <c r="F1451" s="25"/>
      <c r="G1451" s="48" t="str">
        <f ca="1">IFERROR(__xludf.DUMMYFUNCTION("""COMPUTED_VALUE"""),"Greasby")</f>
        <v>Greasby</v>
      </c>
      <c r="H1451" s="22">
        <f ca="1">IFERROR(__xludf.DUMMYFUNCTION("""COMPUTED_VALUE"""),44302)</f>
        <v>44302</v>
      </c>
      <c r="I1451" s="23"/>
      <c r="J1451" s="24"/>
      <c r="K1451" s="25"/>
      <c r="L1451" s="27" t="str">
        <f ca="1">IFERROR(__xludf.DUMMYFUNCTION("""COMPUTED_VALUE"""),"limbo")</f>
        <v>limbo</v>
      </c>
      <c r="M1451" s="27"/>
      <c r="N1451" s="25" t="str">
        <f ca="1">IFERROR(__xludf.DUMMYFUNCTION("""COMPUTED_VALUE"""),"not submitted")</f>
        <v>not submitted</v>
      </c>
      <c r="O1451" s="28"/>
      <c r="P1451" s="25"/>
      <c r="Q1451" s="25"/>
      <c r="R1451" s="25"/>
      <c r="S1451" s="25"/>
      <c r="T1451" s="25"/>
      <c r="U1451" s="25"/>
      <c r="V1451" s="25"/>
      <c r="W1451" s="25"/>
      <c r="X1451" s="25"/>
      <c r="Y1451" s="25"/>
      <c r="Z1451" s="25"/>
      <c r="AA1451" s="25"/>
      <c r="AB1451" s="25"/>
      <c r="AC1451" s="25"/>
      <c r="AD1451" s="25"/>
      <c r="AE1451" s="25"/>
      <c r="AF1451" s="25"/>
      <c r="AG1451" s="25"/>
      <c r="AH1451" s="25"/>
      <c r="AI1451" s="25"/>
      <c r="AJ1451" s="25"/>
      <c r="AK1451" s="25"/>
      <c r="AL1451" s="25"/>
      <c r="AM1451" s="25"/>
      <c r="AN1451" s="25"/>
      <c r="AO1451" s="25"/>
      <c r="AP1451" s="25"/>
      <c r="AQ1451" s="25"/>
      <c r="AR1451" s="25"/>
      <c r="AS1451" s="25"/>
      <c r="AT1451" s="25"/>
      <c r="AU1451" s="25"/>
      <c r="AV1451" s="25"/>
      <c r="AW1451" s="25"/>
      <c r="AX1451" s="25"/>
      <c r="AY1451" s="25"/>
      <c r="AZ1451" s="25"/>
      <c r="BA1451" s="25"/>
      <c r="BB1451" s="25"/>
      <c r="BC1451" s="25"/>
      <c r="BD1451" s="25"/>
      <c r="BE1451" s="25"/>
      <c r="BF1451" s="25"/>
      <c r="BG1451" s="25"/>
      <c r="BH1451" s="25"/>
      <c r="BI1451" s="25"/>
      <c r="BJ1451" s="25"/>
      <c r="BK1451" s="25"/>
      <c r="BL1451" s="25"/>
      <c r="BM1451" s="25"/>
      <c r="BN1451" s="25"/>
      <c r="BO1451" s="25"/>
      <c r="BP1451" s="25"/>
      <c r="BQ1451" s="25"/>
      <c r="BR1451" s="25"/>
      <c r="BS1451" s="25"/>
      <c r="BT1451" s="25"/>
      <c r="BU1451" s="25"/>
      <c r="BV1451" s="25"/>
      <c r="BW1451" s="25"/>
      <c r="BX1451" s="25"/>
      <c r="BY1451" s="25"/>
      <c r="BZ1451" s="25"/>
      <c r="CA1451" s="25"/>
      <c r="CB1451" s="25"/>
    </row>
    <row r="1452" spans="1:80" ht="12.75" hidden="1" customHeight="1">
      <c r="A1452" s="10">
        <f ca="1">IFERROR(__xludf.DUMMYFUNCTION("""COMPUTED_VALUE"""),2021)</f>
        <v>2021</v>
      </c>
      <c r="B1452" s="50">
        <f ca="1">IFERROR(__xludf.DUMMYFUNCTION("""COMPUTED_VALUE"""),44571)</f>
        <v>44571</v>
      </c>
      <c r="C1452" s="41">
        <f ca="1">IFERROR(__xludf.DUMMYFUNCTION("""COMPUTED_VALUE"""),44571)</f>
        <v>44571</v>
      </c>
      <c r="D1452" s="42" t="str">
        <f ca="1">IFERROR(__xludf.DUMMYFUNCTION("""COMPUTED_VALUE"""),"Common Redpoll")</f>
        <v>Common Redpoll</v>
      </c>
      <c r="E1452" s="53" t="str">
        <f ca="1">IFERROR(__xludf.DUMMYFUNCTION("""COMPUTED_VALUE"""),"25-81")</f>
        <v>25-81</v>
      </c>
      <c r="F1452" s="15"/>
      <c r="G1452" s="62" t="str">
        <f ca="1">IFERROR(__xludf.DUMMYFUNCTION("""COMPUTED_VALUE"""),"Hoylake")</f>
        <v>Hoylake</v>
      </c>
      <c r="H1452" s="12">
        <f ca="1">IFERROR(__xludf.DUMMYFUNCTION("""COMPUTED_VALUE"""),44304)</f>
        <v>44304</v>
      </c>
      <c r="I1452" s="12">
        <f ca="1">IFERROR(__xludf.DUMMYFUNCTION("""COMPUTED_VALUE"""),44343)</f>
        <v>44343</v>
      </c>
      <c r="J1452" s="14" t="str">
        <f ca="1">IFERROR(__xludf.DUMMYFUNCTION("""COMPUTED_VALUE"""),"Turner, JE")</f>
        <v>Turner, JE</v>
      </c>
      <c r="K1452" s="15" t="str">
        <f ca="1">IFERROR(__xludf.DUMMYFUNCTION("""COMPUTED_VALUE"""),"Turner, JE")</f>
        <v>Turner, JE</v>
      </c>
      <c r="L1452" s="17" t="str">
        <f ca="1">IFERROR(__xludf.DUMMYFUNCTION("""COMPUTED_VALUE"""),"closed")</f>
        <v>closed</v>
      </c>
      <c r="M1452" s="17" t="str">
        <f ca="1">IFERROR(__xludf.DUMMYFUNCTION("""COMPUTED_VALUE"""),"1st M")</f>
        <v>1st M</v>
      </c>
      <c r="N1452" s="15" t="str">
        <f ca="1">IFERROR(__xludf.DUMMYFUNCTION("""COMPUTED_VALUE"""),"accepted")</f>
        <v>accepted</v>
      </c>
      <c r="O1452" s="18" t="str">
        <f ca="1">IFERROR(__xludf.DUMMYFUNCTION("""COMPUTED_VALUE"""),"publish")</f>
        <v>publish</v>
      </c>
      <c r="P1452" s="15"/>
      <c r="Q1452" s="15"/>
      <c r="R1452" s="15"/>
      <c r="S1452" s="15"/>
      <c r="T1452" s="15"/>
      <c r="U1452" s="15"/>
      <c r="V1452" s="15"/>
      <c r="W1452" s="15"/>
      <c r="X1452" s="15"/>
      <c r="Y1452" s="15"/>
      <c r="Z1452" s="15"/>
      <c r="AA1452" s="15"/>
      <c r="AB1452" s="15"/>
      <c r="AC1452" s="15"/>
      <c r="AD1452" s="15"/>
      <c r="AE1452" s="15"/>
      <c r="AF1452" s="15"/>
      <c r="AG1452" s="15"/>
      <c r="AH1452" s="15"/>
      <c r="AI1452" s="15"/>
      <c r="AJ1452" s="15"/>
      <c r="AK1452" s="15"/>
      <c r="AL1452" s="15"/>
      <c r="AM1452" s="15"/>
      <c r="AN1452" s="15"/>
      <c r="AO1452" s="15"/>
      <c r="AP1452" s="15"/>
      <c r="AQ1452" s="15"/>
      <c r="AR1452" s="15"/>
      <c r="AS1452" s="15"/>
      <c r="AT1452" s="15"/>
      <c r="AU1452" s="15"/>
      <c r="AV1452" s="15"/>
      <c r="AW1452" s="15"/>
      <c r="AX1452" s="15"/>
      <c r="AY1452" s="15"/>
      <c r="AZ1452" s="15"/>
      <c r="BA1452" s="15"/>
      <c r="BB1452" s="15"/>
      <c r="BC1452" s="15"/>
      <c r="BD1452" s="15"/>
      <c r="BE1452" s="15"/>
      <c r="BF1452" s="15"/>
      <c r="BG1452" s="15"/>
      <c r="BH1452" s="15"/>
      <c r="BI1452" s="15"/>
      <c r="BJ1452" s="15"/>
      <c r="BK1452" s="15"/>
      <c r="BL1452" s="15"/>
      <c r="BM1452" s="15"/>
      <c r="BN1452" s="15"/>
      <c r="BO1452" s="15"/>
      <c r="BP1452" s="15"/>
      <c r="BQ1452" s="15"/>
      <c r="BR1452" s="15"/>
      <c r="BS1452" s="15"/>
      <c r="BT1452" s="15"/>
      <c r="BU1452" s="15"/>
      <c r="BV1452" s="15"/>
      <c r="BW1452" s="15"/>
      <c r="BX1452" s="15"/>
      <c r="BY1452" s="15"/>
      <c r="BZ1452" s="15"/>
      <c r="CA1452" s="15"/>
      <c r="CB1452" s="15"/>
    </row>
    <row r="1453" spans="1:80" ht="12.75" hidden="1" customHeight="1">
      <c r="A1453" s="20">
        <f ca="1">IFERROR(__xludf.DUMMYFUNCTION("""COMPUTED_VALUE"""),2021)</f>
        <v>2021</v>
      </c>
      <c r="B1453" s="45">
        <f ca="1">IFERROR(__xludf.DUMMYFUNCTION("""COMPUTED_VALUE"""),44564)</f>
        <v>44564</v>
      </c>
      <c r="C1453" s="46"/>
      <c r="D1453" s="47" t="str">
        <f ca="1">IFERROR(__xludf.DUMMYFUNCTION("""COMPUTED_VALUE"""),"Wilson's Phalarope")</f>
        <v>Wilson's Phalarope</v>
      </c>
      <c r="E1453" s="52">
        <f ca="1">IFERROR(__xludf.DUMMYFUNCTION("""COMPUTED_VALUE"""),1)</f>
        <v>1</v>
      </c>
      <c r="F1453" s="25"/>
      <c r="G1453" s="48" t="str">
        <f ca="1">IFERROR(__xludf.DUMMYFUNCTION("""COMPUTED_VALUE"""),"Burton Mere, Boathouse Flash")</f>
        <v>Burton Mere, Boathouse Flash</v>
      </c>
      <c r="H1453" s="22">
        <f ca="1">IFERROR(__xludf.DUMMYFUNCTION("""COMPUTED_VALUE"""),44460)</f>
        <v>44460</v>
      </c>
      <c r="I1453" s="22">
        <f ca="1">IFERROR(__xludf.DUMMYFUNCTION("""COMPUTED_VALUE"""),44463)</f>
        <v>44463</v>
      </c>
      <c r="J1453" s="24" t="str">
        <f ca="1">IFERROR(__xludf.DUMMYFUNCTION("""COMPUTED_VALUE"""),"County Recorder")</f>
        <v>County Recorder</v>
      </c>
      <c r="K1453" s="25" t="str">
        <f ca="1">IFERROR(__xludf.DUMMYFUNCTION("""COMPUTED_VALUE"""),"Graham Jones and Richard Speechley (Boathouse)")</f>
        <v>Graham Jones and Richard Speechley (Boathouse)</v>
      </c>
      <c r="L1453" s="27" t="str">
        <f ca="1">IFERROR(__xludf.DUMMYFUNCTION("""COMPUTED_VALUE"""),"limbo")</f>
        <v>limbo</v>
      </c>
      <c r="M1453" s="27"/>
      <c r="N1453" s="25" t="str">
        <f ca="1">IFERROR(__xludf.DUMMYFUNCTION("""COMPUTED_VALUE"""),"BBRC -IC")</f>
        <v>BBRC -IC</v>
      </c>
      <c r="O1453" s="28"/>
      <c r="P1453" s="25"/>
      <c r="Q1453" s="25"/>
      <c r="R1453" s="25"/>
      <c r="S1453" s="25"/>
      <c r="T1453" s="25"/>
      <c r="U1453" s="25"/>
      <c r="V1453" s="25"/>
      <c r="W1453" s="25"/>
      <c r="X1453" s="25"/>
      <c r="Y1453" s="25"/>
      <c r="Z1453" s="25"/>
      <c r="AA1453" s="25"/>
      <c r="AB1453" s="25"/>
      <c r="AC1453" s="25"/>
      <c r="AD1453" s="25"/>
      <c r="AE1453" s="25"/>
      <c r="AF1453" s="25"/>
      <c r="AG1453" s="25"/>
      <c r="AH1453" s="25"/>
      <c r="AI1453" s="25"/>
      <c r="AJ1453" s="25"/>
      <c r="AK1453" s="25"/>
      <c r="AL1453" s="25"/>
      <c r="AM1453" s="25"/>
      <c r="AN1453" s="25"/>
      <c r="AO1453" s="25"/>
      <c r="AP1453" s="25"/>
      <c r="AQ1453" s="25"/>
      <c r="AR1453" s="25"/>
      <c r="AS1453" s="25"/>
      <c r="AT1453" s="25"/>
      <c r="AU1453" s="25"/>
      <c r="AV1453" s="25"/>
      <c r="AW1453" s="25"/>
      <c r="AX1453" s="25"/>
      <c r="AY1453" s="25"/>
      <c r="AZ1453" s="25"/>
      <c r="BA1453" s="25"/>
      <c r="BB1453" s="25"/>
      <c r="BC1453" s="25"/>
      <c r="BD1453" s="25"/>
      <c r="BE1453" s="25"/>
      <c r="BF1453" s="25"/>
      <c r="BG1453" s="25"/>
      <c r="BH1453" s="25"/>
      <c r="BI1453" s="25"/>
      <c r="BJ1453" s="25"/>
      <c r="BK1453" s="25"/>
      <c r="BL1453" s="25"/>
      <c r="BM1453" s="25"/>
      <c r="BN1453" s="25"/>
      <c r="BO1453" s="25"/>
      <c r="BP1453" s="25"/>
      <c r="BQ1453" s="25"/>
      <c r="BR1453" s="25"/>
      <c r="BS1453" s="25"/>
      <c r="BT1453" s="25"/>
      <c r="BU1453" s="25"/>
      <c r="BV1453" s="25"/>
      <c r="BW1453" s="25"/>
      <c r="BX1453" s="25"/>
      <c r="BY1453" s="25"/>
      <c r="BZ1453" s="25"/>
      <c r="CA1453" s="25"/>
      <c r="CB1453" s="25"/>
    </row>
    <row r="1454" spans="1:80" ht="12.75" hidden="1" customHeight="1">
      <c r="A1454" s="10">
        <f ca="1">IFERROR(__xludf.DUMMYFUNCTION("""COMPUTED_VALUE"""),2021)</f>
        <v>2021</v>
      </c>
      <c r="B1454" s="50">
        <f ca="1">IFERROR(__xludf.DUMMYFUNCTION("""COMPUTED_VALUE"""),44408)</f>
        <v>44408</v>
      </c>
      <c r="C1454" s="41">
        <f ca="1">IFERROR(__xludf.DUMMYFUNCTION("""COMPUTED_VALUE"""),44408)</f>
        <v>44408</v>
      </c>
      <c r="D1454" s="42" t="str">
        <f ca="1">IFERROR(__xludf.DUMMYFUNCTION("""COMPUTED_VALUE"""),"White-winged Black Tern")</f>
        <v>White-winged Black Tern</v>
      </c>
      <c r="E1454" s="53">
        <f ca="1">IFERROR(__xludf.DUMMYFUNCTION("""COMPUTED_VALUE"""),1)</f>
        <v>1</v>
      </c>
      <c r="F1454" s="15" t="str">
        <f ca="1">IFERROR(__xludf.DUMMYFUNCTION("""COMPUTED_VALUE"""),"ad")</f>
        <v>ad</v>
      </c>
      <c r="G1454" s="44" t="str">
        <f ca="1">IFERROR(__xludf.DUMMYFUNCTION("""COMPUTED_VALUE"""),"Ashton's Flash")</f>
        <v>Ashton's Flash</v>
      </c>
      <c r="H1454" s="12">
        <f ca="1">IFERROR(__xludf.DUMMYFUNCTION("""COMPUTED_VALUE"""),44398)</f>
        <v>44398</v>
      </c>
      <c r="I1454" s="13"/>
      <c r="J1454" s="14" t="str">
        <f ca="1">IFERROR(__xludf.DUMMYFUNCTION("""COMPUTED_VALUE"""),"Baker, G")</f>
        <v>Baker, G</v>
      </c>
      <c r="K1454" s="15" t="str">
        <f ca="1">IFERROR(__xludf.DUMMYFUNCTION("""COMPUTED_VALUE"""),"Baker, G")</f>
        <v>Baker, G</v>
      </c>
      <c r="L1454" s="17" t="str">
        <f ca="1">IFERROR(__xludf.DUMMYFUNCTION("""COMPUTED_VALUE"""),"closed")</f>
        <v>closed</v>
      </c>
      <c r="M1454" s="17" t="str">
        <f ca="1">IFERROR(__xludf.DUMMYFUNCTION("""COMPUTED_VALUE"""),"1st U")</f>
        <v>1st U</v>
      </c>
      <c r="N1454" s="15" t="str">
        <f ca="1">IFERROR(__xludf.DUMMYFUNCTION("""COMPUTED_VALUE"""),"accepted")</f>
        <v>accepted</v>
      </c>
      <c r="O1454" s="18"/>
      <c r="P1454" s="15"/>
      <c r="Q1454" s="15"/>
      <c r="R1454" s="15"/>
      <c r="S1454" s="15"/>
      <c r="T1454" s="15"/>
      <c r="U1454" s="15"/>
      <c r="V1454" s="15"/>
      <c r="W1454" s="15"/>
      <c r="X1454" s="15"/>
      <c r="Y1454" s="15"/>
      <c r="Z1454" s="15"/>
      <c r="AA1454" s="15"/>
      <c r="AB1454" s="15"/>
      <c r="AC1454" s="15"/>
      <c r="AD1454" s="15"/>
      <c r="AE1454" s="15"/>
      <c r="AF1454" s="15"/>
      <c r="AG1454" s="15"/>
      <c r="AH1454" s="15"/>
      <c r="AI1454" s="15"/>
      <c r="AJ1454" s="15"/>
      <c r="AK1454" s="15"/>
      <c r="AL1454" s="15"/>
      <c r="AM1454" s="15"/>
      <c r="AN1454" s="15"/>
      <c r="AO1454" s="15"/>
      <c r="AP1454" s="15"/>
      <c r="AQ1454" s="15"/>
      <c r="AR1454" s="15"/>
      <c r="AS1454" s="15"/>
      <c r="AT1454" s="15"/>
      <c r="AU1454" s="15"/>
      <c r="AV1454" s="15"/>
      <c r="AW1454" s="15"/>
      <c r="AX1454" s="15"/>
      <c r="AY1454" s="15"/>
      <c r="AZ1454" s="15"/>
      <c r="BA1454" s="15"/>
      <c r="BB1454" s="15"/>
      <c r="BC1454" s="15"/>
      <c r="BD1454" s="15"/>
      <c r="BE1454" s="15"/>
      <c r="BF1454" s="15"/>
      <c r="BG1454" s="15"/>
      <c r="BH1454" s="15"/>
      <c r="BI1454" s="15"/>
      <c r="BJ1454" s="15"/>
      <c r="BK1454" s="15"/>
      <c r="BL1454" s="15"/>
      <c r="BM1454" s="15"/>
      <c r="BN1454" s="15"/>
      <c r="BO1454" s="15"/>
      <c r="BP1454" s="15"/>
      <c r="BQ1454" s="15"/>
      <c r="BR1454" s="15"/>
      <c r="BS1454" s="15"/>
      <c r="BT1454" s="15"/>
      <c r="BU1454" s="15"/>
      <c r="BV1454" s="15"/>
      <c r="BW1454" s="15"/>
      <c r="BX1454" s="15"/>
      <c r="BY1454" s="15"/>
      <c r="BZ1454" s="15"/>
      <c r="CA1454" s="15"/>
      <c r="CB1454" s="15"/>
    </row>
    <row r="1455" spans="1:80" ht="12.75" hidden="1" customHeight="1">
      <c r="A1455" s="20">
        <f ca="1">IFERROR(__xludf.DUMMYFUNCTION("""COMPUTED_VALUE"""),2021)</f>
        <v>2021</v>
      </c>
      <c r="B1455" s="45">
        <f ca="1">IFERROR(__xludf.DUMMYFUNCTION("""COMPUTED_VALUE"""),44727)</f>
        <v>44727</v>
      </c>
      <c r="C1455" s="46"/>
      <c r="D1455" s="47" t="str">
        <f ca="1">IFERROR(__xludf.DUMMYFUNCTION("""COMPUTED_VALUE"""),"Wryneck")</f>
        <v>Wryneck</v>
      </c>
      <c r="E1455" s="52">
        <f ca="1">IFERROR(__xludf.DUMMYFUNCTION("""COMPUTED_VALUE"""),1)</f>
        <v>1</v>
      </c>
      <c r="F1455" s="25"/>
      <c r="G1455" s="48" t="str">
        <f ca="1">IFERROR(__xludf.DUMMYFUNCTION("""COMPUTED_VALUE"""),"Bridgemere, Nantwich")</f>
        <v>Bridgemere, Nantwich</v>
      </c>
      <c r="H1455" s="22">
        <f ca="1">IFERROR(__xludf.DUMMYFUNCTION("""COMPUTED_VALUE"""),44299)</f>
        <v>44299</v>
      </c>
      <c r="I1455" s="23"/>
      <c r="J1455" s="24"/>
      <c r="K1455" s="25"/>
      <c r="L1455" s="27" t="str">
        <f ca="1">IFERROR(__xludf.DUMMYFUNCTION("""COMPUTED_VALUE"""),"limbo")</f>
        <v>limbo</v>
      </c>
      <c r="M1455" s="27"/>
      <c r="N1455" s="25" t="str">
        <f ca="1">IFERROR(__xludf.DUMMYFUNCTION("""COMPUTED_VALUE"""),"not submitted")</f>
        <v>not submitted</v>
      </c>
      <c r="O1455" s="28"/>
      <c r="P1455" s="25"/>
      <c r="Q1455" s="25"/>
      <c r="R1455" s="25"/>
      <c r="S1455" s="25"/>
      <c r="T1455" s="25"/>
      <c r="U1455" s="25"/>
      <c r="V1455" s="25"/>
      <c r="W1455" s="25"/>
      <c r="X1455" s="25"/>
      <c r="Y1455" s="25"/>
      <c r="Z1455" s="25"/>
      <c r="AA1455" s="25"/>
      <c r="AB1455" s="25"/>
      <c r="AC1455" s="25"/>
      <c r="AD1455" s="25"/>
      <c r="AE1455" s="25"/>
      <c r="AF1455" s="25"/>
      <c r="AG1455" s="25"/>
      <c r="AH1455" s="25"/>
      <c r="AI1455" s="25"/>
      <c r="AJ1455" s="25"/>
      <c r="AK1455" s="25"/>
      <c r="AL1455" s="25"/>
      <c r="AM1455" s="25"/>
      <c r="AN1455" s="25"/>
      <c r="AO1455" s="25"/>
      <c r="AP1455" s="25"/>
      <c r="AQ1455" s="25"/>
      <c r="AR1455" s="25"/>
      <c r="AS1455" s="25"/>
      <c r="AT1455" s="25"/>
      <c r="AU1455" s="25"/>
      <c r="AV1455" s="25"/>
      <c r="AW1455" s="25"/>
      <c r="AX1455" s="25"/>
      <c r="AY1455" s="25"/>
      <c r="AZ1455" s="25"/>
      <c r="BA1455" s="25"/>
      <c r="BB1455" s="25"/>
      <c r="BC1455" s="25"/>
      <c r="BD1455" s="25"/>
      <c r="BE1455" s="25"/>
      <c r="BF1455" s="25"/>
      <c r="BG1455" s="25"/>
      <c r="BH1455" s="25"/>
      <c r="BI1455" s="25"/>
      <c r="BJ1455" s="25"/>
      <c r="BK1455" s="25"/>
      <c r="BL1455" s="25"/>
      <c r="BM1455" s="25"/>
      <c r="BN1455" s="25"/>
      <c r="BO1455" s="25"/>
      <c r="BP1455" s="25"/>
      <c r="BQ1455" s="25"/>
      <c r="BR1455" s="25"/>
      <c r="BS1455" s="25"/>
      <c r="BT1455" s="25"/>
      <c r="BU1455" s="25"/>
      <c r="BV1455" s="25"/>
      <c r="BW1455" s="25"/>
      <c r="BX1455" s="25"/>
      <c r="BY1455" s="25"/>
      <c r="BZ1455" s="25"/>
      <c r="CA1455" s="25"/>
      <c r="CB1455" s="25"/>
    </row>
    <row r="1456" spans="1:80" ht="12.75" hidden="1" customHeight="1">
      <c r="A1456" s="10">
        <f ca="1">IFERROR(__xludf.DUMMYFUNCTION("""COMPUTED_VALUE"""),2021)</f>
        <v>2021</v>
      </c>
      <c r="B1456" s="50">
        <f ca="1">IFERROR(__xludf.DUMMYFUNCTION("""COMPUTED_VALUE"""),44581)</f>
        <v>44581</v>
      </c>
      <c r="C1456" s="41"/>
      <c r="D1456" s="42" t="str">
        <f ca="1">IFERROR(__xludf.DUMMYFUNCTION("""COMPUTED_VALUE"""),"Turtle Dove")</f>
        <v>Turtle Dove</v>
      </c>
      <c r="E1456" s="53">
        <f ca="1">IFERROR(__xludf.DUMMYFUNCTION("""COMPUTED_VALUE"""),1)</f>
        <v>1</v>
      </c>
      <c r="F1456" s="15" t="str">
        <f ca="1">IFERROR(__xludf.DUMMYFUNCTION("""COMPUTED_VALUE"""),"male")</f>
        <v>male</v>
      </c>
      <c r="G1456" s="44" t="str">
        <f ca="1">IFERROR(__xludf.DUMMYFUNCTION("""COMPUTED_VALUE"""),"Burleydam")</f>
        <v>Burleydam</v>
      </c>
      <c r="H1456" s="12">
        <f ca="1">IFERROR(__xludf.DUMMYFUNCTION("""COMPUTED_VALUE"""),44374)</f>
        <v>44374</v>
      </c>
      <c r="I1456" s="13"/>
      <c r="J1456" s="14" t="str">
        <f ca="1">IFERROR(__xludf.DUMMYFUNCTION("""COMPUTED_VALUE"""),"George, M")</f>
        <v>George, M</v>
      </c>
      <c r="K1456" s="15"/>
      <c r="L1456" s="17" t="str">
        <f ca="1">IFERROR(__xludf.DUMMYFUNCTION("""COMPUTED_VALUE"""),"closed")</f>
        <v>closed</v>
      </c>
      <c r="M1456" s="17" t="str">
        <f ca="1">IFERROR(__xludf.DUMMYFUNCTION("""COMPUTED_VALUE"""),"exception")</f>
        <v>exception</v>
      </c>
      <c r="N1456" s="15" t="str">
        <f ca="1">IFERROR(__xludf.DUMMYFUNCTION("""COMPUTED_VALUE"""),"Accepted w/o circ")</f>
        <v>Accepted w/o circ</v>
      </c>
      <c r="O1456" s="18" t="str">
        <f ca="1">IFERROR(__xludf.DUMMYFUNCTION("""COMPUTED_VALUE"""),"Bird was purring")</f>
        <v>Bird was purring</v>
      </c>
      <c r="P1456" s="15"/>
      <c r="Q1456" s="15"/>
      <c r="R1456" s="58"/>
      <c r="S1456" s="15"/>
      <c r="T1456" s="15"/>
      <c r="U1456" s="15"/>
      <c r="V1456" s="15"/>
      <c r="W1456" s="15"/>
      <c r="X1456" s="15"/>
      <c r="Y1456" s="15"/>
      <c r="Z1456" s="15"/>
      <c r="AA1456" s="15"/>
      <c r="AB1456" s="15"/>
      <c r="AC1456" s="15"/>
      <c r="AD1456" s="15"/>
      <c r="AE1456" s="15"/>
      <c r="AF1456" s="15"/>
      <c r="AG1456" s="15"/>
      <c r="AH1456" s="15"/>
      <c r="AI1456" s="15"/>
      <c r="AJ1456" s="15"/>
      <c r="AK1456" s="15"/>
      <c r="AL1456" s="15"/>
      <c r="AM1456" s="15"/>
      <c r="AN1456" s="15"/>
      <c r="AO1456" s="15"/>
      <c r="AP1456" s="15"/>
      <c r="AQ1456" s="15"/>
      <c r="AR1456" s="15"/>
      <c r="AS1456" s="15"/>
      <c r="AT1456" s="15"/>
      <c r="AU1456" s="15"/>
      <c r="AV1456" s="15"/>
      <c r="AW1456" s="15"/>
      <c r="AX1456" s="15"/>
      <c r="AY1456" s="15"/>
      <c r="AZ1456" s="15"/>
      <c r="BA1456" s="15"/>
      <c r="BB1456" s="15"/>
      <c r="BC1456" s="15"/>
      <c r="BD1456" s="15"/>
      <c r="BE1456" s="15"/>
      <c r="BF1456" s="15"/>
      <c r="BG1456" s="15"/>
      <c r="BH1456" s="15"/>
      <c r="BI1456" s="15"/>
      <c r="BJ1456" s="15"/>
      <c r="BK1456" s="15"/>
      <c r="BL1456" s="15"/>
      <c r="BM1456" s="15"/>
      <c r="BN1456" s="15"/>
      <c r="BO1456" s="15"/>
      <c r="BP1456" s="15"/>
      <c r="BQ1456" s="15"/>
      <c r="BR1456" s="15"/>
      <c r="BS1456" s="15"/>
      <c r="BT1456" s="15"/>
      <c r="BU1456" s="15"/>
      <c r="BV1456" s="15"/>
      <c r="BW1456" s="15"/>
      <c r="BX1456" s="15"/>
      <c r="BY1456" s="15"/>
      <c r="BZ1456" s="15"/>
      <c r="CA1456" s="15"/>
      <c r="CB1456" s="15"/>
    </row>
    <row r="1457" spans="1:80" ht="12.75" hidden="1" customHeight="1">
      <c r="A1457" s="20">
        <f ca="1">IFERROR(__xludf.DUMMYFUNCTION("""COMPUTED_VALUE"""),2021)</f>
        <v>2021</v>
      </c>
      <c r="B1457" s="45">
        <f ca="1">IFERROR(__xludf.DUMMYFUNCTION("""COMPUTED_VALUE"""),44721)</f>
        <v>44721</v>
      </c>
      <c r="C1457" s="46"/>
      <c r="D1457" s="47" t="str">
        <f ca="1">IFERROR(__xludf.DUMMYFUNCTION("""COMPUTED_VALUE"""),"Spotted Crake")</f>
        <v>Spotted Crake</v>
      </c>
      <c r="E1457" s="52">
        <f ca="1">IFERROR(__xludf.DUMMYFUNCTION("""COMPUTED_VALUE"""),1)</f>
        <v>1</v>
      </c>
      <c r="F1457" s="25"/>
      <c r="G1457" s="48" t="str">
        <f ca="1">IFERROR(__xludf.DUMMYFUNCTION("""COMPUTED_VALUE"""),"Burton Mere Wetlands RSPB")</f>
        <v>Burton Mere Wetlands RSPB</v>
      </c>
      <c r="H1457" s="22">
        <f ca="1">IFERROR(__xludf.DUMMYFUNCTION("""COMPUTED_VALUE"""),44458)</f>
        <v>44458</v>
      </c>
      <c r="I1457" s="22">
        <f ca="1">IFERROR(__xludf.DUMMYFUNCTION("""COMPUTED_VALUE"""),44461)</f>
        <v>44461</v>
      </c>
      <c r="J1457" s="24"/>
      <c r="K1457" s="25"/>
      <c r="L1457" s="27" t="str">
        <f ca="1">IFERROR(__xludf.DUMMYFUNCTION("""COMPUTED_VALUE"""),"closed")</f>
        <v>closed</v>
      </c>
      <c r="M1457" s="27"/>
      <c r="N1457" s="25" t="str">
        <f ca="1">IFERROR(__xludf.DUMMYFUNCTION("""COMPUTED_VALUE"""),"exemption")</f>
        <v>exemption</v>
      </c>
      <c r="O1457" s="28"/>
      <c r="P1457" s="25"/>
      <c r="Q1457" s="25"/>
      <c r="R1457" s="25"/>
      <c r="S1457" s="25"/>
      <c r="T1457" s="25"/>
      <c r="U1457" s="25"/>
      <c r="V1457" s="25"/>
      <c r="W1457" s="25"/>
      <c r="X1457" s="25"/>
      <c r="Y1457" s="25"/>
      <c r="Z1457" s="25"/>
      <c r="AA1457" s="25"/>
      <c r="AB1457" s="25"/>
      <c r="AC1457" s="25"/>
      <c r="AD1457" s="25"/>
      <c r="AE1457" s="25"/>
      <c r="AF1457" s="25"/>
      <c r="AG1457" s="25"/>
      <c r="AH1457" s="25"/>
      <c r="AI1457" s="25"/>
      <c r="AJ1457" s="25"/>
      <c r="AK1457" s="25"/>
      <c r="AL1457" s="25"/>
      <c r="AM1457" s="25"/>
      <c r="AN1457" s="25"/>
      <c r="AO1457" s="25"/>
      <c r="AP1457" s="25"/>
      <c r="AQ1457" s="25"/>
      <c r="AR1457" s="25"/>
      <c r="AS1457" s="25"/>
      <c r="AT1457" s="25"/>
      <c r="AU1457" s="25"/>
      <c r="AV1457" s="25"/>
      <c r="AW1457" s="25"/>
      <c r="AX1457" s="25"/>
      <c r="AY1457" s="25"/>
      <c r="AZ1457" s="25"/>
      <c r="BA1457" s="25"/>
      <c r="BB1457" s="25"/>
      <c r="BC1457" s="25"/>
      <c r="BD1457" s="25"/>
      <c r="BE1457" s="25"/>
      <c r="BF1457" s="25"/>
      <c r="BG1457" s="25"/>
      <c r="BH1457" s="25"/>
      <c r="BI1457" s="25"/>
      <c r="BJ1457" s="25"/>
      <c r="BK1457" s="25"/>
      <c r="BL1457" s="25"/>
      <c r="BM1457" s="25"/>
      <c r="BN1457" s="25"/>
      <c r="BO1457" s="25"/>
      <c r="BP1457" s="25"/>
      <c r="BQ1457" s="25"/>
      <c r="BR1457" s="25"/>
      <c r="BS1457" s="25"/>
      <c r="BT1457" s="25"/>
      <c r="BU1457" s="25"/>
      <c r="BV1457" s="25"/>
      <c r="BW1457" s="25"/>
      <c r="BX1457" s="25"/>
      <c r="BY1457" s="25"/>
      <c r="BZ1457" s="25"/>
      <c r="CA1457" s="25"/>
      <c r="CB1457" s="25"/>
    </row>
    <row r="1458" spans="1:80" ht="12.75" hidden="1" customHeight="1">
      <c r="A1458" s="10">
        <f ca="1">IFERROR(__xludf.DUMMYFUNCTION("""COMPUTED_VALUE"""),2021)</f>
        <v>2021</v>
      </c>
      <c r="B1458" s="50">
        <f ca="1">IFERROR(__xludf.DUMMYFUNCTION("""COMPUTED_VALUE"""),44618)</f>
        <v>44618</v>
      </c>
      <c r="C1458" s="41">
        <f ca="1">IFERROR(__xludf.DUMMYFUNCTION("""COMPUTED_VALUE"""),44618)</f>
        <v>44618</v>
      </c>
      <c r="D1458" s="42" t="str">
        <f ca="1">IFERROR(__xludf.DUMMYFUNCTION("""COMPUTED_VALUE"""),"Crane")</f>
        <v>Crane</v>
      </c>
      <c r="E1458" s="53">
        <f ca="1">IFERROR(__xludf.DUMMYFUNCTION("""COMPUTED_VALUE"""),1)</f>
        <v>1</v>
      </c>
      <c r="F1458" s="15" t="str">
        <f ca="1">IFERROR(__xludf.DUMMYFUNCTION("""COMPUTED_VALUE"""),"ad")</f>
        <v>ad</v>
      </c>
      <c r="G1458" s="44" t="str">
        <f ca="1">IFERROR(__xludf.DUMMYFUNCTION("""COMPUTED_VALUE"""),"Burton Point")</f>
        <v>Burton Point</v>
      </c>
      <c r="H1458" s="12">
        <f ca="1">IFERROR(__xludf.DUMMYFUNCTION("""COMPUTED_VALUE"""),44332)</f>
        <v>44332</v>
      </c>
      <c r="I1458" s="13"/>
      <c r="J1458" s="14" t="str">
        <f ca="1">IFERROR(__xludf.DUMMYFUNCTION("""COMPUTED_VALUE"""),"Turner, M")</f>
        <v>Turner, M</v>
      </c>
      <c r="K1458" s="15" t="str">
        <f ca="1">IFERROR(__xludf.DUMMYFUNCTION("""COMPUTED_VALUE"""),"Turner, M")</f>
        <v>Turner, M</v>
      </c>
      <c r="L1458" s="17" t="str">
        <f ca="1">IFERROR(__xludf.DUMMYFUNCTION("""COMPUTED_VALUE"""),"closed")</f>
        <v>closed</v>
      </c>
      <c r="M1458" s="17" t="str">
        <f ca="1">IFERROR(__xludf.DUMMYFUNCTION("""COMPUTED_VALUE"""),"1st U")</f>
        <v>1st U</v>
      </c>
      <c r="N1458" s="15" t="str">
        <f ca="1">IFERROR(__xludf.DUMMYFUNCTION("""COMPUTED_VALUE"""),"Accepted")</f>
        <v>Accepted</v>
      </c>
      <c r="O1458" s="18"/>
      <c r="P1458" s="15"/>
      <c r="Q1458" s="15"/>
      <c r="R1458" s="15"/>
      <c r="S1458" s="15"/>
      <c r="T1458" s="15"/>
      <c r="U1458" s="15"/>
      <c r="V1458" s="15"/>
      <c r="W1458" s="15"/>
      <c r="X1458" s="15"/>
      <c r="Y1458" s="15"/>
      <c r="Z1458" s="15"/>
      <c r="AA1458" s="15"/>
      <c r="AB1458" s="15"/>
      <c r="AC1458" s="15"/>
      <c r="AD1458" s="15"/>
      <c r="AE1458" s="15"/>
      <c r="AF1458" s="15"/>
      <c r="AG1458" s="15"/>
      <c r="AH1458" s="15"/>
      <c r="AI1458" s="15"/>
      <c r="AJ1458" s="15"/>
      <c r="AK1458" s="15"/>
      <c r="AL1458" s="15"/>
      <c r="AM1458" s="15"/>
      <c r="AN1458" s="15"/>
      <c r="AO1458" s="15"/>
      <c r="AP1458" s="15"/>
      <c r="AQ1458" s="15"/>
      <c r="AR1458" s="15"/>
      <c r="AS1458" s="15"/>
      <c r="AT1458" s="15"/>
      <c r="AU1458" s="15"/>
      <c r="AV1458" s="15"/>
      <c r="AW1458" s="15"/>
      <c r="AX1458" s="15"/>
      <c r="AY1458" s="15"/>
      <c r="AZ1458" s="15"/>
      <c r="BA1458" s="15"/>
      <c r="BB1458" s="15"/>
      <c r="BC1458" s="15"/>
      <c r="BD1458" s="15"/>
      <c r="BE1458" s="15"/>
      <c r="BF1458" s="15"/>
      <c r="BG1458" s="15"/>
      <c r="BH1458" s="15"/>
      <c r="BI1458" s="15"/>
      <c r="BJ1458" s="15"/>
      <c r="BK1458" s="15"/>
      <c r="BL1458" s="15"/>
      <c r="BM1458" s="15"/>
      <c r="BN1458" s="15"/>
      <c r="BO1458" s="15"/>
      <c r="BP1458" s="15"/>
      <c r="BQ1458" s="15"/>
      <c r="BR1458" s="15"/>
      <c r="BS1458" s="15"/>
      <c r="BT1458" s="15"/>
      <c r="BU1458" s="15"/>
      <c r="BV1458" s="15"/>
      <c r="BW1458" s="15"/>
      <c r="BX1458" s="15"/>
      <c r="BY1458" s="15"/>
      <c r="BZ1458" s="15"/>
      <c r="CA1458" s="15"/>
      <c r="CB1458" s="15"/>
    </row>
    <row r="1459" spans="1:80" ht="12.75" hidden="1" customHeight="1">
      <c r="A1459" s="20">
        <f ca="1">IFERROR(__xludf.DUMMYFUNCTION("""COMPUTED_VALUE"""),2021)</f>
        <v>2021</v>
      </c>
      <c r="B1459" s="45">
        <f ca="1">IFERROR(__xludf.DUMMYFUNCTION("""COMPUTED_VALUE"""),44721)</f>
        <v>44721</v>
      </c>
      <c r="C1459" s="46"/>
      <c r="D1459" s="47" t="str">
        <f ca="1">IFERROR(__xludf.DUMMYFUNCTION("""COMPUTED_VALUE"""),"Crane")</f>
        <v>Crane</v>
      </c>
      <c r="E1459" s="52">
        <f ca="1">IFERROR(__xludf.DUMMYFUNCTION("""COMPUTED_VALUE"""),1)</f>
        <v>1</v>
      </c>
      <c r="F1459" s="25"/>
      <c r="G1459" s="48" t="str">
        <f ca="1">IFERROR(__xludf.DUMMYFUNCTION("""COMPUTED_VALUE"""),"Alsager, Radway Green")</f>
        <v>Alsager, Radway Green</v>
      </c>
      <c r="H1459" s="22">
        <f ca="1">IFERROR(__xludf.DUMMYFUNCTION("""COMPUTED_VALUE"""),44485)</f>
        <v>44485</v>
      </c>
      <c r="I1459" s="23"/>
      <c r="J1459" s="24"/>
      <c r="K1459" s="25"/>
      <c r="L1459" s="27" t="str">
        <f ca="1">IFERROR(__xludf.DUMMYFUNCTION("""COMPUTED_VALUE"""),"limbo")</f>
        <v>limbo</v>
      </c>
      <c r="M1459" s="27"/>
      <c r="N1459" s="25" t="str">
        <f ca="1">IFERROR(__xludf.DUMMYFUNCTION("""COMPUTED_VALUE"""),"not submitted")</f>
        <v>not submitted</v>
      </c>
      <c r="O1459" s="28"/>
      <c r="P1459" s="25"/>
      <c r="Q1459" s="25"/>
      <c r="R1459" s="25"/>
      <c r="S1459" s="25"/>
      <c r="T1459" s="25"/>
      <c r="U1459" s="25"/>
      <c r="V1459" s="25"/>
      <c r="W1459" s="25"/>
      <c r="X1459" s="25"/>
      <c r="Y1459" s="25"/>
      <c r="Z1459" s="25"/>
      <c r="AA1459" s="25"/>
      <c r="AB1459" s="25"/>
      <c r="AC1459" s="25"/>
      <c r="AD1459" s="25"/>
      <c r="AE1459" s="25"/>
      <c r="AF1459" s="25"/>
      <c r="AG1459" s="25"/>
      <c r="AH1459" s="25"/>
      <c r="AI1459" s="25"/>
      <c r="AJ1459" s="25"/>
      <c r="AK1459" s="25"/>
      <c r="AL1459" s="25"/>
      <c r="AM1459" s="25"/>
      <c r="AN1459" s="25"/>
      <c r="AO1459" s="25"/>
      <c r="AP1459" s="25"/>
      <c r="AQ1459" s="25"/>
      <c r="AR1459" s="25"/>
      <c r="AS1459" s="25"/>
      <c r="AT1459" s="25"/>
      <c r="AU1459" s="25"/>
      <c r="AV1459" s="25"/>
      <c r="AW1459" s="25"/>
      <c r="AX1459" s="25"/>
      <c r="AY1459" s="25"/>
      <c r="AZ1459" s="25"/>
      <c r="BA1459" s="25"/>
      <c r="BB1459" s="25"/>
      <c r="BC1459" s="25"/>
      <c r="BD1459" s="25"/>
      <c r="BE1459" s="25"/>
      <c r="BF1459" s="25"/>
      <c r="BG1459" s="25"/>
      <c r="BH1459" s="25"/>
      <c r="BI1459" s="25"/>
      <c r="BJ1459" s="25"/>
      <c r="BK1459" s="25"/>
      <c r="BL1459" s="25"/>
      <c r="BM1459" s="25"/>
      <c r="BN1459" s="25"/>
      <c r="BO1459" s="25"/>
      <c r="BP1459" s="25"/>
      <c r="BQ1459" s="25"/>
      <c r="BR1459" s="25"/>
      <c r="BS1459" s="25"/>
      <c r="BT1459" s="25"/>
      <c r="BU1459" s="25"/>
      <c r="BV1459" s="25"/>
      <c r="BW1459" s="25"/>
      <c r="BX1459" s="25"/>
      <c r="BY1459" s="25"/>
      <c r="BZ1459" s="25"/>
      <c r="CA1459" s="25"/>
      <c r="CB1459" s="25"/>
    </row>
    <row r="1460" spans="1:80" ht="12.75" hidden="1" customHeight="1">
      <c r="A1460" s="10">
        <f ca="1">IFERROR(__xludf.DUMMYFUNCTION("""COMPUTED_VALUE"""),2021)</f>
        <v>2021</v>
      </c>
      <c r="B1460" s="50">
        <f ca="1">IFERROR(__xludf.DUMMYFUNCTION("""COMPUTED_VALUE"""),44404)</f>
        <v>44404</v>
      </c>
      <c r="C1460" s="41"/>
      <c r="D1460" s="42" t="str">
        <f ca="1">IFERROR(__xludf.DUMMYFUNCTION("""COMPUTED_VALUE"""),"Slavonian Grebe")</f>
        <v>Slavonian Grebe</v>
      </c>
      <c r="E1460" s="53">
        <f ca="1">IFERROR(__xludf.DUMMYFUNCTION("""COMPUTED_VALUE"""),1)</f>
        <v>1</v>
      </c>
      <c r="F1460" s="15"/>
      <c r="G1460" s="44" t="str">
        <f ca="1">IFERROR(__xludf.DUMMYFUNCTION("""COMPUTED_VALUE"""),"Hilbre")</f>
        <v>Hilbre</v>
      </c>
      <c r="H1460" s="12">
        <f ca="1">IFERROR(__xludf.DUMMYFUNCTION("""COMPUTED_VALUE"""),44255)</f>
        <v>44255</v>
      </c>
      <c r="I1460" s="12">
        <f ca="1">IFERROR(__xludf.DUMMYFUNCTION("""COMPUTED_VALUE"""),44255)</f>
        <v>44255</v>
      </c>
      <c r="J1460" s="14"/>
      <c r="K1460" s="15"/>
      <c r="L1460" s="17" t="str">
        <f ca="1">IFERROR(__xludf.DUMMYFUNCTION("""COMPUTED_VALUE"""),"limbo")</f>
        <v>limbo</v>
      </c>
      <c r="M1460" s="17"/>
      <c r="N1460" s="15" t="str">
        <f ca="1">IFERROR(__xludf.DUMMYFUNCTION("""COMPUTED_VALUE"""),"not submitted")</f>
        <v>not submitted</v>
      </c>
      <c r="O1460" s="18"/>
      <c r="P1460" s="15"/>
      <c r="Q1460" s="15"/>
      <c r="R1460" s="15"/>
      <c r="S1460" s="15"/>
      <c r="T1460" s="15"/>
      <c r="U1460" s="15"/>
      <c r="V1460" s="15"/>
      <c r="W1460" s="15"/>
      <c r="X1460" s="15"/>
      <c r="Y1460" s="15"/>
      <c r="Z1460" s="15"/>
      <c r="AA1460" s="15"/>
      <c r="AB1460" s="15"/>
      <c r="AC1460" s="15"/>
      <c r="AD1460" s="15"/>
      <c r="AE1460" s="15"/>
      <c r="AF1460" s="15"/>
      <c r="AG1460" s="15"/>
      <c r="AH1460" s="15"/>
      <c r="AI1460" s="15"/>
      <c r="AJ1460" s="15"/>
      <c r="AK1460" s="15"/>
      <c r="AL1460" s="15"/>
      <c r="AM1460" s="15"/>
      <c r="AN1460" s="15"/>
      <c r="AO1460" s="15"/>
      <c r="AP1460" s="15"/>
      <c r="AQ1460" s="15"/>
      <c r="AR1460" s="15"/>
      <c r="AS1460" s="15"/>
      <c r="AT1460" s="15"/>
      <c r="AU1460" s="15"/>
      <c r="AV1460" s="15"/>
      <c r="AW1460" s="15"/>
      <c r="AX1460" s="15"/>
      <c r="AY1460" s="15"/>
      <c r="AZ1460" s="15"/>
      <c r="BA1460" s="15"/>
      <c r="BB1460" s="15"/>
      <c r="BC1460" s="15"/>
      <c r="BD1460" s="15"/>
      <c r="BE1460" s="15"/>
      <c r="BF1460" s="15"/>
      <c r="BG1460" s="15"/>
      <c r="BH1460" s="15"/>
      <c r="BI1460" s="15"/>
      <c r="BJ1460" s="15"/>
      <c r="BK1460" s="15"/>
      <c r="BL1460" s="15"/>
      <c r="BM1460" s="15"/>
      <c r="BN1460" s="15"/>
      <c r="BO1460" s="15"/>
      <c r="BP1460" s="15"/>
      <c r="BQ1460" s="15"/>
      <c r="BR1460" s="15"/>
      <c r="BS1460" s="15"/>
      <c r="BT1460" s="15"/>
      <c r="BU1460" s="15"/>
      <c r="BV1460" s="15"/>
      <c r="BW1460" s="15"/>
      <c r="BX1460" s="15"/>
      <c r="BY1460" s="15"/>
      <c r="BZ1460" s="15"/>
      <c r="CA1460" s="15"/>
      <c r="CB1460" s="15"/>
    </row>
    <row r="1461" spans="1:80" ht="12.75" hidden="1" customHeight="1">
      <c r="A1461" s="20">
        <f ca="1">IFERROR(__xludf.DUMMYFUNCTION("""COMPUTED_VALUE"""),2021)</f>
        <v>2021</v>
      </c>
      <c r="B1461" s="45">
        <f ca="1">IFERROR(__xludf.DUMMYFUNCTION("""COMPUTED_VALUE"""),44726)</f>
        <v>44726</v>
      </c>
      <c r="C1461" s="46"/>
      <c r="D1461" s="47" t="str">
        <f ca="1">IFERROR(__xludf.DUMMYFUNCTION("""COMPUTED_VALUE"""),"Slavonian Grebe")</f>
        <v>Slavonian Grebe</v>
      </c>
      <c r="E1461" s="52">
        <f ca="1">IFERROR(__xludf.DUMMYFUNCTION("""COMPUTED_VALUE"""),1)</f>
        <v>1</v>
      </c>
      <c r="F1461" s="25"/>
      <c r="G1461" s="48" t="str">
        <f ca="1">IFERROR(__xludf.DUMMYFUNCTION("""COMPUTED_VALUE"""),"Acre Nook SQ, Chelford SQ")</f>
        <v>Acre Nook SQ, Chelford SQ</v>
      </c>
      <c r="H1461" s="22">
        <f ca="1">IFERROR(__xludf.DUMMYFUNCTION("""COMPUTED_VALUE"""),44294)</f>
        <v>44294</v>
      </c>
      <c r="I1461" s="22">
        <f ca="1">IFERROR(__xludf.DUMMYFUNCTION("""COMPUTED_VALUE"""),44321)</f>
        <v>44321</v>
      </c>
      <c r="J1461" s="24"/>
      <c r="K1461" s="25"/>
      <c r="L1461" s="27" t="str">
        <f ca="1">IFERROR(__xludf.DUMMYFUNCTION("""COMPUTED_VALUE"""),"closed")</f>
        <v>closed</v>
      </c>
      <c r="M1461" s="27"/>
      <c r="N1461" s="25" t="str">
        <f ca="1">IFERROR(__xludf.DUMMYFUNCTION("""COMPUTED_VALUE"""),"Accepted w/o circ")</f>
        <v>Accepted w/o circ</v>
      </c>
      <c r="O1461" s="28" t="str">
        <f ca="1">IFERROR(__xludf.DUMMYFUNCTION("""COMPUTED_VALUE"""),"Multip observed and photographed  - #")</f>
        <v>Multip observed and photographed  - #</v>
      </c>
      <c r="P1461" s="25"/>
      <c r="Q1461" s="25"/>
      <c r="R1461" s="25"/>
      <c r="S1461" s="25"/>
      <c r="T1461" s="25"/>
      <c r="U1461" s="25"/>
      <c r="V1461" s="25"/>
      <c r="W1461" s="25"/>
      <c r="X1461" s="25"/>
      <c r="Y1461" s="25"/>
      <c r="Z1461" s="25"/>
      <c r="AA1461" s="25"/>
      <c r="AB1461" s="25"/>
      <c r="AC1461" s="25"/>
      <c r="AD1461" s="25"/>
      <c r="AE1461" s="25"/>
      <c r="AF1461" s="25"/>
      <c r="AG1461" s="25"/>
      <c r="AH1461" s="25"/>
      <c r="AI1461" s="25"/>
      <c r="AJ1461" s="25"/>
      <c r="AK1461" s="25"/>
      <c r="AL1461" s="25"/>
      <c r="AM1461" s="25"/>
      <c r="AN1461" s="25"/>
      <c r="AO1461" s="25"/>
      <c r="AP1461" s="25"/>
      <c r="AQ1461" s="25"/>
      <c r="AR1461" s="25"/>
      <c r="AS1461" s="25"/>
      <c r="AT1461" s="25"/>
      <c r="AU1461" s="25"/>
      <c r="AV1461" s="25"/>
      <c r="AW1461" s="25"/>
      <c r="AX1461" s="25"/>
      <c r="AY1461" s="25"/>
      <c r="AZ1461" s="25"/>
      <c r="BA1461" s="25"/>
      <c r="BB1461" s="25"/>
      <c r="BC1461" s="25"/>
      <c r="BD1461" s="25"/>
      <c r="BE1461" s="25"/>
      <c r="BF1461" s="25"/>
      <c r="BG1461" s="25"/>
      <c r="BH1461" s="25"/>
      <c r="BI1461" s="25"/>
      <c r="BJ1461" s="25"/>
      <c r="BK1461" s="25"/>
      <c r="BL1461" s="25"/>
      <c r="BM1461" s="25"/>
      <c r="BN1461" s="25"/>
      <c r="BO1461" s="25"/>
      <c r="BP1461" s="25"/>
      <c r="BQ1461" s="25"/>
      <c r="BR1461" s="25"/>
      <c r="BS1461" s="25"/>
      <c r="BT1461" s="25"/>
      <c r="BU1461" s="25"/>
      <c r="BV1461" s="25"/>
      <c r="BW1461" s="25"/>
      <c r="BX1461" s="25"/>
      <c r="BY1461" s="25"/>
      <c r="BZ1461" s="25"/>
      <c r="CA1461" s="25"/>
      <c r="CB1461" s="25"/>
    </row>
    <row r="1462" spans="1:80" ht="12.75" hidden="1" customHeight="1">
      <c r="A1462" s="10">
        <f ca="1">IFERROR(__xludf.DUMMYFUNCTION("""COMPUTED_VALUE"""),2021)</f>
        <v>2021</v>
      </c>
      <c r="B1462" s="50">
        <f ca="1">IFERROR(__xludf.DUMMYFUNCTION("""COMPUTED_VALUE"""),44568)</f>
        <v>44568</v>
      </c>
      <c r="C1462" s="41"/>
      <c r="D1462" s="42" t="str">
        <f ca="1">IFERROR(__xludf.DUMMYFUNCTION("""COMPUTED_VALUE"""),"American Golden plover")</f>
        <v>American Golden plover</v>
      </c>
      <c r="E1462" s="53">
        <f ca="1">IFERROR(__xludf.DUMMYFUNCTION("""COMPUTED_VALUE"""),1)</f>
        <v>1</v>
      </c>
      <c r="F1462" s="15" t="str">
        <f ca="1">IFERROR(__xludf.DUMMYFUNCTION("""COMPUTED_VALUE"""),"1st Sum")</f>
        <v>1st Sum</v>
      </c>
      <c r="G1462" s="44" t="str">
        <f ca="1">IFERROR(__xludf.DUMMYFUNCTION("""COMPUTED_VALUE"""),"Hoylake Shore")</f>
        <v>Hoylake Shore</v>
      </c>
      <c r="H1462" s="12">
        <f ca="1">IFERROR(__xludf.DUMMYFUNCTION("""COMPUTED_VALUE"""),44415)</f>
        <v>44415</v>
      </c>
      <c r="I1462" s="12">
        <f ca="1">IFERROR(__xludf.DUMMYFUNCTION("""COMPUTED_VALUE"""),44416)</f>
        <v>44416</v>
      </c>
      <c r="J1462" s="14" t="str">
        <f ca="1">IFERROR(__xludf.DUMMYFUNCTION("""COMPUTED_VALUE"""),"County recorder")</f>
        <v>County recorder</v>
      </c>
      <c r="K1462" s="15" t="str">
        <f ca="1">IFERROR(__xludf.DUMMYFUNCTION("""COMPUTED_VALUE"""),"Kinch, T")</f>
        <v>Kinch, T</v>
      </c>
      <c r="L1462" s="17" t="str">
        <f ca="1">IFERROR(__xludf.DUMMYFUNCTION("""COMPUTED_VALUE"""),"closed")</f>
        <v>closed</v>
      </c>
      <c r="M1462" s="17" t="str">
        <f ca="1">IFERROR(__xludf.DUMMYFUNCTION("""COMPUTED_VALUE"""),"photo")</f>
        <v>photo</v>
      </c>
      <c r="N1462" s="15" t="str">
        <f ca="1">IFERROR(__xludf.DUMMYFUNCTION("""COMPUTED_VALUE"""),"Accepted w/o circ")</f>
        <v>Accepted w/o circ</v>
      </c>
      <c r="O1462" s="18" t="str">
        <f ca="1">IFERROR(__xludf.DUMMYFUNCTION("""COMPUTED_VALUE"""),"same bird as N Merseyside/Lancs")</f>
        <v>same bird as N Merseyside/Lancs</v>
      </c>
      <c r="P1462" s="15"/>
      <c r="Q1462" s="15"/>
      <c r="R1462" s="15"/>
      <c r="S1462" s="15"/>
      <c r="T1462" s="15"/>
      <c r="U1462" s="15"/>
      <c r="V1462" s="15"/>
      <c r="W1462" s="15"/>
      <c r="X1462" s="15"/>
      <c r="Y1462" s="15"/>
      <c r="Z1462" s="15"/>
      <c r="AA1462" s="15"/>
      <c r="AB1462" s="15"/>
      <c r="AC1462" s="15"/>
      <c r="AD1462" s="15"/>
      <c r="AE1462" s="15"/>
      <c r="AF1462" s="15"/>
      <c r="AG1462" s="15"/>
      <c r="AH1462" s="15"/>
      <c r="AI1462" s="15"/>
      <c r="AJ1462" s="15"/>
      <c r="AK1462" s="15"/>
      <c r="AL1462" s="15"/>
      <c r="AM1462" s="15"/>
      <c r="AN1462" s="15"/>
      <c r="AO1462" s="15"/>
      <c r="AP1462" s="15"/>
      <c r="AQ1462" s="15"/>
      <c r="AR1462" s="15"/>
      <c r="AS1462" s="15"/>
      <c r="AT1462" s="15"/>
      <c r="AU1462" s="15"/>
      <c r="AV1462" s="15"/>
      <c r="AW1462" s="15"/>
      <c r="AX1462" s="15"/>
      <c r="AY1462" s="15"/>
      <c r="AZ1462" s="15"/>
      <c r="BA1462" s="15"/>
      <c r="BB1462" s="15"/>
      <c r="BC1462" s="15"/>
      <c r="BD1462" s="15"/>
      <c r="BE1462" s="15"/>
      <c r="BF1462" s="15"/>
      <c r="BG1462" s="15"/>
      <c r="BH1462" s="15"/>
      <c r="BI1462" s="15"/>
      <c r="BJ1462" s="15"/>
      <c r="BK1462" s="15"/>
      <c r="BL1462" s="15"/>
      <c r="BM1462" s="15"/>
      <c r="BN1462" s="15"/>
      <c r="BO1462" s="15"/>
      <c r="BP1462" s="15"/>
      <c r="BQ1462" s="15"/>
      <c r="BR1462" s="15"/>
      <c r="BS1462" s="15"/>
      <c r="BT1462" s="15"/>
      <c r="BU1462" s="15"/>
      <c r="BV1462" s="15"/>
      <c r="BW1462" s="15"/>
      <c r="BX1462" s="15"/>
      <c r="BY1462" s="15"/>
      <c r="BZ1462" s="15"/>
      <c r="CA1462" s="15"/>
      <c r="CB1462" s="15"/>
    </row>
    <row r="1463" spans="1:80" ht="12.75" hidden="1" customHeight="1">
      <c r="A1463" s="20">
        <f ca="1">IFERROR(__xludf.DUMMYFUNCTION("""COMPUTED_VALUE"""),2021)</f>
        <v>2021</v>
      </c>
      <c r="B1463" s="45">
        <f ca="1">IFERROR(__xludf.DUMMYFUNCTION("""COMPUTED_VALUE"""),44568)</f>
        <v>44568</v>
      </c>
      <c r="C1463" s="46"/>
      <c r="D1463" s="47" t="str">
        <f ca="1">IFERROR(__xludf.DUMMYFUNCTION("""COMPUTED_VALUE"""),"American Golden plover")</f>
        <v>American Golden plover</v>
      </c>
      <c r="E1463" s="52">
        <f ca="1">IFERROR(__xludf.DUMMYFUNCTION("""COMPUTED_VALUE"""),1)</f>
        <v>1</v>
      </c>
      <c r="F1463" s="25" t="str">
        <f ca="1">IFERROR(__xludf.DUMMYFUNCTION("""COMPUTED_VALUE"""),"1st Sum")</f>
        <v>1st Sum</v>
      </c>
      <c r="G1463" s="48" t="str">
        <f ca="1">IFERROR(__xludf.DUMMYFUNCTION("""COMPUTED_VALUE"""),"Frodsham No 6 tank")</f>
        <v>Frodsham No 6 tank</v>
      </c>
      <c r="H1463" s="22">
        <f ca="1">IFERROR(__xludf.DUMMYFUNCTION("""COMPUTED_VALUE"""),44422)</f>
        <v>44422</v>
      </c>
      <c r="I1463" s="23"/>
      <c r="J1463" s="24" t="str">
        <f ca="1">IFERROR(__xludf.DUMMYFUNCTION("""COMPUTED_VALUE"""),"County recorder")</f>
        <v>County recorder</v>
      </c>
      <c r="K1463" s="25" t="str">
        <f ca="1">IFERROR(__xludf.DUMMYFUNCTION("""COMPUTED_VALUE"""),"tbd")</f>
        <v>tbd</v>
      </c>
      <c r="L1463" s="27" t="str">
        <f ca="1">IFERROR(__xludf.DUMMYFUNCTION("""COMPUTED_VALUE"""),"closed")</f>
        <v>closed</v>
      </c>
      <c r="M1463" s="27" t="str">
        <f ca="1">IFERROR(__xludf.DUMMYFUNCTION("""COMPUTED_VALUE"""),"photo")</f>
        <v>photo</v>
      </c>
      <c r="N1463" s="25" t="str">
        <f ca="1">IFERROR(__xludf.DUMMYFUNCTION("""COMPUTED_VALUE"""),"Accepted w/o circ")</f>
        <v>Accepted w/o circ</v>
      </c>
      <c r="O1463" s="28" t="str">
        <f ca="1">IFERROR(__xludf.DUMMYFUNCTION("""COMPUTED_VALUE"""),"presumed same as Hoylake, multi observed bu a link to a photo would be appreciated")</f>
        <v>presumed same as Hoylake, multi observed bu a link to a photo would be appreciated</v>
      </c>
      <c r="P1463" s="25"/>
      <c r="Q1463" s="25"/>
      <c r="R1463" s="25"/>
      <c r="S1463" s="25"/>
      <c r="T1463" s="25"/>
      <c r="U1463" s="25"/>
      <c r="V1463" s="25"/>
      <c r="W1463" s="25"/>
      <c r="X1463" s="25"/>
      <c r="Y1463" s="25"/>
      <c r="Z1463" s="25"/>
      <c r="AA1463" s="25"/>
      <c r="AB1463" s="25"/>
      <c r="AC1463" s="25"/>
      <c r="AD1463" s="25"/>
      <c r="AE1463" s="25"/>
      <c r="AF1463" s="25"/>
      <c r="AG1463" s="25"/>
      <c r="AH1463" s="25"/>
      <c r="AI1463" s="25"/>
      <c r="AJ1463" s="25"/>
      <c r="AK1463" s="25"/>
      <c r="AL1463" s="25"/>
      <c r="AM1463" s="25"/>
      <c r="AN1463" s="25"/>
      <c r="AO1463" s="25"/>
      <c r="AP1463" s="25"/>
      <c r="AQ1463" s="25"/>
      <c r="AR1463" s="25"/>
      <c r="AS1463" s="25"/>
      <c r="AT1463" s="25"/>
      <c r="AU1463" s="25"/>
      <c r="AV1463" s="25"/>
      <c r="AW1463" s="25"/>
      <c r="AX1463" s="25"/>
      <c r="AY1463" s="25"/>
      <c r="AZ1463" s="25"/>
      <c r="BA1463" s="25"/>
      <c r="BB1463" s="25"/>
      <c r="BC1463" s="25"/>
      <c r="BD1463" s="25"/>
      <c r="BE1463" s="25"/>
      <c r="BF1463" s="25"/>
      <c r="BG1463" s="25"/>
      <c r="BH1463" s="25"/>
      <c r="BI1463" s="25"/>
      <c r="BJ1463" s="25"/>
      <c r="BK1463" s="25"/>
      <c r="BL1463" s="25"/>
      <c r="BM1463" s="25"/>
      <c r="BN1463" s="25"/>
      <c r="BO1463" s="25"/>
      <c r="BP1463" s="25"/>
      <c r="BQ1463" s="25"/>
      <c r="BR1463" s="25"/>
      <c r="BS1463" s="25"/>
      <c r="BT1463" s="25"/>
      <c r="BU1463" s="25"/>
      <c r="BV1463" s="25"/>
      <c r="BW1463" s="25"/>
      <c r="BX1463" s="25"/>
      <c r="BY1463" s="25"/>
      <c r="BZ1463" s="25"/>
      <c r="CA1463" s="25"/>
      <c r="CB1463" s="25"/>
    </row>
    <row r="1464" spans="1:80" ht="12.75" hidden="1" customHeight="1">
      <c r="A1464" s="10">
        <f ca="1">IFERROR(__xludf.DUMMYFUNCTION("""COMPUTED_VALUE"""),2021)</f>
        <v>2021</v>
      </c>
      <c r="B1464" s="50">
        <f ca="1">IFERROR(__xludf.DUMMYFUNCTION("""COMPUTED_VALUE"""),44706)</f>
        <v>44706</v>
      </c>
      <c r="C1464" s="41">
        <f ca="1">IFERROR(__xludf.DUMMYFUNCTION("""COMPUTED_VALUE"""),44706)</f>
        <v>44706</v>
      </c>
      <c r="D1464" s="42" t="str">
        <f ca="1">IFERROR(__xludf.DUMMYFUNCTION("""COMPUTED_VALUE"""),"American Golden plover")</f>
        <v>American Golden plover</v>
      </c>
      <c r="E1464" s="53">
        <f ca="1">IFERROR(__xludf.DUMMYFUNCTION("""COMPUTED_VALUE"""),1)</f>
        <v>1</v>
      </c>
      <c r="F1464" s="15" t="str">
        <f ca="1">IFERROR(__xludf.DUMMYFUNCTION("""COMPUTED_VALUE"""),"""juv""")</f>
        <v>"juv"</v>
      </c>
      <c r="G1464" s="44" t="str">
        <f ca="1">IFERROR(__xludf.DUMMYFUNCTION("""COMPUTED_VALUE"""),"Mount Manisty")</f>
        <v>Mount Manisty</v>
      </c>
      <c r="H1464" s="12">
        <f ca="1">IFERROR(__xludf.DUMMYFUNCTION("""COMPUTED_VALUE"""),44430)</f>
        <v>44430</v>
      </c>
      <c r="I1464" s="13"/>
      <c r="J1464" s="14"/>
      <c r="K1464" s="15"/>
      <c r="L1464" s="17" t="str">
        <f ca="1">IFERROR(__xludf.DUMMYFUNCTION("""COMPUTED_VALUE"""),"open")</f>
        <v>open</v>
      </c>
      <c r="M1464" s="17"/>
      <c r="N1464" s="15" t="str">
        <f ca="1">IFERROR(__xludf.DUMMYFUNCTION("""COMPUTED_VALUE"""),"in circulation")</f>
        <v>in circulation</v>
      </c>
      <c r="O1464" s="18"/>
      <c r="P1464" s="15"/>
      <c r="Q1464" s="15"/>
      <c r="R1464" s="58"/>
      <c r="S1464" s="15"/>
      <c r="T1464" s="15"/>
      <c r="U1464" s="15"/>
      <c r="V1464" s="15"/>
      <c r="W1464" s="15"/>
      <c r="X1464" s="15"/>
      <c r="Y1464" s="15"/>
      <c r="Z1464" s="15"/>
      <c r="AA1464" s="15"/>
      <c r="AB1464" s="15"/>
      <c r="AC1464" s="15"/>
      <c r="AD1464" s="15"/>
      <c r="AE1464" s="15"/>
      <c r="AF1464" s="15"/>
      <c r="AG1464" s="15"/>
      <c r="AH1464" s="15"/>
      <c r="AI1464" s="15"/>
      <c r="AJ1464" s="15"/>
      <c r="AK1464" s="15"/>
      <c r="AL1464" s="15"/>
      <c r="AM1464" s="15"/>
      <c r="AN1464" s="15"/>
      <c r="AO1464" s="15"/>
      <c r="AP1464" s="15"/>
      <c r="AQ1464" s="15"/>
      <c r="AR1464" s="15"/>
      <c r="AS1464" s="15"/>
      <c r="AT1464" s="15"/>
      <c r="AU1464" s="15"/>
      <c r="AV1464" s="15"/>
      <c r="AW1464" s="15"/>
      <c r="AX1464" s="15"/>
      <c r="AY1464" s="15"/>
      <c r="AZ1464" s="15"/>
      <c r="BA1464" s="15"/>
      <c r="BB1464" s="15"/>
      <c r="BC1464" s="15"/>
      <c r="BD1464" s="15"/>
      <c r="BE1464" s="15"/>
      <c r="BF1464" s="15"/>
      <c r="BG1464" s="15"/>
      <c r="BH1464" s="15"/>
      <c r="BI1464" s="15"/>
      <c r="BJ1464" s="15"/>
      <c r="BK1464" s="15"/>
      <c r="BL1464" s="15"/>
      <c r="BM1464" s="15"/>
      <c r="BN1464" s="15"/>
      <c r="BO1464" s="15"/>
      <c r="BP1464" s="15"/>
      <c r="BQ1464" s="15"/>
      <c r="BR1464" s="15"/>
      <c r="BS1464" s="15"/>
      <c r="BT1464" s="15"/>
      <c r="BU1464" s="15"/>
      <c r="BV1464" s="15"/>
      <c r="BW1464" s="15"/>
      <c r="BX1464" s="15"/>
      <c r="BY1464" s="15"/>
      <c r="BZ1464" s="15"/>
      <c r="CA1464" s="15"/>
      <c r="CB1464" s="15"/>
    </row>
    <row r="1465" spans="1:80" ht="12.75" hidden="1" customHeight="1">
      <c r="A1465" s="20">
        <f ca="1">IFERROR(__xludf.DUMMYFUNCTION("""COMPUTED_VALUE"""),2021)</f>
        <v>2021</v>
      </c>
      <c r="B1465" s="45">
        <f ca="1">IFERROR(__xludf.DUMMYFUNCTION("""COMPUTED_VALUE"""),44876)</f>
        <v>44876</v>
      </c>
      <c r="C1465" s="46">
        <f ca="1">IFERROR(__xludf.DUMMYFUNCTION("""COMPUTED_VALUE"""),44726)</f>
        <v>44726</v>
      </c>
      <c r="D1465" s="47" t="str">
        <f ca="1">IFERROR(__xludf.DUMMYFUNCTION("""COMPUTED_VALUE"""),"Purple Sandpiper")</f>
        <v>Purple Sandpiper</v>
      </c>
      <c r="E1465" s="52">
        <f ca="1">IFERROR(__xludf.DUMMYFUNCTION("""COMPUTED_VALUE"""),1)</f>
        <v>1</v>
      </c>
      <c r="F1465" s="25"/>
      <c r="G1465" s="71" t="str">
        <f ca="1">IFERROR(__xludf.DUMMYFUNCTION("""COMPUTED_VALUE"""),"Mere Farm Quarry")</f>
        <v>Mere Farm Quarry</v>
      </c>
      <c r="H1465" s="22">
        <f ca="1">IFERROR(__xludf.DUMMYFUNCTION("""COMPUTED_VALUE"""),44506)</f>
        <v>44506</v>
      </c>
      <c r="I1465" s="79"/>
      <c r="J1465" s="24"/>
      <c r="K1465" s="25"/>
      <c r="L1465" s="27" t="str">
        <f ca="1">IFERROR(__xludf.DUMMYFUNCTION("""COMPUTED_VALUE"""),"closed")</f>
        <v>closed</v>
      </c>
      <c r="M1465" s="27" t="str">
        <f ca="1">IFERROR(__xludf.DUMMYFUNCTION("""COMPUTED_VALUE"""),"1st U")</f>
        <v>1st U</v>
      </c>
      <c r="N1465" s="25" t="str">
        <f ca="1">IFERROR(__xludf.DUMMYFUNCTION("""COMPUTED_VALUE"""),"accepted")</f>
        <v>accepted</v>
      </c>
      <c r="O1465" s="28"/>
      <c r="P1465" s="25"/>
      <c r="Q1465" s="25"/>
      <c r="R1465" s="25"/>
      <c r="S1465" s="25"/>
      <c r="T1465" s="25"/>
      <c r="U1465" s="25"/>
      <c r="V1465" s="25"/>
      <c r="W1465" s="25"/>
      <c r="X1465" s="25"/>
      <c r="Y1465" s="25"/>
      <c r="Z1465" s="25"/>
      <c r="AA1465" s="25"/>
      <c r="AB1465" s="25"/>
      <c r="AC1465" s="25"/>
      <c r="AD1465" s="25"/>
      <c r="AE1465" s="25"/>
      <c r="AF1465" s="25"/>
      <c r="AG1465" s="25"/>
      <c r="AH1465" s="25"/>
      <c r="AI1465" s="25"/>
      <c r="AJ1465" s="25"/>
      <c r="AK1465" s="25"/>
      <c r="AL1465" s="25"/>
      <c r="AM1465" s="25"/>
      <c r="AN1465" s="25"/>
      <c r="AO1465" s="25"/>
      <c r="AP1465" s="25"/>
      <c r="AQ1465" s="25"/>
      <c r="AR1465" s="25"/>
      <c r="AS1465" s="25"/>
      <c r="AT1465" s="25"/>
      <c r="AU1465" s="25"/>
      <c r="AV1465" s="25"/>
      <c r="AW1465" s="25"/>
      <c r="AX1465" s="25"/>
      <c r="AY1465" s="25"/>
      <c r="AZ1465" s="25"/>
      <c r="BA1465" s="25"/>
      <c r="BB1465" s="25"/>
      <c r="BC1465" s="25"/>
      <c r="BD1465" s="25"/>
      <c r="BE1465" s="25"/>
      <c r="BF1465" s="25"/>
      <c r="BG1465" s="25"/>
      <c r="BH1465" s="25"/>
      <c r="BI1465" s="25"/>
      <c r="BJ1465" s="25"/>
      <c r="BK1465" s="25"/>
      <c r="BL1465" s="25"/>
      <c r="BM1465" s="25"/>
      <c r="BN1465" s="25"/>
      <c r="BO1465" s="25"/>
      <c r="BP1465" s="25"/>
      <c r="BQ1465" s="25"/>
      <c r="BR1465" s="25"/>
      <c r="BS1465" s="25"/>
      <c r="BT1465" s="25"/>
      <c r="BU1465" s="25"/>
      <c r="BV1465" s="25"/>
      <c r="BW1465" s="25"/>
      <c r="BX1465" s="25"/>
      <c r="BY1465" s="25"/>
      <c r="BZ1465" s="25"/>
      <c r="CA1465" s="25"/>
      <c r="CB1465" s="25"/>
    </row>
    <row r="1466" spans="1:80" ht="12.75" hidden="1" customHeight="1">
      <c r="A1466" s="10">
        <f ca="1">IFERROR(__xludf.DUMMYFUNCTION("""COMPUTED_VALUE"""),2021)</f>
        <v>2021</v>
      </c>
      <c r="B1466" s="50">
        <f ca="1">IFERROR(__xludf.DUMMYFUNCTION("""COMPUTED_VALUE"""),44576)</f>
        <v>44576</v>
      </c>
      <c r="C1466" s="41"/>
      <c r="D1466" s="42" t="str">
        <f ca="1">IFERROR(__xludf.DUMMYFUNCTION("""COMPUTED_VALUE"""),"Pectoral Sandpiper")</f>
        <v>Pectoral Sandpiper</v>
      </c>
      <c r="E1466" s="53">
        <f ca="1">IFERROR(__xludf.DUMMYFUNCTION("""COMPUTED_VALUE"""),1)</f>
        <v>1</v>
      </c>
      <c r="F1466" s="15" t="str">
        <f ca="1">IFERROR(__xludf.DUMMYFUNCTION("""COMPUTED_VALUE"""),"ad")</f>
        <v>ad</v>
      </c>
      <c r="G1466" s="44" t="str">
        <f ca="1">IFERROR(__xludf.DUMMYFUNCTION("""COMPUTED_VALUE"""),"Burton Mere Wetlands RSPB")</f>
        <v>Burton Mere Wetlands RSPB</v>
      </c>
      <c r="H1466" s="12">
        <f ca="1">IFERROR(__xludf.DUMMYFUNCTION("""COMPUTED_VALUE"""),44414)</f>
        <v>44414</v>
      </c>
      <c r="I1466" s="12">
        <f ca="1">IFERROR(__xludf.DUMMYFUNCTION("""COMPUTED_VALUE"""),44416)</f>
        <v>44416</v>
      </c>
      <c r="J1466" s="14" t="str">
        <f ca="1">IFERROR(__xludf.DUMMYFUNCTION("""COMPUTED_VALUE"""),"County recorder")</f>
        <v>County recorder</v>
      </c>
      <c r="K1466" s="15" t="str">
        <f ca="1">IFERROR(__xludf.DUMMYFUNCTION("""COMPUTED_VALUE"""),"Knight, G")</f>
        <v>Knight, G</v>
      </c>
      <c r="L1466" s="17" t="str">
        <f ca="1">IFERROR(__xludf.DUMMYFUNCTION("""COMPUTED_VALUE"""),"closed")</f>
        <v>closed</v>
      </c>
      <c r="M1466" s="17" t="str">
        <f ca="1">IFERROR(__xludf.DUMMYFUNCTION("""COMPUTED_VALUE"""),"photo")</f>
        <v>photo</v>
      </c>
      <c r="N1466" s="15" t="str">
        <f ca="1">IFERROR(__xludf.DUMMYFUNCTION("""COMPUTED_VALUE"""),"accepted w/o circ")</f>
        <v>accepted w/o circ</v>
      </c>
      <c r="O1466" s="18"/>
      <c r="P1466" s="15"/>
      <c r="Q1466" s="15"/>
      <c r="R1466" s="15"/>
      <c r="S1466" s="15"/>
      <c r="T1466" s="15"/>
      <c r="U1466" s="15"/>
      <c r="V1466" s="15"/>
      <c r="W1466" s="15"/>
      <c r="X1466" s="15"/>
      <c r="Y1466" s="15"/>
      <c r="Z1466" s="15"/>
      <c r="AA1466" s="15"/>
      <c r="AB1466" s="15"/>
      <c r="AC1466" s="15"/>
      <c r="AD1466" s="15"/>
      <c r="AE1466" s="15"/>
      <c r="AF1466" s="15"/>
      <c r="AG1466" s="15"/>
      <c r="AH1466" s="15"/>
      <c r="AI1466" s="15"/>
      <c r="AJ1466" s="15"/>
      <c r="AK1466" s="15"/>
      <c r="AL1466" s="15"/>
      <c r="AM1466" s="15"/>
      <c r="AN1466" s="15"/>
      <c r="AO1466" s="15"/>
      <c r="AP1466" s="15"/>
      <c r="AQ1466" s="15"/>
      <c r="AR1466" s="15"/>
      <c r="AS1466" s="15"/>
      <c r="AT1466" s="15"/>
      <c r="AU1466" s="15"/>
      <c r="AV1466" s="15"/>
      <c r="AW1466" s="15"/>
      <c r="AX1466" s="15"/>
      <c r="AY1466" s="15"/>
      <c r="AZ1466" s="15"/>
      <c r="BA1466" s="15"/>
      <c r="BB1466" s="15"/>
      <c r="BC1466" s="15"/>
      <c r="BD1466" s="15"/>
      <c r="BE1466" s="15"/>
      <c r="BF1466" s="15"/>
      <c r="BG1466" s="15"/>
      <c r="BH1466" s="15"/>
      <c r="BI1466" s="15"/>
      <c r="BJ1466" s="15"/>
      <c r="BK1466" s="15"/>
      <c r="BL1466" s="15"/>
      <c r="BM1466" s="15"/>
      <c r="BN1466" s="15"/>
      <c r="BO1466" s="15"/>
      <c r="BP1466" s="15"/>
      <c r="BQ1466" s="15"/>
      <c r="BR1466" s="15"/>
      <c r="BS1466" s="15"/>
      <c r="BT1466" s="15"/>
      <c r="BU1466" s="15"/>
      <c r="BV1466" s="15"/>
      <c r="BW1466" s="15"/>
      <c r="BX1466" s="15"/>
      <c r="BY1466" s="15"/>
      <c r="BZ1466" s="15"/>
      <c r="CA1466" s="15"/>
      <c r="CB1466" s="15"/>
    </row>
    <row r="1467" spans="1:80" ht="12.75" hidden="1" customHeight="1">
      <c r="A1467" s="20">
        <f ca="1">IFERROR(__xludf.DUMMYFUNCTION("""COMPUTED_VALUE"""),2021)</f>
        <v>2021</v>
      </c>
      <c r="B1467" s="45">
        <f ca="1">IFERROR(__xludf.DUMMYFUNCTION("""COMPUTED_VALUE"""),44841)</f>
        <v>44841</v>
      </c>
      <c r="C1467" s="46"/>
      <c r="D1467" s="47" t="str">
        <f ca="1">IFERROR(__xludf.DUMMYFUNCTION("""COMPUTED_VALUE"""),"Long-billed Dowitcher")</f>
        <v>Long-billed Dowitcher</v>
      </c>
      <c r="E1467" s="52">
        <f ca="1">IFERROR(__xludf.DUMMYFUNCTION("""COMPUTED_VALUE"""),1)</f>
        <v>1</v>
      </c>
      <c r="F1467" s="25" t="str">
        <f ca="1">IFERROR(__xludf.DUMMYFUNCTION("""COMPUTED_VALUE"""),"ad")</f>
        <v>ad</v>
      </c>
      <c r="G1467" s="71" t="str">
        <f ca="1">IFERROR(__xludf.DUMMYFUNCTION("""COMPUTED_VALUE"""),"Frodsham No6")</f>
        <v>Frodsham No6</v>
      </c>
      <c r="H1467" s="22">
        <f ca="1">IFERROR(__xludf.DUMMYFUNCTION("""COMPUTED_VALUE"""),44411)</f>
        <v>44411</v>
      </c>
      <c r="I1467" s="22">
        <f ca="1">IFERROR(__xludf.DUMMYFUNCTION("""COMPUTED_VALUE"""),44430)</f>
        <v>44430</v>
      </c>
      <c r="J1467" s="73" t="str">
        <f ca="1">IFERROR(__xludf.DUMMYFUNCTION("""COMPUTED_VALUE"""),"recorder")</f>
        <v>recorder</v>
      </c>
      <c r="K1467" s="25" t="str">
        <f ca="1">IFERROR(__xludf.DUMMYFUNCTION("""COMPUTED_VALUE"""),"M.Gibson et al")</f>
        <v>M.Gibson et al</v>
      </c>
      <c r="L1467" s="27" t="str">
        <f ca="1">IFERROR(__xludf.DUMMYFUNCTION("""COMPUTED_VALUE"""),"closed")</f>
        <v>closed</v>
      </c>
      <c r="M1467" s="27"/>
      <c r="N1467" s="40" t="str">
        <f ca="1">IFERROR(__xludf.DUMMYFUNCTION("""COMPUTED_VALUE"""),"BBRC-ok")</f>
        <v>BBRC-ok</v>
      </c>
      <c r="O1467" s="74" t="str">
        <f ca="1">IFERROR(__xludf.DUMMYFUNCTION("""COMPUTED_VALUE"""),"Frodsham, adult, 28th April to 1st May, photo.")</f>
        <v>Frodsham, adult, 28th April to 1st May, photo.</v>
      </c>
      <c r="P1467" s="25"/>
      <c r="Q1467" s="25"/>
      <c r="R1467" s="40"/>
      <c r="S1467" s="25"/>
      <c r="T1467" s="25"/>
      <c r="U1467" s="25"/>
      <c r="V1467" s="25"/>
      <c r="W1467" s="25"/>
      <c r="X1467" s="25"/>
      <c r="Y1467" s="25"/>
      <c r="Z1467" s="25"/>
      <c r="AA1467" s="25"/>
      <c r="AB1467" s="25"/>
      <c r="AC1467" s="25"/>
      <c r="AD1467" s="25"/>
      <c r="AE1467" s="25"/>
      <c r="AF1467" s="25"/>
      <c r="AG1467" s="25"/>
      <c r="AH1467" s="25"/>
      <c r="AI1467" s="25"/>
      <c r="AJ1467" s="25"/>
      <c r="AK1467" s="25"/>
      <c r="AL1467" s="25"/>
      <c r="AM1467" s="25"/>
      <c r="AN1467" s="25"/>
      <c r="AO1467" s="25"/>
      <c r="AP1467" s="25"/>
      <c r="AQ1467" s="25"/>
      <c r="AR1467" s="25"/>
      <c r="AS1467" s="25"/>
      <c r="AT1467" s="25"/>
      <c r="AU1467" s="25"/>
      <c r="AV1467" s="25"/>
      <c r="AW1467" s="25"/>
      <c r="AX1467" s="25"/>
      <c r="AY1467" s="25"/>
      <c r="AZ1467" s="25"/>
      <c r="BA1467" s="25"/>
      <c r="BB1467" s="25"/>
      <c r="BC1467" s="25"/>
      <c r="BD1467" s="25"/>
      <c r="BE1467" s="25"/>
      <c r="BF1467" s="25"/>
      <c r="BG1467" s="25"/>
      <c r="BH1467" s="25"/>
      <c r="BI1467" s="25"/>
      <c r="BJ1467" s="25"/>
      <c r="BK1467" s="25"/>
      <c r="BL1467" s="25"/>
      <c r="BM1467" s="25"/>
      <c r="BN1467" s="25"/>
      <c r="BO1467" s="25"/>
      <c r="BP1467" s="25"/>
      <c r="BQ1467" s="25"/>
      <c r="BR1467" s="25"/>
      <c r="BS1467" s="25"/>
      <c r="BT1467" s="25"/>
      <c r="BU1467" s="25"/>
      <c r="BV1467" s="25"/>
      <c r="BW1467" s="25"/>
      <c r="BX1467" s="25"/>
      <c r="BY1467" s="25"/>
      <c r="BZ1467" s="25"/>
      <c r="CA1467" s="25"/>
      <c r="CB1467" s="25"/>
    </row>
    <row r="1468" spans="1:80" ht="12.75" hidden="1" customHeight="1">
      <c r="A1468" s="10">
        <f ca="1">IFERROR(__xludf.DUMMYFUNCTION("""COMPUTED_VALUE"""),2021)</f>
        <v>2021</v>
      </c>
      <c r="B1468" s="50">
        <f ca="1">IFERROR(__xludf.DUMMYFUNCTION("""COMPUTED_VALUE"""),44568)</f>
        <v>44568</v>
      </c>
      <c r="C1468" s="41"/>
      <c r="D1468" s="42" t="str">
        <f ca="1">IFERROR(__xludf.DUMMYFUNCTION("""COMPUTED_VALUE"""),"Collared Pratincole")</f>
        <v>Collared Pratincole</v>
      </c>
      <c r="E1468" s="53">
        <f ca="1">IFERROR(__xludf.DUMMYFUNCTION("""COMPUTED_VALUE"""),1)</f>
        <v>1</v>
      </c>
      <c r="F1468" s="15"/>
      <c r="G1468" s="44" t="str">
        <f ca="1">IFERROR(__xludf.DUMMYFUNCTION("""COMPUTED_VALUE"""),"Leasowe")</f>
        <v>Leasowe</v>
      </c>
      <c r="H1468" s="12">
        <f ca="1">IFERROR(__xludf.DUMMYFUNCTION("""COMPUTED_VALUE"""),44308)</f>
        <v>44308</v>
      </c>
      <c r="I1468" s="12">
        <f ca="1">IFERROR(__xludf.DUMMYFUNCTION("""COMPUTED_VALUE"""),44330)</f>
        <v>44330</v>
      </c>
      <c r="J1468" s="14" t="str">
        <f ca="1">IFERROR(__xludf.DUMMYFUNCTION("""COMPUTED_VALUE"""),"recorder")</f>
        <v>recorder</v>
      </c>
      <c r="K1468" s="15" t="str">
        <f ca="1">IFERROR(__xludf.DUMMYFUNCTION("""COMPUTED_VALUE"""),"D. Bradley,J Bradshaw")</f>
        <v>D. Bradley,J Bradshaw</v>
      </c>
      <c r="L1468" s="17" t="str">
        <f ca="1">IFERROR(__xludf.DUMMYFUNCTION("""COMPUTED_VALUE"""),"closed")</f>
        <v>closed</v>
      </c>
      <c r="M1468" s="17"/>
      <c r="N1468" s="58" t="str">
        <f ca="1">IFERROR(__xludf.DUMMYFUNCTION("""COMPUTED_VALUE"""),"BBRC OK")</f>
        <v>BBRC OK</v>
      </c>
      <c r="O1468" s="18" t="str">
        <f ca="1">IFERROR(__xludf.DUMMYFUNCTION("""COMPUTED_VALUE"""),"Same 14/5/21")</f>
        <v>Same 14/5/21</v>
      </c>
      <c r="P1468" s="15"/>
      <c r="Q1468" s="58"/>
      <c r="R1468" s="15"/>
      <c r="S1468" s="15"/>
      <c r="T1468" s="15"/>
      <c r="U1468" s="15"/>
      <c r="V1468" s="15"/>
      <c r="W1468" s="15"/>
      <c r="X1468" s="15"/>
      <c r="Y1468" s="15"/>
      <c r="Z1468" s="15"/>
      <c r="AA1468" s="15"/>
      <c r="AB1468" s="15"/>
      <c r="AC1468" s="15"/>
      <c r="AD1468" s="15"/>
      <c r="AE1468" s="15"/>
      <c r="AF1468" s="15"/>
      <c r="AG1468" s="15"/>
      <c r="AH1468" s="15"/>
      <c r="AI1468" s="15"/>
      <c r="AJ1468" s="15"/>
      <c r="AK1468" s="15"/>
      <c r="AL1468" s="15"/>
      <c r="AM1468" s="15"/>
      <c r="AN1468" s="15"/>
      <c r="AO1468" s="15"/>
      <c r="AP1468" s="15"/>
      <c r="AQ1468" s="15"/>
      <c r="AR1468" s="15"/>
      <c r="AS1468" s="15"/>
      <c r="AT1468" s="15"/>
      <c r="AU1468" s="15"/>
      <c r="AV1468" s="15"/>
      <c r="AW1468" s="15"/>
      <c r="AX1468" s="15"/>
      <c r="AY1468" s="15"/>
      <c r="AZ1468" s="15"/>
      <c r="BA1468" s="15"/>
      <c r="BB1468" s="15"/>
      <c r="BC1468" s="15"/>
      <c r="BD1468" s="15"/>
      <c r="BE1468" s="15"/>
      <c r="BF1468" s="15"/>
      <c r="BG1468" s="15"/>
      <c r="BH1468" s="15"/>
      <c r="BI1468" s="15"/>
      <c r="BJ1468" s="15"/>
      <c r="BK1468" s="15"/>
      <c r="BL1468" s="15"/>
      <c r="BM1468" s="15"/>
      <c r="BN1468" s="15"/>
      <c r="BO1468" s="15"/>
      <c r="BP1468" s="15"/>
      <c r="BQ1468" s="15"/>
      <c r="BR1468" s="15"/>
      <c r="BS1468" s="15"/>
      <c r="BT1468" s="15"/>
      <c r="BU1468" s="15"/>
      <c r="BV1468" s="15"/>
      <c r="BW1468" s="15"/>
      <c r="BX1468" s="15"/>
      <c r="BY1468" s="15"/>
      <c r="BZ1468" s="15"/>
      <c r="CA1468" s="15"/>
      <c r="CB1468" s="15"/>
    </row>
    <row r="1469" spans="1:80" ht="12.75" hidden="1" customHeight="1">
      <c r="A1469" s="20">
        <f ca="1">IFERROR(__xludf.DUMMYFUNCTION("""COMPUTED_VALUE"""),2021)</f>
        <v>2021</v>
      </c>
      <c r="B1469" s="45">
        <f ca="1">IFERROR(__xludf.DUMMYFUNCTION("""COMPUTED_VALUE"""),44564)</f>
        <v>44564</v>
      </c>
      <c r="C1469" s="46"/>
      <c r="D1469" s="47" t="str">
        <f ca="1">IFERROR(__xludf.DUMMYFUNCTION("""COMPUTED_VALUE"""),"Sabine's Gull")</f>
        <v>Sabine's Gull</v>
      </c>
      <c r="E1469" s="52">
        <f ca="1">IFERROR(__xludf.DUMMYFUNCTION("""COMPUTED_VALUE"""),1)</f>
        <v>1</v>
      </c>
      <c r="F1469" s="25" t="str">
        <f ca="1">IFERROR(__xludf.DUMMYFUNCTION("""COMPUTED_VALUE"""),"juv")</f>
        <v>juv</v>
      </c>
      <c r="G1469" s="48" t="str">
        <f ca="1">IFERROR(__xludf.DUMMYFUNCTION("""COMPUTED_VALUE"""),"Hilbre")</f>
        <v>Hilbre</v>
      </c>
      <c r="H1469" s="22">
        <f ca="1">IFERROR(__xludf.DUMMYFUNCTION("""COMPUTED_VALUE"""),44474)</f>
        <v>44474</v>
      </c>
      <c r="I1469" s="23"/>
      <c r="J1469" s="24" t="str">
        <f ca="1">IFERROR(__xludf.DUMMYFUNCTION("""COMPUTED_VALUE"""),"County recorder")</f>
        <v>County recorder</v>
      </c>
      <c r="K1469" s="25" t="str">
        <f ca="1">IFERROR(__xludf.DUMMYFUNCTION("""COMPUTED_VALUE"""),"Williams, SR")</f>
        <v>Williams, SR</v>
      </c>
      <c r="L1469" s="27" t="str">
        <f ca="1">IFERROR(__xludf.DUMMYFUNCTION("""COMPUTED_VALUE"""),"closed")</f>
        <v>closed</v>
      </c>
      <c r="M1469" s="27" t="str">
        <f ca="1">IFERROR(__xludf.DUMMYFUNCTION("""COMPUTED_VALUE"""),"photo")</f>
        <v>photo</v>
      </c>
      <c r="N1469" s="25" t="str">
        <f ca="1">IFERROR(__xludf.DUMMYFUNCTION("""COMPUTED_VALUE"""),"Accepted w/o circ")</f>
        <v>Accepted w/o circ</v>
      </c>
      <c r="O1469" s="28" t="str">
        <f ca="1">IFERROR(__xludf.DUMMYFUNCTION("""COMPUTED_VALUE"""),"Photos")</f>
        <v>Photos</v>
      </c>
      <c r="P1469" s="25"/>
      <c r="Q1469" s="25"/>
      <c r="R1469" s="25"/>
      <c r="S1469" s="25"/>
      <c r="T1469" s="25"/>
      <c r="U1469" s="25"/>
      <c r="V1469" s="25"/>
      <c r="W1469" s="25"/>
      <c r="X1469" s="25"/>
      <c r="Y1469" s="25"/>
      <c r="Z1469" s="25"/>
      <c r="AA1469" s="25"/>
      <c r="AB1469" s="25"/>
      <c r="AC1469" s="25"/>
      <c r="AD1469" s="25"/>
      <c r="AE1469" s="25"/>
      <c r="AF1469" s="25"/>
      <c r="AG1469" s="25"/>
      <c r="AH1469" s="25"/>
      <c r="AI1469" s="25"/>
      <c r="AJ1469" s="25"/>
      <c r="AK1469" s="25"/>
      <c r="AL1469" s="25"/>
      <c r="AM1469" s="25"/>
      <c r="AN1469" s="25"/>
      <c r="AO1469" s="25"/>
      <c r="AP1469" s="25"/>
      <c r="AQ1469" s="25"/>
      <c r="AR1469" s="25"/>
      <c r="AS1469" s="25"/>
      <c r="AT1469" s="25"/>
      <c r="AU1469" s="25"/>
      <c r="AV1469" s="25"/>
      <c r="AW1469" s="25"/>
      <c r="AX1469" s="25"/>
      <c r="AY1469" s="25"/>
      <c r="AZ1469" s="25"/>
      <c r="BA1469" s="25"/>
      <c r="BB1469" s="25"/>
      <c r="BC1469" s="25"/>
      <c r="BD1469" s="25"/>
      <c r="BE1469" s="25"/>
      <c r="BF1469" s="25"/>
      <c r="BG1469" s="25"/>
      <c r="BH1469" s="25"/>
      <c r="BI1469" s="25"/>
      <c r="BJ1469" s="25"/>
      <c r="BK1469" s="25"/>
      <c r="BL1469" s="25"/>
      <c r="BM1469" s="25"/>
      <c r="BN1469" s="25"/>
      <c r="BO1469" s="25"/>
      <c r="BP1469" s="25"/>
      <c r="BQ1469" s="25"/>
      <c r="BR1469" s="25"/>
      <c r="BS1469" s="25"/>
      <c r="BT1469" s="25"/>
      <c r="BU1469" s="25"/>
      <c r="BV1469" s="25"/>
      <c r="BW1469" s="25"/>
      <c r="BX1469" s="25"/>
      <c r="BY1469" s="25"/>
      <c r="BZ1469" s="25"/>
      <c r="CA1469" s="25"/>
      <c r="CB1469" s="25"/>
    </row>
    <row r="1470" spans="1:80" ht="12.75" hidden="1" customHeight="1">
      <c r="A1470" s="10">
        <f ca="1">IFERROR(__xludf.DUMMYFUNCTION("""COMPUTED_VALUE"""),2021)</f>
        <v>2021</v>
      </c>
      <c r="B1470" s="50">
        <f ca="1">IFERROR(__xludf.DUMMYFUNCTION("""COMPUTED_VALUE"""),44735)</f>
        <v>44735</v>
      </c>
      <c r="C1470" s="41">
        <f ca="1">IFERROR(__xludf.DUMMYFUNCTION("""COMPUTED_VALUE"""),44592)</f>
        <v>44592</v>
      </c>
      <c r="D1470" s="42" t="str">
        <f ca="1">IFERROR(__xludf.DUMMYFUNCTION("""COMPUTED_VALUE"""),"Bonaparte's Gull")</f>
        <v>Bonaparte's Gull</v>
      </c>
      <c r="E1470" s="53">
        <f ca="1">IFERROR(__xludf.DUMMYFUNCTION("""COMPUTED_VALUE"""),1)</f>
        <v>1</v>
      </c>
      <c r="F1470" s="15" t="str">
        <f ca="1">IFERROR(__xludf.DUMMYFUNCTION("""COMPUTED_VALUE"""),"1st sum")</f>
        <v>1st sum</v>
      </c>
      <c r="G1470" s="44" t="str">
        <f ca="1">IFERROR(__xludf.DUMMYFUNCTION("""COMPUTED_VALUE"""),"Inner Marsh Farm RSPB")</f>
        <v>Inner Marsh Farm RSPB</v>
      </c>
      <c r="H1470" s="12">
        <f ca="1">IFERROR(__xludf.DUMMYFUNCTION("""COMPUTED_VALUE"""),44339)</f>
        <v>44339</v>
      </c>
      <c r="I1470" s="13"/>
      <c r="J1470" s="14" t="str">
        <f ca="1">IFERROR(__xludf.DUMMYFUNCTION("""COMPUTED_VALUE"""),"Tom Giles")</f>
        <v>Tom Giles</v>
      </c>
      <c r="K1470" s="15" t="str">
        <f ca="1">IFERROR(__xludf.DUMMYFUNCTION("""COMPUTED_VALUE"""),"Tom Giles")</f>
        <v>Tom Giles</v>
      </c>
      <c r="L1470" s="17" t="str">
        <f ca="1">IFERROR(__xludf.DUMMYFUNCTION("""COMPUTED_VALUE"""),"closed")</f>
        <v>closed</v>
      </c>
      <c r="M1470" s="17"/>
      <c r="N1470" s="15" t="str">
        <f ca="1">IFERROR(__xludf.DUMMYFUNCTION("""COMPUTED_VALUE"""),"BBRC OK")</f>
        <v>BBRC OK</v>
      </c>
      <c r="O1470" s="18"/>
      <c r="P1470" s="15"/>
      <c r="Q1470" s="15"/>
      <c r="R1470" s="58"/>
      <c r="S1470" s="15"/>
      <c r="T1470" s="15"/>
      <c r="U1470" s="15"/>
      <c r="V1470" s="15"/>
      <c r="W1470" s="15"/>
      <c r="X1470" s="15"/>
      <c r="Y1470" s="15"/>
      <c r="Z1470" s="15"/>
      <c r="AA1470" s="15"/>
      <c r="AB1470" s="15"/>
      <c r="AC1470" s="15"/>
      <c r="AD1470" s="15"/>
      <c r="AE1470" s="15"/>
      <c r="AF1470" s="15"/>
      <c r="AG1470" s="15"/>
      <c r="AH1470" s="15"/>
      <c r="AI1470" s="15"/>
      <c r="AJ1470" s="15"/>
      <c r="AK1470" s="15"/>
      <c r="AL1470" s="15"/>
      <c r="AM1470" s="15"/>
      <c r="AN1470" s="15"/>
      <c r="AO1470" s="15"/>
      <c r="AP1470" s="15"/>
      <c r="AQ1470" s="15"/>
      <c r="AR1470" s="15"/>
      <c r="AS1470" s="15"/>
      <c r="AT1470" s="15"/>
      <c r="AU1470" s="15"/>
      <c r="AV1470" s="15"/>
      <c r="AW1470" s="15"/>
      <c r="AX1470" s="15"/>
      <c r="AY1470" s="15"/>
      <c r="AZ1470" s="15"/>
      <c r="BA1470" s="15"/>
      <c r="BB1470" s="15"/>
      <c r="BC1470" s="15"/>
      <c r="BD1470" s="15"/>
      <c r="BE1470" s="15"/>
      <c r="BF1470" s="15"/>
      <c r="BG1470" s="15"/>
      <c r="BH1470" s="15"/>
      <c r="BI1470" s="15"/>
      <c r="BJ1470" s="15"/>
      <c r="BK1470" s="15"/>
      <c r="BL1470" s="15"/>
      <c r="BM1470" s="15"/>
      <c r="BN1470" s="15"/>
      <c r="BO1470" s="15"/>
      <c r="BP1470" s="15"/>
      <c r="BQ1470" s="15"/>
      <c r="BR1470" s="15"/>
      <c r="BS1470" s="15"/>
      <c r="BT1470" s="15"/>
      <c r="BU1470" s="15"/>
      <c r="BV1470" s="15"/>
      <c r="BW1470" s="15"/>
      <c r="BX1470" s="15"/>
      <c r="BY1470" s="15"/>
      <c r="BZ1470" s="15"/>
      <c r="CA1470" s="15"/>
      <c r="CB1470" s="15"/>
    </row>
    <row r="1471" spans="1:80" ht="12.75" hidden="1" customHeight="1">
      <c r="A1471" s="20">
        <f ca="1">IFERROR(__xludf.DUMMYFUNCTION("""COMPUTED_VALUE"""),2021)</f>
        <v>2021</v>
      </c>
      <c r="B1471" s="45">
        <f ca="1">IFERROR(__xludf.DUMMYFUNCTION("""COMPUTED_VALUE"""),44568)</f>
        <v>44568</v>
      </c>
      <c r="C1471" s="46"/>
      <c r="D1471" s="47" t="str">
        <f ca="1">IFERROR(__xludf.DUMMYFUNCTION("""COMPUTED_VALUE"""),"Caspian Gull")</f>
        <v>Caspian Gull</v>
      </c>
      <c r="E1471" s="52">
        <f ca="1">IFERROR(__xludf.DUMMYFUNCTION("""COMPUTED_VALUE"""),1)</f>
        <v>1</v>
      </c>
      <c r="F1471" s="25" t="str">
        <f ca="1">IFERROR(__xludf.DUMMYFUNCTION("""COMPUTED_VALUE"""),"1stW")</f>
        <v>1stW</v>
      </c>
      <c r="G1471" s="71" t="str">
        <f ca="1">IFERROR(__xludf.DUMMYFUNCTION("""COMPUTED_VALUE"""),"Oakmere, Delamere Lake")</f>
        <v>Oakmere, Delamere Lake</v>
      </c>
      <c r="H1471" s="22">
        <f ca="1">IFERROR(__xludf.DUMMYFUNCTION("""COMPUTED_VALUE"""),44215)</f>
        <v>44215</v>
      </c>
      <c r="I1471" s="22">
        <f ca="1">IFERROR(__xludf.DUMMYFUNCTION("""COMPUTED_VALUE"""),44211)</f>
        <v>44211</v>
      </c>
      <c r="J1471" s="24" t="str">
        <f ca="1">IFERROR(__xludf.DUMMYFUNCTION("""COMPUTED_VALUE"""),"Bird guides")</f>
        <v>Bird guides</v>
      </c>
      <c r="K1471" s="25"/>
      <c r="L1471" s="27" t="str">
        <f ca="1">IFERROR(__xludf.DUMMYFUNCTION("""COMPUTED_VALUE"""),"limbo")</f>
        <v>limbo</v>
      </c>
      <c r="M1471" s="27"/>
      <c r="N1471" s="25" t="str">
        <f ca="1">IFERROR(__xludf.DUMMYFUNCTION("""COMPUTED_VALUE"""),"not submitted")</f>
        <v>not submitted</v>
      </c>
      <c r="O1471" s="28"/>
      <c r="P1471" s="25"/>
      <c r="Q1471" s="25"/>
      <c r="R1471" s="25"/>
      <c r="S1471" s="25"/>
      <c r="T1471" s="25"/>
      <c r="U1471" s="25"/>
      <c r="V1471" s="25"/>
      <c r="W1471" s="25"/>
      <c r="X1471" s="25"/>
      <c r="Y1471" s="25"/>
      <c r="Z1471" s="25"/>
      <c r="AA1471" s="25"/>
      <c r="AB1471" s="25"/>
      <c r="AC1471" s="25"/>
      <c r="AD1471" s="25"/>
      <c r="AE1471" s="25"/>
      <c r="AF1471" s="25"/>
      <c r="AG1471" s="25"/>
      <c r="AH1471" s="25"/>
      <c r="AI1471" s="25"/>
      <c r="AJ1471" s="25"/>
      <c r="AK1471" s="25"/>
      <c r="AL1471" s="25"/>
      <c r="AM1471" s="25"/>
      <c r="AN1471" s="25"/>
      <c r="AO1471" s="25"/>
      <c r="AP1471" s="25"/>
      <c r="AQ1471" s="25"/>
      <c r="AR1471" s="25"/>
      <c r="AS1471" s="25"/>
      <c r="AT1471" s="25"/>
      <c r="AU1471" s="25"/>
      <c r="AV1471" s="25"/>
      <c r="AW1471" s="25"/>
      <c r="AX1471" s="25"/>
      <c r="AY1471" s="25"/>
      <c r="AZ1471" s="25"/>
      <c r="BA1471" s="25"/>
      <c r="BB1471" s="25"/>
      <c r="BC1471" s="25"/>
      <c r="BD1471" s="25"/>
      <c r="BE1471" s="25"/>
      <c r="BF1471" s="25"/>
      <c r="BG1471" s="25"/>
      <c r="BH1471" s="25"/>
      <c r="BI1471" s="25"/>
      <c r="BJ1471" s="25"/>
      <c r="BK1471" s="25"/>
      <c r="BL1471" s="25"/>
      <c r="BM1471" s="25"/>
      <c r="BN1471" s="25"/>
      <c r="BO1471" s="25"/>
      <c r="BP1471" s="25"/>
      <c r="BQ1471" s="25"/>
      <c r="BR1471" s="25"/>
      <c r="BS1471" s="25"/>
      <c r="BT1471" s="25"/>
      <c r="BU1471" s="25"/>
      <c r="BV1471" s="25"/>
      <c r="BW1471" s="25"/>
      <c r="BX1471" s="25"/>
      <c r="BY1471" s="25"/>
      <c r="BZ1471" s="25"/>
      <c r="CA1471" s="25"/>
      <c r="CB1471" s="25"/>
    </row>
    <row r="1472" spans="1:80" ht="12.75" hidden="1" customHeight="1">
      <c r="A1472" s="10">
        <f ca="1">IFERROR(__xludf.DUMMYFUNCTION("""COMPUTED_VALUE"""),2021)</f>
        <v>2021</v>
      </c>
      <c r="B1472" s="50">
        <f ca="1">IFERROR(__xludf.DUMMYFUNCTION("""COMPUTED_VALUE"""),44568)</f>
        <v>44568</v>
      </c>
      <c r="C1472" s="41"/>
      <c r="D1472" s="42" t="str">
        <f ca="1">IFERROR(__xludf.DUMMYFUNCTION("""COMPUTED_VALUE"""),"Caspian Gull")</f>
        <v>Caspian Gull</v>
      </c>
      <c r="E1472" s="53">
        <f ca="1">IFERROR(__xludf.DUMMYFUNCTION("""COMPUTED_VALUE"""),1)</f>
        <v>1</v>
      </c>
      <c r="F1472" s="15" t="str">
        <f ca="1">IFERROR(__xludf.DUMMYFUNCTION("""COMPUTED_VALUE"""),"adult")</f>
        <v>adult</v>
      </c>
      <c r="G1472" s="62" t="str">
        <f ca="1">IFERROR(__xludf.DUMMYFUNCTION("""COMPUTED_VALUE"""),"Rostherne Mere NNR")</f>
        <v>Rostherne Mere NNR</v>
      </c>
      <c r="H1472" s="12">
        <f ca="1">IFERROR(__xludf.DUMMYFUNCTION("""COMPUTED_VALUE"""),44220)</f>
        <v>44220</v>
      </c>
      <c r="I1472" s="13"/>
      <c r="J1472" s="14" t="str">
        <f ca="1">IFERROR(__xludf.DUMMYFUNCTION("""COMPUTED_VALUE"""),"Bird guides")</f>
        <v>Bird guides</v>
      </c>
      <c r="K1472" s="15"/>
      <c r="L1472" s="17" t="str">
        <f ca="1">IFERROR(__xludf.DUMMYFUNCTION("""COMPUTED_VALUE"""),"limbo")</f>
        <v>limbo</v>
      </c>
      <c r="M1472" s="17"/>
      <c r="N1472" s="15" t="str">
        <f ca="1">IFERROR(__xludf.DUMMYFUNCTION("""COMPUTED_VALUE"""),"not submitted")</f>
        <v>not submitted</v>
      </c>
      <c r="O1472" s="18"/>
      <c r="P1472" s="15"/>
      <c r="Q1472" s="58"/>
      <c r="R1472" s="58"/>
      <c r="S1472" s="15"/>
      <c r="T1472" s="15"/>
      <c r="U1472" s="15"/>
      <c r="V1472" s="15"/>
      <c r="W1472" s="15"/>
      <c r="X1472" s="15"/>
      <c r="Y1472" s="15"/>
      <c r="Z1472" s="15"/>
      <c r="AA1472" s="15"/>
      <c r="AB1472" s="15"/>
      <c r="AC1472" s="15"/>
      <c r="AD1472" s="15"/>
      <c r="AE1472" s="15"/>
      <c r="AF1472" s="15"/>
      <c r="AG1472" s="15"/>
      <c r="AH1472" s="15"/>
      <c r="AI1472" s="15"/>
      <c r="AJ1472" s="15"/>
      <c r="AK1472" s="15"/>
      <c r="AL1472" s="15"/>
      <c r="AM1472" s="15"/>
      <c r="AN1472" s="15"/>
      <c r="AO1472" s="15"/>
      <c r="AP1472" s="15"/>
      <c r="AQ1472" s="15"/>
      <c r="AR1472" s="15"/>
      <c r="AS1472" s="15"/>
      <c r="AT1472" s="15"/>
      <c r="AU1472" s="15"/>
      <c r="AV1472" s="15"/>
      <c r="AW1472" s="15"/>
      <c r="AX1472" s="15"/>
      <c r="AY1472" s="15"/>
      <c r="AZ1472" s="15"/>
      <c r="BA1472" s="15"/>
      <c r="BB1472" s="15"/>
      <c r="BC1472" s="15"/>
      <c r="BD1472" s="15"/>
      <c r="BE1472" s="15"/>
      <c r="BF1472" s="15"/>
      <c r="BG1472" s="15"/>
      <c r="BH1472" s="15"/>
      <c r="BI1472" s="15"/>
      <c r="BJ1472" s="15"/>
      <c r="BK1472" s="15"/>
      <c r="BL1472" s="15"/>
      <c r="BM1472" s="15"/>
      <c r="BN1472" s="15"/>
      <c r="BO1472" s="15"/>
      <c r="BP1472" s="15"/>
      <c r="BQ1472" s="15"/>
      <c r="BR1472" s="15"/>
      <c r="BS1472" s="15"/>
      <c r="BT1472" s="15"/>
      <c r="BU1472" s="15"/>
      <c r="BV1472" s="15"/>
      <c r="BW1472" s="15"/>
      <c r="BX1472" s="15"/>
      <c r="BY1472" s="15"/>
      <c r="BZ1472" s="15"/>
      <c r="CA1472" s="15"/>
      <c r="CB1472" s="15"/>
    </row>
    <row r="1473" spans="1:80" ht="12.75" hidden="1" customHeight="1">
      <c r="A1473" s="20">
        <f ca="1">IFERROR(__xludf.DUMMYFUNCTION("""COMPUTED_VALUE"""),2021)</f>
        <v>2021</v>
      </c>
      <c r="B1473" s="45">
        <f ca="1">IFERROR(__xludf.DUMMYFUNCTION("""COMPUTED_VALUE"""),44568)</f>
        <v>44568</v>
      </c>
      <c r="C1473" s="46"/>
      <c r="D1473" s="47" t="str">
        <f ca="1">IFERROR(__xludf.DUMMYFUNCTION("""COMPUTED_VALUE"""),"Caspian Gull")</f>
        <v>Caspian Gull</v>
      </c>
      <c r="E1473" s="52">
        <f ca="1">IFERROR(__xludf.DUMMYFUNCTION("""COMPUTED_VALUE"""),1)</f>
        <v>1</v>
      </c>
      <c r="F1473" s="25" t="str">
        <f ca="1">IFERROR(__xludf.DUMMYFUNCTION("""COMPUTED_VALUE"""),"1st W")</f>
        <v>1st W</v>
      </c>
      <c r="G1473" s="71" t="str">
        <f ca="1">IFERROR(__xludf.DUMMYFUNCTION("""COMPUTED_VALUE"""),"MSC and Woolston #3 and #4 bed")</f>
        <v>MSC and Woolston #3 and #4 bed</v>
      </c>
      <c r="H1473" s="22">
        <f ca="1">IFERROR(__xludf.DUMMYFUNCTION("""COMPUTED_VALUE"""),44233)</f>
        <v>44233</v>
      </c>
      <c r="I1473" s="79"/>
      <c r="J1473" s="73"/>
      <c r="K1473" s="25"/>
      <c r="L1473" s="27" t="str">
        <f ca="1">IFERROR(__xludf.DUMMYFUNCTION("""COMPUTED_VALUE"""),"limbo")</f>
        <v>limbo</v>
      </c>
      <c r="M1473" s="27"/>
      <c r="N1473" s="25" t="str">
        <f ca="1">IFERROR(__xludf.DUMMYFUNCTION("""COMPUTED_VALUE"""),"not submitted")</f>
        <v>not submitted</v>
      </c>
      <c r="O1473" s="74" t="str">
        <f ca="1">IFERROR(__xludf.DUMMYFUNCTION("""COMPUTED_VALUE"""),"named observer contacted")</f>
        <v>named observer contacted</v>
      </c>
      <c r="P1473" s="40"/>
      <c r="Q1473" s="25"/>
      <c r="R1473" s="40"/>
      <c r="S1473" s="25"/>
      <c r="T1473" s="25"/>
      <c r="U1473" s="25"/>
      <c r="V1473" s="25"/>
      <c r="W1473" s="25"/>
      <c r="X1473" s="25"/>
      <c r="Y1473" s="25"/>
      <c r="Z1473" s="25"/>
      <c r="AA1473" s="25"/>
      <c r="AB1473" s="25"/>
      <c r="AC1473" s="25"/>
      <c r="AD1473" s="25"/>
      <c r="AE1473" s="25"/>
      <c r="AF1473" s="25"/>
      <c r="AG1473" s="25"/>
      <c r="AH1473" s="25"/>
      <c r="AI1473" s="25"/>
      <c r="AJ1473" s="25"/>
      <c r="AK1473" s="25"/>
      <c r="AL1473" s="25"/>
      <c r="AM1473" s="25"/>
      <c r="AN1473" s="25"/>
      <c r="AO1473" s="25"/>
      <c r="AP1473" s="25"/>
      <c r="AQ1473" s="25"/>
      <c r="AR1473" s="25"/>
      <c r="AS1473" s="25"/>
      <c r="AT1473" s="25"/>
      <c r="AU1473" s="25"/>
      <c r="AV1473" s="25"/>
      <c r="AW1473" s="25"/>
      <c r="AX1473" s="25"/>
      <c r="AY1473" s="25"/>
      <c r="AZ1473" s="25"/>
      <c r="BA1473" s="25"/>
      <c r="BB1473" s="25"/>
      <c r="BC1473" s="25"/>
      <c r="BD1473" s="25"/>
      <c r="BE1473" s="25"/>
      <c r="BF1473" s="25"/>
      <c r="BG1473" s="25"/>
      <c r="BH1473" s="25"/>
      <c r="BI1473" s="25"/>
      <c r="BJ1473" s="25"/>
      <c r="BK1473" s="25"/>
      <c r="BL1473" s="25"/>
      <c r="BM1473" s="25"/>
      <c r="BN1473" s="25"/>
      <c r="BO1473" s="25"/>
      <c r="BP1473" s="25"/>
      <c r="BQ1473" s="25"/>
      <c r="BR1473" s="25"/>
      <c r="BS1473" s="25"/>
      <c r="BT1473" s="25"/>
      <c r="BU1473" s="25"/>
      <c r="BV1473" s="25"/>
      <c r="BW1473" s="25"/>
      <c r="BX1473" s="25"/>
      <c r="BY1473" s="25"/>
      <c r="BZ1473" s="25"/>
      <c r="CA1473" s="25"/>
      <c r="CB1473" s="25"/>
    </row>
    <row r="1474" spans="1:80" ht="12.75" hidden="1" customHeight="1">
      <c r="A1474" s="10">
        <f ca="1">IFERROR(__xludf.DUMMYFUNCTION("""COMPUTED_VALUE"""),2021)</f>
        <v>2021</v>
      </c>
      <c r="B1474" s="50">
        <f ca="1">IFERROR(__xludf.DUMMYFUNCTION("""COMPUTED_VALUE"""),44568)</f>
        <v>44568</v>
      </c>
      <c r="C1474" s="41"/>
      <c r="D1474" s="42" t="str">
        <f ca="1">IFERROR(__xludf.DUMMYFUNCTION("""COMPUTED_VALUE"""),"Caspian Gull")</f>
        <v>Caspian Gull</v>
      </c>
      <c r="E1474" s="53">
        <f ca="1">IFERROR(__xludf.DUMMYFUNCTION("""COMPUTED_VALUE"""),1)</f>
        <v>1</v>
      </c>
      <c r="F1474" s="15" t="str">
        <f ca="1">IFERROR(__xludf.DUMMYFUNCTION("""COMPUTED_VALUE"""),"Adult")</f>
        <v>Adult</v>
      </c>
      <c r="G1474" s="62" t="str">
        <f ca="1">IFERROR(__xludf.DUMMYFUNCTION("""COMPUTED_VALUE"""),"Marbury CP ")</f>
        <v xml:space="preserve">Marbury CP </v>
      </c>
      <c r="H1474" s="12">
        <f ca="1">IFERROR(__xludf.DUMMYFUNCTION("""COMPUTED_VALUE"""),44234)</f>
        <v>44234</v>
      </c>
      <c r="I1474" s="78"/>
      <c r="J1474" s="75" t="str">
        <f ca="1">IFERROR(__xludf.DUMMYFUNCTION("""COMPUTED_VALUE"""),"Bird guides")</f>
        <v>Bird guides</v>
      </c>
      <c r="K1474" s="15"/>
      <c r="L1474" s="17" t="str">
        <f ca="1">IFERROR(__xludf.DUMMYFUNCTION("""COMPUTED_VALUE"""),"limbo")</f>
        <v>limbo</v>
      </c>
      <c r="M1474" s="17"/>
      <c r="N1474" s="15" t="str">
        <f ca="1">IFERROR(__xludf.DUMMYFUNCTION("""COMPUTED_VALUE"""),"not submitted")</f>
        <v>not submitted</v>
      </c>
      <c r="O1474" s="76"/>
      <c r="P1474" s="58"/>
      <c r="Q1474" s="15"/>
      <c r="R1474" s="58"/>
      <c r="S1474" s="15"/>
      <c r="T1474" s="15"/>
      <c r="U1474" s="15"/>
      <c r="V1474" s="15"/>
      <c r="W1474" s="15"/>
      <c r="X1474" s="15"/>
      <c r="Y1474" s="15"/>
      <c r="Z1474" s="15"/>
      <c r="AA1474" s="15"/>
      <c r="AB1474" s="15"/>
      <c r="AC1474" s="15"/>
      <c r="AD1474" s="15"/>
      <c r="AE1474" s="15"/>
      <c r="AF1474" s="15"/>
      <c r="AG1474" s="15"/>
      <c r="AH1474" s="15"/>
      <c r="AI1474" s="15"/>
      <c r="AJ1474" s="15"/>
      <c r="AK1474" s="15"/>
      <c r="AL1474" s="15"/>
      <c r="AM1474" s="15"/>
      <c r="AN1474" s="15"/>
      <c r="AO1474" s="15"/>
      <c r="AP1474" s="15"/>
      <c r="AQ1474" s="15"/>
      <c r="AR1474" s="15"/>
      <c r="AS1474" s="15"/>
      <c r="AT1474" s="15"/>
      <c r="AU1474" s="15"/>
      <c r="AV1474" s="15"/>
      <c r="AW1474" s="15"/>
      <c r="AX1474" s="15"/>
      <c r="AY1474" s="15"/>
      <c r="AZ1474" s="15"/>
      <c r="BA1474" s="15"/>
      <c r="BB1474" s="15"/>
      <c r="BC1474" s="15"/>
      <c r="BD1474" s="15"/>
      <c r="BE1474" s="15"/>
      <c r="BF1474" s="15"/>
      <c r="BG1474" s="15"/>
      <c r="BH1474" s="15"/>
      <c r="BI1474" s="15"/>
      <c r="BJ1474" s="15"/>
      <c r="BK1474" s="15"/>
      <c r="BL1474" s="15"/>
      <c r="BM1474" s="15"/>
      <c r="BN1474" s="15"/>
      <c r="BO1474" s="15"/>
      <c r="BP1474" s="15"/>
      <c r="BQ1474" s="15"/>
      <c r="BR1474" s="15"/>
      <c r="BS1474" s="15"/>
      <c r="BT1474" s="15"/>
      <c r="BU1474" s="15"/>
      <c r="BV1474" s="15"/>
      <c r="BW1474" s="15"/>
      <c r="BX1474" s="15"/>
      <c r="BY1474" s="15"/>
      <c r="BZ1474" s="15"/>
      <c r="CA1474" s="15"/>
      <c r="CB1474" s="15"/>
    </row>
    <row r="1475" spans="1:80" ht="12.75" hidden="1" customHeight="1">
      <c r="A1475" s="20">
        <f ca="1">IFERROR(__xludf.DUMMYFUNCTION("""COMPUTED_VALUE"""),2021)</f>
        <v>2021</v>
      </c>
      <c r="B1475" s="45">
        <f ca="1">IFERROR(__xludf.DUMMYFUNCTION("""COMPUTED_VALUE"""),44568)</f>
        <v>44568</v>
      </c>
      <c r="C1475" s="46"/>
      <c r="D1475" s="47" t="str">
        <f ca="1">IFERROR(__xludf.DUMMYFUNCTION("""COMPUTED_VALUE"""),"Caspian Gull")</f>
        <v>Caspian Gull</v>
      </c>
      <c r="E1475" s="52">
        <f ca="1">IFERROR(__xludf.DUMMYFUNCTION("""COMPUTED_VALUE"""),1)</f>
        <v>1</v>
      </c>
      <c r="F1475" s="25" t="str">
        <f ca="1">IFERROR(__xludf.DUMMYFUNCTION("""COMPUTED_VALUE"""),"1st W")</f>
        <v>1st W</v>
      </c>
      <c r="G1475" s="71" t="str">
        <f ca="1">IFERROR(__xludf.DUMMYFUNCTION("""COMPUTED_VALUE"""),"Great Sankey, Gatewarth Industrial Estate")</f>
        <v>Great Sankey, Gatewarth Industrial Estate</v>
      </c>
      <c r="H1475" s="22">
        <f ca="1">IFERROR(__xludf.DUMMYFUNCTION("""COMPUTED_VALUE"""),44239)</f>
        <v>44239</v>
      </c>
      <c r="I1475" s="79"/>
      <c r="J1475" s="73" t="str">
        <f ca="1">IFERROR(__xludf.DUMMYFUNCTION("""COMPUTED_VALUE"""),"Bird guides")</f>
        <v>Bird guides</v>
      </c>
      <c r="K1475" s="25"/>
      <c r="L1475" s="27" t="str">
        <f ca="1">IFERROR(__xludf.DUMMYFUNCTION("""COMPUTED_VALUE"""),"limbo")</f>
        <v>limbo</v>
      </c>
      <c r="M1475" s="27"/>
      <c r="N1475" s="25" t="str">
        <f ca="1">IFERROR(__xludf.DUMMYFUNCTION("""COMPUTED_VALUE"""),"not submitted")</f>
        <v>not submitted</v>
      </c>
      <c r="O1475" s="74"/>
      <c r="P1475" s="40"/>
      <c r="Q1475" s="25"/>
      <c r="R1475" s="40"/>
      <c r="S1475" s="25"/>
      <c r="T1475" s="25"/>
      <c r="U1475" s="25"/>
      <c r="V1475" s="25"/>
      <c r="W1475" s="25"/>
      <c r="X1475" s="25"/>
      <c r="Y1475" s="25"/>
      <c r="Z1475" s="25"/>
      <c r="AA1475" s="25"/>
      <c r="AB1475" s="25"/>
      <c r="AC1475" s="25"/>
      <c r="AD1475" s="25"/>
      <c r="AE1475" s="25"/>
      <c r="AF1475" s="25"/>
      <c r="AG1475" s="25"/>
      <c r="AH1475" s="25"/>
      <c r="AI1475" s="25"/>
      <c r="AJ1475" s="25"/>
      <c r="AK1475" s="25"/>
      <c r="AL1475" s="25"/>
      <c r="AM1475" s="25"/>
      <c r="AN1475" s="25"/>
      <c r="AO1475" s="25"/>
      <c r="AP1475" s="25"/>
      <c r="AQ1475" s="25"/>
      <c r="AR1475" s="25"/>
      <c r="AS1475" s="25"/>
      <c r="AT1475" s="25"/>
      <c r="AU1475" s="25"/>
      <c r="AV1475" s="25"/>
      <c r="AW1475" s="25"/>
      <c r="AX1475" s="25"/>
      <c r="AY1475" s="25"/>
      <c r="AZ1475" s="25"/>
      <c r="BA1475" s="25"/>
      <c r="BB1475" s="25"/>
      <c r="BC1475" s="25"/>
      <c r="BD1475" s="25"/>
      <c r="BE1475" s="25"/>
      <c r="BF1475" s="25"/>
      <c r="BG1475" s="25"/>
      <c r="BH1475" s="25"/>
      <c r="BI1475" s="25"/>
      <c r="BJ1475" s="25"/>
      <c r="BK1475" s="25"/>
      <c r="BL1475" s="25"/>
      <c r="BM1475" s="25"/>
      <c r="BN1475" s="25"/>
      <c r="BO1475" s="25"/>
      <c r="BP1475" s="25"/>
      <c r="BQ1475" s="25"/>
      <c r="BR1475" s="25"/>
      <c r="BS1475" s="25"/>
      <c r="BT1475" s="25"/>
      <c r="BU1475" s="25"/>
      <c r="BV1475" s="25"/>
      <c r="BW1475" s="25"/>
      <c r="BX1475" s="25"/>
      <c r="BY1475" s="25"/>
      <c r="BZ1475" s="25"/>
      <c r="CA1475" s="25"/>
      <c r="CB1475" s="25"/>
    </row>
    <row r="1476" spans="1:80" ht="12.75" hidden="1" customHeight="1">
      <c r="A1476" s="10">
        <f ca="1">IFERROR(__xludf.DUMMYFUNCTION("""COMPUTED_VALUE"""),2021)</f>
        <v>2021</v>
      </c>
      <c r="B1476" s="50">
        <f ca="1">IFERROR(__xludf.DUMMYFUNCTION("""COMPUTED_VALUE"""),44568)</f>
        <v>44568</v>
      </c>
      <c r="C1476" s="41"/>
      <c r="D1476" s="42" t="str">
        <f ca="1">IFERROR(__xludf.DUMMYFUNCTION("""COMPUTED_VALUE"""),"Caspian Gull")</f>
        <v>Caspian Gull</v>
      </c>
      <c r="E1476" s="53">
        <f ca="1">IFERROR(__xludf.DUMMYFUNCTION("""COMPUTED_VALUE"""),1)</f>
        <v>1</v>
      </c>
      <c r="F1476" s="15" t="str">
        <f ca="1">IFERROR(__xludf.DUMMYFUNCTION("""COMPUTED_VALUE"""),"2nd W")</f>
        <v>2nd W</v>
      </c>
      <c r="G1476" s="62" t="str">
        <f ca="1">IFERROR(__xludf.DUMMYFUNCTION("""COMPUTED_VALUE"""),"Widnes, WSR recycling")</f>
        <v>Widnes, WSR recycling</v>
      </c>
      <c r="H1476" s="12">
        <f ca="1">IFERROR(__xludf.DUMMYFUNCTION("""COMPUTED_VALUE"""),44240)</f>
        <v>44240</v>
      </c>
      <c r="I1476" s="78"/>
      <c r="J1476" s="14" t="str">
        <f ca="1">IFERROR(__xludf.DUMMYFUNCTION("""COMPUTED_VALUE"""),"Bird guides")</f>
        <v>Bird guides</v>
      </c>
      <c r="K1476" s="15"/>
      <c r="L1476" s="17" t="str">
        <f ca="1">IFERROR(__xludf.DUMMYFUNCTION("""COMPUTED_VALUE"""),"limbo")</f>
        <v>limbo</v>
      </c>
      <c r="M1476" s="17"/>
      <c r="N1476" s="58" t="str">
        <f ca="1">IFERROR(__xludf.DUMMYFUNCTION("""COMPUTED_VALUE"""),"not submitted")</f>
        <v>not submitted</v>
      </c>
      <c r="O1476" s="18"/>
      <c r="P1476" s="58"/>
      <c r="Q1476" s="58"/>
      <c r="R1476" s="58"/>
      <c r="S1476" s="15"/>
      <c r="T1476" s="15"/>
      <c r="U1476" s="15"/>
      <c r="V1476" s="15"/>
      <c r="W1476" s="15"/>
      <c r="X1476" s="15"/>
      <c r="Y1476" s="15"/>
      <c r="Z1476" s="15"/>
      <c r="AA1476" s="15"/>
      <c r="AB1476" s="15"/>
      <c r="AC1476" s="15"/>
      <c r="AD1476" s="15"/>
      <c r="AE1476" s="15"/>
      <c r="AF1476" s="15"/>
      <c r="AG1476" s="15"/>
      <c r="AH1476" s="15"/>
      <c r="AI1476" s="15"/>
      <c r="AJ1476" s="15"/>
      <c r="AK1476" s="15"/>
      <c r="AL1476" s="15"/>
      <c r="AM1476" s="15"/>
      <c r="AN1476" s="15"/>
      <c r="AO1476" s="15"/>
      <c r="AP1476" s="15"/>
      <c r="AQ1476" s="15"/>
      <c r="AR1476" s="15"/>
      <c r="AS1476" s="15"/>
      <c r="AT1476" s="15"/>
      <c r="AU1476" s="15"/>
      <c r="AV1476" s="15"/>
      <c r="AW1476" s="15"/>
      <c r="AX1476" s="15"/>
      <c r="AY1476" s="15"/>
      <c r="AZ1476" s="15"/>
      <c r="BA1476" s="15"/>
      <c r="BB1476" s="15"/>
      <c r="BC1476" s="15"/>
      <c r="BD1476" s="15"/>
      <c r="BE1476" s="15"/>
      <c r="BF1476" s="15"/>
      <c r="BG1476" s="15"/>
      <c r="BH1476" s="15"/>
      <c r="BI1476" s="15"/>
      <c r="BJ1476" s="15"/>
      <c r="BK1476" s="15"/>
      <c r="BL1476" s="15"/>
      <c r="BM1476" s="15"/>
      <c r="BN1476" s="15"/>
      <c r="BO1476" s="15"/>
      <c r="BP1476" s="15"/>
      <c r="BQ1476" s="15"/>
      <c r="BR1476" s="15"/>
      <c r="BS1476" s="15"/>
      <c r="BT1476" s="15"/>
      <c r="BU1476" s="15"/>
      <c r="BV1476" s="15"/>
      <c r="BW1476" s="15"/>
      <c r="BX1476" s="15"/>
      <c r="BY1476" s="15"/>
      <c r="BZ1476" s="15"/>
      <c r="CA1476" s="15"/>
      <c r="CB1476" s="15"/>
    </row>
    <row r="1477" spans="1:80" ht="12.75" hidden="1" customHeight="1">
      <c r="A1477" s="20">
        <f ca="1">IFERROR(__xludf.DUMMYFUNCTION("""COMPUTED_VALUE"""),2021)</f>
        <v>2021</v>
      </c>
      <c r="B1477" s="45">
        <f ca="1">IFERROR(__xludf.DUMMYFUNCTION("""COMPUTED_VALUE"""),44568)</f>
        <v>44568</v>
      </c>
      <c r="C1477" s="46"/>
      <c r="D1477" s="47" t="str">
        <f ca="1">IFERROR(__xludf.DUMMYFUNCTION("""COMPUTED_VALUE"""),"Caspian Gull")</f>
        <v>Caspian Gull</v>
      </c>
      <c r="E1477" s="52">
        <f ca="1">IFERROR(__xludf.DUMMYFUNCTION("""COMPUTED_VALUE"""),1)</f>
        <v>1</v>
      </c>
      <c r="F1477" s="25" t="str">
        <f ca="1">IFERROR(__xludf.DUMMYFUNCTION("""COMPUTED_VALUE"""),"1st W")</f>
        <v>1st W</v>
      </c>
      <c r="G1477" s="48" t="str">
        <f ca="1">IFERROR(__xludf.DUMMYFUNCTION("""COMPUTED_VALUE"""),"Fourways SQ")</f>
        <v>Fourways SQ</v>
      </c>
      <c r="H1477" s="22">
        <f ca="1">IFERROR(__xludf.DUMMYFUNCTION("""COMPUTED_VALUE"""),44245)</f>
        <v>44245</v>
      </c>
      <c r="I1477" s="23"/>
      <c r="J1477" s="24" t="str">
        <f ca="1">IFERROR(__xludf.DUMMYFUNCTION("""COMPUTED_VALUE"""),"Bird guides")</f>
        <v>Bird guides</v>
      </c>
      <c r="K1477" s="25"/>
      <c r="L1477" s="27" t="str">
        <f ca="1">IFERROR(__xludf.DUMMYFUNCTION("""COMPUTED_VALUE"""),"limbo")</f>
        <v>limbo</v>
      </c>
      <c r="M1477" s="27"/>
      <c r="N1477" s="40" t="str">
        <f ca="1">IFERROR(__xludf.DUMMYFUNCTION("""COMPUTED_VALUE"""),"not submitted")</f>
        <v>not submitted</v>
      </c>
      <c r="O1477" s="28"/>
      <c r="P1477" s="40"/>
      <c r="Q1477" s="25"/>
      <c r="R1477" s="25"/>
      <c r="S1477" s="25"/>
      <c r="T1477" s="25"/>
      <c r="U1477" s="25"/>
      <c r="V1477" s="25"/>
      <c r="W1477" s="25"/>
      <c r="X1477" s="25"/>
      <c r="Y1477" s="25"/>
      <c r="Z1477" s="25"/>
      <c r="AA1477" s="25"/>
      <c r="AB1477" s="25"/>
      <c r="AC1477" s="25"/>
      <c r="AD1477" s="25"/>
      <c r="AE1477" s="25"/>
      <c r="AF1477" s="25"/>
      <c r="AG1477" s="25"/>
      <c r="AH1477" s="25"/>
      <c r="AI1477" s="25"/>
      <c r="AJ1477" s="25"/>
      <c r="AK1477" s="25"/>
      <c r="AL1477" s="25"/>
      <c r="AM1477" s="25"/>
      <c r="AN1477" s="25"/>
      <c r="AO1477" s="25"/>
      <c r="AP1477" s="25"/>
      <c r="AQ1477" s="25"/>
      <c r="AR1477" s="25"/>
      <c r="AS1477" s="25"/>
      <c r="AT1477" s="25"/>
      <c r="AU1477" s="25"/>
      <c r="AV1477" s="25"/>
      <c r="AW1477" s="25"/>
      <c r="AX1477" s="25"/>
      <c r="AY1477" s="25"/>
      <c r="AZ1477" s="25"/>
      <c r="BA1477" s="25"/>
      <c r="BB1477" s="25"/>
      <c r="BC1477" s="25"/>
      <c r="BD1477" s="25"/>
      <c r="BE1477" s="25"/>
      <c r="BF1477" s="25"/>
      <c r="BG1477" s="25"/>
      <c r="BH1477" s="25"/>
      <c r="BI1477" s="25"/>
      <c r="BJ1477" s="25"/>
      <c r="BK1477" s="25"/>
      <c r="BL1477" s="25"/>
      <c r="BM1477" s="25"/>
      <c r="BN1477" s="25"/>
      <c r="BO1477" s="25"/>
      <c r="BP1477" s="25"/>
      <c r="BQ1477" s="25"/>
      <c r="BR1477" s="25"/>
      <c r="BS1477" s="25"/>
      <c r="BT1477" s="25"/>
      <c r="BU1477" s="25"/>
      <c r="BV1477" s="25"/>
      <c r="BW1477" s="25"/>
      <c r="BX1477" s="25"/>
      <c r="BY1477" s="25"/>
      <c r="BZ1477" s="25"/>
      <c r="CA1477" s="25"/>
      <c r="CB1477" s="25"/>
    </row>
    <row r="1478" spans="1:80" ht="12.75" hidden="1" customHeight="1">
      <c r="A1478" s="10">
        <f ca="1">IFERROR(__xludf.DUMMYFUNCTION("""COMPUTED_VALUE"""),2021)</f>
        <v>2021</v>
      </c>
      <c r="B1478" s="50">
        <f ca="1">IFERROR(__xludf.DUMMYFUNCTION("""COMPUTED_VALUE"""),44568)</f>
        <v>44568</v>
      </c>
      <c r="C1478" s="41"/>
      <c r="D1478" s="42" t="str">
        <f ca="1">IFERROR(__xludf.DUMMYFUNCTION("""COMPUTED_VALUE"""),"Caspian Gull")</f>
        <v>Caspian Gull</v>
      </c>
      <c r="E1478" s="53">
        <f ca="1">IFERROR(__xludf.DUMMYFUNCTION("""COMPUTED_VALUE"""),1)</f>
        <v>1</v>
      </c>
      <c r="F1478" s="15" t="str">
        <f ca="1">IFERROR(__xludf.DUMMYFUNCTION("""COMPUTED_VALUE"""),"3rdW")</f>
        <v>3rdW</v>
      </c>
      <c r="G1478" s="44" t="str">
        <f ca="1">IFERROR(__xludf.DUMMYFUNCTION("""COMPUTED_VALUE"""),"Widnes")</f>
        <v>Widnes</v>
      </c>
      <c r="H1478" s="12">
        <f ca="1">IFERROR(__xludf.DUMMYFUNCTION("""COMPUTED_VALUE"""),44255)</f>
        <v>44255</v>
      </c>
      <c r="I1478" s="13"/>
      <c r="J1478" s="14" t="str">
        <f ca="1">IFERROR(__xludf.DUMMYFUNCTION("""COMPUTED_VALUE"""),"Bird guides")</f>
        <v>Bird guides</v>
      </c>
      <c r="K1478" s="15"/>
      <c r="L1478" s="17" t="str">
        <f ca="1">IFERROR(__xludf.DUMMYFUNCTION("""COMPUTED_VALUE"""),"limbo")</f>
        <v>limbo</v>
      </c>
      <c r="M1478" s="17"/>
      <c r="N1478" s="15" t="str">
        <f ca="1">IFERROR(__xludf.DUMMYFUNCTION("""COMPUTED_VALUE"""),"not submitted")</f>
        <v>not submitted</v>
      </c>
      <c r="O1478" s="18"/>
      <c r="P1478" s="15"/>
      <c r="Q1478" s="15"/>
      <c r="R1478" s="15"/>
      <c r="S1478" s="15"/>
      <c r="T1478" s="15"/>
      <c r="U1478" s="15"/>
      <c r="V1478" s="15"/>
      <c r="W1478" s="15"/>
      <c r="X1478" s="15"/>
      <c r="Y1478" s="15"/>
      <c r="Z1478" s="15"/>
      <c r="AA1478" s="15"/>
      <c r="AB1478" s="15"/>
      <c r="AC1478" s="15"/>
      <c r="AD1478" s="15"/>
      <c r="AE1478" s="15"/>
      <c r="AF1478" s="15"/>
      <c r="AG1478" s="15"/>
      <c r="AH1478" s="15"/>
      <c r="AI1478" s="15"/>
      <c r="AJ1478" s="15"/>
      <c r="AK1478" s="15"/>
      <c r="AL1478" s="15"/>
      <c r="AM1478" s="15"/>
      <c r="AN1478" s="15"/>
      <c r="AO1478" s="15"/>
      <c r="AP1478" s="15"/>
      <c r="AQ1478" s="15"/>
      <c r="AR1478" s="15"/>
      <c r="AS1478" s="15"/>
      <c r="AT1478" s="15"/>
      <c r="AU1478" s="15"/>
      <c r="AV1478" s="15"/>
      <c r="AW1478" s="15"/>
      <c r="AX1478" s="15"/>
      <c r="AY1478" s="15"/>
      <c r="AZ1478" s="15"/>
      <c r="BA1478" s="15"/>
      <c r="BB1478" s="15"/>
      <c r="BC1478" s="15"/>
      <c r="BD1478" s="15"/>
      <c r="BE1478" s="15"/>
      <c r="BF1478" s="15"/>
      <c r="BG1478" s="15"/>
      <c r="BH1478" s="15"/>
      <c r="BI1478" s="15"/>
      <c r="BJ1478" s="15"/>
      <c r="BK1478" s="15"/>
      <c r="BL1478" s="15"/>
      <c r="BM1478" s="15"/>
      <c r="BN1478" s="15"/>
      <c r="BO1478" s="15"/>
      <c r="BP1478" s="15"/>
      <c r="BQ1478" s="15"/>
      <c r="BR1478" s="15"/>
      <c r="BS1478" s="15"/>
      <c r="BT1478" s="15"/>
      <c r="BU1478" s="15"/>
      <c r="BV1478" s="15"/>
      <c r="BW1478" s="15"/>
      <c r="BX1478" s="15"/>
      <c r="BY1478" s="15"/>
      <c r="BZ1478" s="15"/>
      <c r="CA1478" s="15"/>
      <c r="CB1478" s="15"/>
    </row>
    <row r="1479" spans="1:80" ht="12.75" hidden="1" customHeight="1">
      <c r="A1479" s="20">
        <f ca="1">IFERROR(__xludf.DUMMYFUNCTION("""COMPUTED_VALUE"""),2021)</f>
        <v>2021</v>
      </c>
      <c r="B1479" s="45">
        <f ca="1">IFERROR(__xludf.DUMMYFUNCTION("""COMPUTED_VALUE"""),44568)</f>
        <v>44568</v>
      </c>
      <c r="C1479" s="46"/>
      <c r="D1479" s="47" t="str">
        <f ca="1">IFERROR(__xludf.DUMMYFUNCTION("""COMPUTED_VALUE"""),"Caspian Gull")</f>
        <v>Caspian Gull</v>
      </c>
      <c r="E1479" s="52">
        <f ca="1">IFERROR(__xludf.DUMMYFUNCTION("""COMPUTED_VALUE"""),1)</f>
        <v>1</v>
      </c>
      <c r="F1479" s="25" t="str">
        <f ca="1">IFERROR(__xludf.DUMMYFUNCTION("""COMPUTED_VALUE"""),"unaged")</f>
        <v>unaged</v>
      </c>
      <c r="G1479" s="48" t="str">
        <f ca="1">IFERROR(__xludf.DUMMYFUNCTION("""COMPUTED_VALUE"""),"Runcorn")</f>
        <v>Runcorn</v>
      </c>
      <c r="H1479" s="22">
        <f ca="1">IFERROR(__xludf.DUMMYFUNCTION("""COMPUTED_VALUE"""),44260)</f>
        <v>44260</v>
      </c>
      <c r="I1479" s="23"/>
      <c r="J1479" s="24" t="str">
        <f ca="1">IFERROR(__xludf.DUMMYFUNCTION("""COMPUTED_VALUE"""),"Bird guides")</f>
        <v>Bird guides</v>
      </c>
      <c r="K1479" s="25"/>
      <c r="L1479" s="27" t="str">
        <f ca="1">IFERROR(__xludf.DUMMYFUNCTION("""COMPUTED_VALUE"""),"limbo")</f>
        <v>limbo</v>
      </c>
      <c r="M1479" s="27"/>
      <c r="N1479" s="25" t="str">
        <f ca="1">IFERROR(__xludf.DUMMYFUNCTION("""COMPUTED_VALUE"""),"not submitted")</f>
        <v>not submitted</v>
      </c>
      <c r="O1479" s="28"/>
      <c r="P1479" s="25"/>
      <c r="Q1479" s="25"/>
      <c r="R1479" s="25"/>
      <c r="S1479" s="25"/>
      <c r="T1479" s="25"/>
      <c r="U1479" s="25"/>
      <c r="V1479" s="25"/>
      <c r="W1479" s="25"/>
      <c r="X1479" s="25"/>
      <c r="Y1479" s="25"/>
      <c r="Z1479" s="25"/>
      <c r="AA1479" s="25"/>
      <c r="AB1479" s="25"/>
      <c r="AC1479" s="25"/>
      <c r="AD1479" s="25"/>
      <c r="AE1479" s="25"/>
      <c r="AF1479" s="25"/>
      <c r="AG1479" s="25"/>
      <c r="AH1479" s="25"/>
      <c r="AI1479" s="25"/>
      <c r="AJ1479" s="25"/>
      <c r="AK1479" s="25"/>
      <c r="AL1479" s="25"/>
      <c r="AM1479" s="25"/>
      <c r="AN1479" s="25"/>
      <c r="AO1479" s="25"/>
      <c r="AP1479" s="25"/>
      <c r="AQ1479" s="25"/>
      <c r="AR1479" s="25"/>
      <c r="AS1479" s="25"/>
      <c r="AT1479" s="25"/>
      <c r="AU1479" s="25"/>
      <c r="AV1479" s="25"/>
      <c r="AW1479" s="25"/>
      <c r="AX1479" s="25"/>
      <c r="AY1479" s="25"/>
      <c r="AZ1479" s="25"/>
      <c r="BA1479" s="25"/>
      <c r="BB1479" s="25"/>
      <c r="BC1479" s="25"/>
      <c r="BD1479" s="25"/>
      <c r="BE1479" s="25"/>
      <c r="BF1479" s="25"/>
      <c r="BG1479" s="25"/>
      <c r="BH1479" s="25"/>
      <c r="BI1479" s="25"/>
      <c r="BJ1479" s="25"/>
      <c r="BK1479" s="25"/>
      <c r="BL1479" s="25"/>
      <c r="BM1479" s="25"/>
      <c r="BN1479" s="25"/>
      <c r="BO1479" s="25"/>
      <c r="BP1479" s="25"/>
      <c r="BQ1479" s="25"/>
      <c r="BR1479" s="25"/>
      <c r="BS1479" s="25"/>
      <c r="BT1479" s="25"/>
      <c r="BU1479" s="25"/>
      <c r="BV1479" s="25"/>
      <c r="BW1479" s="25"/>
      <c r="BX1479" s="25"/>
      <c r="BY1479" s="25"/>
      <c r="BZ1479" s="25"/>
      <c r="CA1479" s="25"/>
      <c r="CB1479" s="25"/>
    </row>
    <row r="1480" spans="1:80" ht="12.75" hidden="1" customHeight="1">
      <c r="A1480" s="10">
        <f ca="1">IFERROR(__xludf.DUMMYFUNCTION("""COMPUTED_VALUE"""),2021)</f>
        <v>2021</v>
      </c>
      <c r="B1480" s="50">
        <f ca="1">IFERROR(__xludf.DUMMYFUNCTION("""COMPUTED_VALUE"""),44568)</f>
        <v>44568</v>
      </c>
      <c r="C1480" s="41"/>
      <c r="D1480" s="42" t="str">
        <f ca="1">IFERROR(__xludf.DUMMYFUNCTION("""COMPUTED_VALUE"""),"Caspian Gull")</f>
        <v>Caspian Gull</v>
      </c>
      <c r="E1480" s="53">
        <f ca="1">IFERROR(__xludf.DUMMYFUNCTION("""COMPUTED_VALUE"""),1)</f>
        <v>1</v>
      </c>
      <c r="F1480" s="15" t="str">
        <f ca="1">IFERROR(__xludf.DUMMYFUNCTION("""COMPUTED_VALUE"""),"1st W")</f>
        <v>1st W</v>
      </c>
      <c r="G1480" s="44" t="str">
        <f ca="1">IFERROR(__xludf.DUMMYFUNCTION("""COMPUTED_VALUE"""),"Runcorn")</f>
        <v>Runcorn</v>
      </c>
      <c r="H1480" s="12">
        <f ca="1">IFERROR(__xludf.DUMMYFUNCTION("""COMPUTED_VALUE"""),44275)</f>
        <v>44275</v>
      </c>
      <c r="I1480" s="13"/>
      <c r="J1480" s="14" t="str">
        <f ca="1">IFERROR(__xludf.DUMMYFUNCTION("""COMPUTED_VALUE"""),"Bird guides")</f>
        <v>Bird guides</v>
      </c>
      <c r="K1480" s="15"/>
      <c r="L1480" s="17" t="str">
        <f ca="1">IFERROR(__xludf.DUMMYFUNCTION("""COMPUTED_VALUE"""),"limbo")</f>
        <v>limbo</v>
      </c>
      <c r="M1480" s="17"/>
      <c r="N1480" s="15" t="str">
        <f ca="1">IFERROR(__xludf.DUMMYFUNCTION("""COMPUTED_VALUE"""),"not submitted")</f>
        <v>not submitted</v>
      </c>
      <c r="O1480" s="18"/>
      <c r="P1480" s="15"/>
      <c r="Q1480" s="15"/>
      <c r="R1480" s="15"/>
      <c r="S1480" s="15"/>
      <c r="T1480" s="15"/>
      <c r="U1480" s="15"/>
      <c r="V1480" s="15"/>
      <c r="W1480" s="15"/>
      <c r="X1480" s="15"/>
      <c r="Y1480" s="15"/>
      <c r="Z1480" s="15"/>
      <c r="AA1480" s="15"/>
      <c r="AB1480" s="15"/>
      <c r="AC1480" s="15"/>
      <c r="AD1480" s="15"/>
      <c r="AE1480" s="15"/>
      <c r="AF1480" s="15"/>
      <c r="AG1480" s="15"/>
      <c r="AH1480" s="15"/>
      <c r="AI1480" s="15"/>
      <c r="AJ1480" s="15"/>
      <c r="AK1480" s="15"/>
      <c r="AL1480" s="15"/>
      <c r="AM1480" s="15"/>
      <c r="AN1480" s="15"/>
      <c r="AO1480" s="15"/>
      <c r="AP1480" s="15"/>
      <c r="AQ1480" s="15"/>
      <c r="AR1480" s="15"/>
      <c r="AS1480" s="15"/>
      <c r="AT1480" s="15"/>
      <c r="AU1480" s="15"/>
      <c r="AV1480" s="15"/>
      <c r="AW1480" s="15"/>
      <c r="AX1480" s="15"/>
      <c r="AY1480" s="15"/>
      <c r="AZ1480" s="15"/>
      <c r="BA1480" s="15"/>
      <c r="BB1480" s="15"/>
      <c r="BC1480" s="15"/>
      <c r="BD1480" s="15"/>
      <c r="BE1480" s="15"/>
      <c r="BF1480" s="15"/>
      <c r="BG1480" s="15"/>
      <c r="BH1480" s="15"/>
      <c r="BI1480" s="15"/>
      <c r="BJ1480" s="15"/>
      <c r="BK1480" s="15"/>
      <c r="BL1480" s="15"/>
      <c r="BM1480" s="15"/>
      <c r="BN1480" s="15"/>
      <c r="BO1480" s="15"/>
      <c r="BP1480" s="15"/>
      <c r="BQ1480" s="15"/>
      <c r="BR1480" s="15"/>
      <c r="BS1480" s="15"/>
      <c r="BT1480" s="15"/>
      <c r="BU1480" s="15"/>
      <c r="BV1480" s="15"/>
      <c r="BW1480" s="15"/>
      <c r="BX1480" s="15"/>
      <c r="BY1480" s="15"/>
      <c r="BZ1480" s="15"/>
      <c r="CA1480" s="15"/>
      <c r="CB1480" s="15"/>
    </row>
    <row r="1481" spans="1:80" ht="12.75" hidden="1" customHeight="1">
      <c r="A1481" s="20">
        <f ca="1">IFERROR(__xludf.DUMMYFUNCTION("""COMPUTED_VALUE"""),2021)</f>
        <v>2021</v>
      </c>
      <c r="B1481" s="45">
        <f ca="1">IFERROR(__xludf.DUMMYFUNCTION("""COMPUTED_VALUE"""),44568)</f>
        <v>44568</v>
      </c>
      <c r="C1481" s="46"/>
      <c r="D1481" s="47" t="str">
        <f ca="1">IFERROR(__xludf.DUMMYFUNCTION("""COMPUTED_VALUE"""),"Caspian Gull")</f>
        <v>Caspian Gull</v>
      </c>
      <c r="E1481" s="52">
        <f ca="1">IFERROR(__xludf.DUMMYFUNCTION("""COMPUTED_VALUE"""),1)</f>
        <v>1</v>
      </c>
      <c r="F1481" s="25" t="str">
        <f ca="1">IFERROR(__xludf.DUMMYFUNCTION("""COMPUTED_VALUE"""),"1st W")</f>
        <v>1st W</v>
      </c>
      <c r="G1481" s="48" t="str">
        <f ca="1">IFERROR(__xludf.DUMMYFUNCTION("""COMPUTED_VALUE"""),"Winsford")</f>
        <v>Winsford</v>
      </c>
      <c r="H1481" s="22">
        <f ca="1">IFERROR(__xludf.DUMMYFUNCTION("""COMPUTED_VALUE"""),44283)</f>
        <v>44283</v>
      </c>
      <c r="I1481" s="23"/>
      <c r="J1481" s="24" t="str">
        <f ca="1">IFERROR(__xludf.DUMMYFUNCTION("""COMPUTED_VALUE"""),"Bird guides")</f>
        <v>Bird guides</v>
      </c>
      <c r="K1481" s="25"/>
      <c r="L1481" s="27" t="str">
        <f ca="1">IFERROR(__xludf.DUMMYFUNCTION("""COMPUTED_VALUE"""),"limbo")</f>
        <v>limbo</v>
      </c>
      <c r="M1481" s="27"/>
      <c r="N1481" s="25" t="str">
        <f ca="1">IFERROR(__xludf.DUMMYFUNCTION("""COMPUTED_VALUE"""),"not submitted")</f>
        <v>not submitted</v>
      </c>
      <c r="O1481" s="28"/>
      <c r="P1481" s="25"/>
      <c r="Q1481" s="25"/>
      <c r="R1481" s="25"/>
      <c r="S1481" s="25"/>
      <c r="T1481" s="25"/>
      <c r="U1481" s="25"/>
      <c r="V1481" s="25"/>
      <c r="W1481" s="25"/>
      <c r="X1481" s="25"/>
      <c r="Y1481" s="25"/>
      <c r="Z1481" s="25"/>
      <c r="AA1481" s="25"/>
      <c r="AB1481" s="25"/>
      <c r="AC1481" s="25"/>
      <c r="AD1481" s="25"/>
      <c r="AE1481" s="25"/>
      <c r="AF1481" s="25"/>
      <c r="AG1481" s="25"/>
      <c r="AH1481" s="25"/>
      <c r="AI1481" s="25"/>
      <c r="AJ1481" s="25"/>
      <c r="AK1481" s="25"/>
      <c r="AL1481" s="25"/>
      <c r="AM1481" s="25"/>
      <c r="AN1481" s="25"/>
      <c r="AO1481" s="25"/>
      <c r="AP1481" s="25"/>
      <c r="AQ1481" s="25"/>
      <c r="AR1481" s="25"/>
      <c r="AS1481" s="25"/>
      <c r="AT1481" s="25"/>
      <c r="AU1481" s="25"/>
      <c r="AV1481" s="25"/>
      <c r="AW1481" s="25"/>
      <c r="AX1481" s="25"/>
      <c r="AY1481" s="25"/>
      <c r="AZ1481" s="25"/>
      <c r="BA1481" s="25"/>
      <c r="BB1481" s="25"/>
      <c r="BC1481" s="25"/>
      <c r="BD1481" s="25"/>
      <c r="BE1481" s="25"/>
      <c r="BF1481" s="25"/>
      <c r="BG1481" s="25"/>
      <c r="BH1481" s="25"/>
      <c r="BI1481" s="25"/>
      <c r="BJ1481" s="25"/>
      <c r="BK1481" s="25"/>
      <c r="BL1481" s="25"/>
      <c r="BM1481" s="25"/>
      <c r="BN1481" s="25"/>
      <c r="BO1481" s="25"/>
      <c r="BP1481" s="25"/>
      <c r="BQ1481" s="25"/>
      <c r="BR1481" s="25"/>
      <c r="BS1481" s="25"/>
      <c r="BT1481" s="25"/>
      <c r="BU1481" s="25"/>
      <c r="BV1481" s="25"/>
      <c r="BW1481" s="25"/>
      <c r="BX1481" s="25"/>
      <c r="BY1481" s="25"/>
      <c r="BZ1481" s="25"/>
      <c r="CA1481" s="25"/>
      <c r="CB1481" s="25"/>
    </row>
    <row r="1482" spans="1:80" ht="12.75" hidden="1" customHeight="1">
      <c r="A1482" s="10">
        <f ca="1">IFERROR(__xludf.DUMMYFUNCTION("""COMPUTED_VALUE"""),2021)</f>
        <v>2021</v>
      </c>
      <c r="B1482" s="50">
        <f ca="1">IFERROR(__xludf.DUMMYFUNCTION("""COMPUTED_VALUE"""),44568)</f>
        <v>44568</v>
      </c>
      <c r="C1482" s="41"/>
      <c r="D1482" s="42" t="str">
        <f ca="1">IFERROR(__xludf.DUMMYFUNCTION("""COMPUTED_VALUE"""),"Caspian Gull")</f>
        <v>Caspian Gull</v>
      </c>
      <c r="E1482" s="53">
        <f ca="1">IFERROR(__xludf.DUMMYFUNCTION("""COMPUTED_VALUE"""),1)</f>
        <v>1</v>
      </c>
      <c r="F1482" s="15" t="str">
        <f ca="1">IFERROR(__xludf.DUMMYFUNCTION("""COMPUTED_VALUE"""),"1st S")</f>
        <v>1st S</v>
      </c>
      <c r="G1482" s="44" t="str">
        <f ca="1">IFERROR(__xludf.DUMMYFUNCTION("""COMPUTED_VALUE"""),"Pickering's Pasture LNR, Widnes")</f>
        <v>Pickering's Pasture LNR, Widnes</v>
      </c>
      <c r="H1482" s="12">
        <f ca="1">IFERROR(__xludf.DUMMYFUNCTION("""COMPUTED_VALUE"""),44388)</f>
        <v>44388</v>
      </c>
      <c r="I1482" s="13"/>
      <c r="J1482" s="14" t="str">
        <f ca="1">IFERROR(__xludf.DUMMYFUNCTION("""COMPUTED_VALUE"""),"Bird guides")</f>
        <v>Bird guides</v>
      </c>
      <c r="K1482" s="15"/>
      <c r="L1482" s="17" t="str">
        <f ca="1">IFERROR(__xludf.DUMMYFUNCTION("""COMPUTED_VALUE"""),"limbo")</f>
        <v>limbo</v>
      </c>
      <c r="M1482" s="17"/>
      <c r="N1482" s="15" t="str">
        <f ca="1">IFERROR(__xludf.DUMMYFUNCTION("""COMPUTED_VALUE"""),"not submitted")</f>
        <v>not submitted</v>
      </c>
      <c r="O1482" s="18"/>
      <c r="P1482" s="15"/>
      <c r="Q1482" s="58"/>
      <c r="R1482" s="58"/>
      <c r="S1482" s="15"/>
      <c r="T1482" s="15"/>
      <c r="U1482" s="15"/>
      <c r="V1482" s="15"/>
      <c r="W1482" s="15"/>
      <c r="X1482" s="15"/>
      <c r="Y1482" s="15"/>
      <c r="Z1482" s="15"/>
      <c r="AA1482" s="15"/>
      <c r="AB1482" s="15"/>
      <c r="AC1482" s="15"/>
      <c r="AD1482" s="15"/>
      <c r="AE1482" s="15"/>
      <c r="AF1482" s="15"/>
      <c r="AG1482" s="15"/>
      <c r="AH1482" s="15"/>
      <c r="AI1482" s="15"/>
      <c r="AJ1482" s="15"/>
      <c r="AK1482" s="15"/>
      <c r="AL1482" s="15"/>
      <c r="AM1482" s="15"/>
      <c r="AN1482" s="15"/>
      <c r="AO1482" s="15"/>
      <c r="AP1482" s="15"/>
      <c r="AQ1482" s="15"/>
      <c r="AR1482" s="15"/>
      <c r="AS1482" s="15"/>
      <c r="AT1482" s="15"/>
      <c r="AU1482" s="15"/>
      <c r="AV1482" s="15"/>
      <c r="AW1482" s="15"/>
      <c r="AX1482" s="15"/>
      <c r="AY1482" s="15"/>
      <c r="AZ1482" s="15"/>
      <c r="BA1482" s="15"/>
      <c r="BB1482" s="15"/>
      <c r="BC1482" s="15"/>
      <c r="BD1482" s="15"/>
      <c r="BE1482" s="15"/>
      <c r="BF1482" s="15"/>
      <c r="BG1482" s="15"/>
      <c r="BH1482" s="15"/>
      <c r="BI1482" s="15"/>
      <c r="BJ1482" s="15"/>
      <c r="BK1482" s="15"/>
      <c r="BL1482" s="15"/>
      <c r="BM1482" s="15"/>
      <c r="BN1482" s="15"/>
      <c r="BO1482" s="15"/>
      <c r="BP1482" s="15"/>
      <c r="BQ1482" s="15"/>
      <c r="BR1482" s="15"/>
      <c r="BS1482" s="15"/>
      <c r="BT1482" s="15"/>
      <c r="BU1482" s="15"/>
      <c r="BV1482" s="15"/>
      <c r="BW1482" s="15"/>
      <c r="BX1482" s="15"/>
      <c r="BY1482" s="15"/>
      <c r="BZ1482" s="15"/>
      <c r="CA1482" s="15"/>
      <c r="CB1482" s="15"/>
    </row>
    <row r="1483" spans="1:80" ht="12.75" hidden="1" customHeight="1">
      <c r="A1483" s="20">
        <f ca="1">IFERROR(__xludf.DUMMYFUNCTION("""COMPUTED_VALUE"""),2021)</f>
        <v>2021</v>
      </c>
      <c r="B1483" s="45">
        <f ca="1">IFERROR(__xludf.DUMMYFUNCTION("""COMPUTED_VALUE"""),44568)</f>
        <v>44568</v>
      </c>
      <c r="C1483" s="46"/>
      <c r="D1483" s="47" t="str">
        <f ca="1">IFERROR(__xludf.DUMMYFUNCTION("""COMPUTED_VALUE"""),"Caspian Gull")</f>
        <v>Caspian Gull</v>
      </c>
      <c r="E1483" s="52">
        <f ca="1">IFERROR(__xludf.DUMMYFUNCTION("""COMPUTED_VALUE"""),1)</f>
        <v>1</v>
      </c>
      <c r="F1483" s="25" t="str">
        <f ca="1">IFERROR(__xludf.DUMMYFUNCTION("""COMPUTED_VALUE"""),"2nd S")</f>
        <v>2nd S</v>
      </c>
      <c r="G1483" s="71" t="str">
        <f ca="1">IFERROR(__xludf.DUMMYFUNCTION("""COMPUTED_VALUE"""),"Runcorn")</f>
        <v>Runcorn</v>
      </c>
      <c r="H1483" s="22">
        <f ca="1">IFERROR(__xludf.DUMMYFUNCTION("""COMPUTED_VALUE"""),44415)</f>
        <v>44415</v>
      </c>
      <c r="I1483" s="22">
        <f ca="1">IFERROR(__xludf.DUMMYFUNCTION("""COMPUTED_VALUE"""),44424)</f>
        <v>44424</v>
      </c>
      <c r="J1483" s="73" t="str">
        <f ca="1">IFERROR(__xludf.DUMMYFUNCTION("""COMPUTED_VALUE"""),"Bird guides")</f>
        <v>Bird guides</v>
      </c>
      <c r="K1483" s="25"/>
      <c r="L1483" s="27" t="str">
        <f ca="1">IFERROR(__xludf.DUMMYFUNCTION("""COMPUTED_VALUE"""),"limbo")</f>
        <v>limbo</v>
      </c>
      <c r="M1483" s="27"/>
      <c r="N1483" s="40" t="str">
        <f ca="1">IFERROR(__xludf.DUMMYFUNCTION("""COMPUTED_VALUE"""),"not submitted")</f>
        <v>not submitted</v>
      </c>
      <c r="O1483" s="74"/>
      <c r="P1483" s="25"/>
      <c r="Q1483" s="25"/>
      <c r="R1483" s="40"/>
      <c r="S1483" s="25"/>
      <c r="T1483" s="25"/>
      <c r="U1483" s="25"/>
      <c r="V1483" s="25"/>
      <c r="W1483" s="25"/>
      <c r="X1483" s="25"/>
      <c r="Y1483" s="25"/>
      <c r="Z1483" s="25"/>
      <c r="AA1483" s="25"/>
      <c r="AB1483" s="25"/>
      <c r="AC1483" s="25"/>
      <c r="AD1483" s="25"/>
      <c r="AE1483" s="25"/>
      <c r="AF1483" s="25"/>
      <c r="AG1483" s="25"/>
      <c r="AH1483" s="25"/>
      <c r="AI1483" s="25"/>
      <c r="AJ1483" s="25"/>
      <c r="AK1483" s="25"/>
      <c r="AL1483" s="25"/>
      <c r="AM1483" s="25"/>
      <c r="AN1483" s="25"/>
      <c r="AO1483" s="25"/>
      <c r="AP1483" s="25"/>
      <c r="AQ1483" s="25"/>
      <c r="AR1483" s="25"/>
      <c r="AS1483" s="25"/>
      <c r="AT1483" s="25"/>
      <c r="AU1483" s="25"/>
      <c r="AV1483" s="25"/>
      <c r="AW1483" s="25"/>
      <c r="AX1483" s="25"/>
      <c r="AY1483" s="25"/>
      <c r="AZ1483" s="25"/>
      <c r="BA1483" s="25"/>
      <c r="BB1483" s="25"/>
      <c r="BC1483" s="25"/>
      <c r="BD1483" s="25"/>
      <c r="BE1483" s="25"/>
      <c r="BF1483" s="25"/>
      <c r="BG1483" s="25"/>
      <c r="BH1483" s="25"/>
      <c r="BI1483" s="25"/>
      <c r="BJ1483" s="25"/>
      <c r="BK1483" s="25"/>
      <c r="BL1483" s="25"/>
      <c r="BM1483" s="25"/>
      <c r="BN1483" s="25"/>
      <c r="BO1483" s="25"/>
      <c r="BP1483" s="25"/>
      <c r="BQ1483" s="25"/>
      <c r="BR1483" s="25"/>
      <c r="BS1483" s="25"/>
      <c r="BT1483" s="25"/>
      <c r="BU1483" s="25"/>
      <c r="BV1483" s="25"/>
      <c r="BW1483" s="25"/>
      <c r="BX1483" s="25"/>
      <c r="BY1483" s="25"/>
      <c r="BZ1483" s="25"/>
      <c r="CA1483" s="25"/>
      <c r="CB1483" s="25"/>
    </row>
    <row r="1484" spans="1:80" ht="12.75" hidden="1" customHeight="1">
      <c r="A1484" s="10">
        <f ca="1">IFERROR(__xludf.DUMMYFUNCTION("""COMPUTED_VALUE"""),2021)</f>
        <v>2021</v>
      </c>
      <c r="B1484" s="50">
        <f ca="1">IFERROR(__xludf.DUMMYFUNCTION("""COMPUTED_VALUE"""),44686)</f>
        <v>44686</v>
      </c>
      <c r="C1484" s="41">
        <f ca="1">IFERROR(__xludf.DUMMYFUNCTION("""COMPUTED_VALUE"""),44605)</f>
        <v>44605</v>
      </c>
      <c r="D1484" s="42" t="str">
        <f ca="1">IFERROR(__xludf.DUMMYFUNCTION("""COMPUTED_VALUE"""),"Caspian Gull")</f>
        <v>Caspian Gull</v>
      </c>
      <c r="E1484" s="53">
        <f ca="1">IFERROR(__xludf.DUMMYFUNCTION("""COMPUTED_VALUE"""),1)</f>
        <v>1</v>
      </c>
      <c r="F1484" s="15" t="str">
        <f ca="1">IFERROR(__xludf.DUMMYFUNCTION("""COMPUTED_VALUE"""),"1st sum - 2nd W")</f>
        <v>1st sum - 2nd W</v>
      </c>
      <c r="G1484" s="44" t="str">
        <f ca="1">IFERROR(__xludf.DUMMYFUNCTION("""COMPUTED_VALUE"""),"Halebank")</f>
        <v>Halebank</v>
      </c>
      <c r="H1484" s="12">
        <f ca="1">IFERROR(__xludf.DUMMYFUNCTION("""COMPUTED_VALUE"""),44422)</f>
        <v>44422</v>
      </c>
      <c r="I1484" s="12">
        <f ca="1">IFERROR(__xludf.DUMMYFUNCTION("""COMPUTED_VALUE"""),44535)</f>
        <v>44535</v>
      </c>
      <c r="J1484" s="14"/>
      <c r="K1484" s="15"/>
      <c r="L1484" s="17" t="str">
        <f ca="1">IFERROR(__xludf.DUMMYFUNCTION("""COMPUTED_VALUE"""),"closed")</f>
        <v>closed</v>
      </c>
      <c r="M1484" s="17" t="str">
        <f ca="1">IFERROR(__xludf.DUMMYFUNCTION("""COMPUTED_VALUE"""),"1st U")</f>
        <v>1st U</v>
      </c>
      <c r="N1484" s="15" t="str">
        <f ca="1">IFERROR(__xludf.DUMMYFUNCTION("""COMPUTED_VALUE"""),"Accepted")</f>
        <v>Accepted</v>
      </c>
      <c r="O1484" s="18" t="str">
        <f ca="1">IFERROR(__xludf.DUMMYFUNCTION("""COMPUTED_VALUE"""),"14th Aug,4th Sept, 5th Sept, 14th sept, 15th Sept, 16th Oct, 23rd Oct, 8th Nov, 12th Nov, 24th Nov, 29th Nov, 5th Dec to 2022")</f>
        <v>14th Aug,4th Sept, 5th Sept, 14th sept, 15th Sept, 16th Oct, 23rd Oct, 8th Nov, 12th Nov, 24th Nov, 29th Nov, 5th Dec to 2022</v>
      </c>
      <c r="P1484" s="15"/>
      <c r="Q1484" s="15"/>
      <c r="R1484" s="15"/>
      <c r="S1484" s="15"/>
      <c r="T1484" s="15"/>
      <c r="U1484" s="15"/>
      <c r="V1484" s="15"/>
      <c r="W1484" s="15"/>
      <c r="X1484" s="15"/>
      <c r="Y1484" s="15"/>
      <c r="Z1484" s="15"/>
      <c r="AA1484" s="15"/>
      <c r="AB1484" s="15"/>
      <c r="AC1484" s="15"/>
      <c r="AD1484" s="15"/>
      <c r="AE1484" s="15"/>
      <c r="AF1484" s="15"/>
      <c r="AG1484" s="15"/>
      <c r="AH1484" s="15"/>
      <c r="AI1484" s="15"/>
      <c r="AJ1484" s="15"/>
      <c r="AK1484" s="15"/>
      <c r="AL1484" s="15"/>
      <c r="AM1484" s="15"/>
      <c r="AN1484" s="15"/>
      <c r="AO1484" s="15"/>
      <c r="AP1484" s="15"/>
      <c r="AQ1484" s="15"/>
      <c r="AR1484" s="15"/>
      <c r="AS1484" s="15"/>
      <c r="AT1484" s="15"/>
      <c r="AU1484" s="15"/>
      <c r="AV1484" s="15"/>
      <c r="AW1484" s="15"/>
      <c r="AX1484" s="15"/>
      <c r="AY1484" s="15"/>
      <c r="AZ1484" s="15"/>
      <c r="BA1484" s="15"/>
      <c r="BB1484" s="15"/>
      <c r="BC1484" s="15"/>
      <c r="BD1484" s="15"/>
      <c r="BE1484" s="15"/>
      <c r="BF1484" s="15"/>
      <c r="BG1484" s="15"/>
      <c r="BH1484" s="15"/>
      <c r="BI1484" s="15"/>
      <c r="BJ1484" s="15"/>
      <c r="BK1484" s="15"/>
      <c r="BL1484" s="15"/>
      <c r="BM1484" s="15"/>
      <c r="BN1484" s="15"/>
      <c r="BO1484" s="15"/>
      <c r="BP1484" s="15"/>
      <c r="BQ1484" s="15"/>
      <c r="BR1484" s="15"/>
      <c r="BS1484" s="15"/>
      <c r="BT1484" s="15"/>
      <c r="BU1484" s="15"/>
      <c r="BV1484" s="15"/>
      <c r="BW1484" s="15"/>
      <c r="BX1484" s="15"/>
      <c r="BY1484" s="15"/>
      <c r="BZ1484" s="15"/>
      <c r="CA1484" s="15"/>
      <c r="CB1484" s="15"/>
    </row>
    <row r="1485" spans="1:80" ht="12.75" hidden="1" customHeight="1">
      <c r="A1485" s="20">
        <f ca="1">IFERROR(__xludf.DUMMYFUNCTION("""COMPUTED_VALUE"""),2021)</f>
        <v>2021</v>
      </c>
      <c r="B1485" s="45">
        <f ca="1">IFERROR(__xludf.DUMMYFUNCTION("""COMPUTED_VALUE"""),44605)</f>
        <v>44605</v>
      </c>
      <c r="C1485" s="46">
        <f ca="1">IFERROR(__xludf.DUMMYFUNCTION("""COMPUTED_VALUE"""),44605)</f>
        <v>44605</v>
      </c>
      <c r="D1485" s="47" t="str">
        <f ca="1">IFERROR(__xludf.DUMMYFUNCTION("""COMPUTED_VALUE"""),"Caspian Gull")</f>
        <v>Caspian Gull</v>
      </c>
      <c r="E1485" s="52">
        <f ca="1">IFERROR(__xludf.DUMMYFUNCTION("""COMPUTED_VALUE"""),1)</f>
        <v>1</v>
      </c>
      <c r="F1485" s="25" t="str">
        <f ca="1">IFERROR(__xludf.DUMMYFUNCTION("""COMPUTED_VALUE"""),"Adult")</f>
        <v>Adult</v>
      </c>
      <c r="G1485" s="48" t="str">
        <f ca="1">IFERROR(__xludf.DUMMYFUNCTION("""COMPUTED_VALUE"""),"Halebank")</f>
        <v>Halebank</v>
      </c>
      <c r="H1485" s="22">
        <f ca="1">IFERROR(__xludf.DUMMYFUNCTION("""COMPUTED_VALUE"""),44439)</f>
        <v>44439</v>
      </c>
      <c r="I1485" s="23"/>
      <c r="J1485" s="24"/>
      <c r="K1485" s="25"/>
      <c r="L1485" s="27" t="str">
        <f ca="1">IFERROR(__xludf.DUMMYFUNCTION("""COMPUTED_VALUE"""),"open")</f>
        <v>open</v>
      </c>
      <c r="M1485" s="27"/>
      <c r="N1485" s="25" t="str">
        <f ca="1">IFERROR(__xludf.DUMMYFUNCTION("""COMPUTED_VALUE"""),"in circulation")</f>
        <v>in circulation</v>
      </c>
      <c r="O1485" s="28"/>
      <c r="P1485" s="25"/>
      <c r="Q1485" s="25"/>
      <c r="R1485" s="25"/>
      <c r="S1485" s="25"/>
      <c r="T1485" s="25"/>
      <c r="U1485" s="25"/>
      <c r="V1485" s="25"/>
      <c r="W1485" s="25"/>
      <c r="X1485" s="25"/>
      <c r="Y1485" s="25"/>
      <c r="Z1485" s="25"/>
      <c r="AA1485" s="25"/>
      <c r="AB1485" s="25"/>
      <c r="AC1485" s="25"/>
      <c r="AD1485" s="25"/>
      <c r="AE1485" s="25"/>
      <c r="AF1485" s="25"/>
      <c r="AG1485" s="25"/>
      <c r="AH1485" s="25"/>
      <c r="AI1485" s="25"/>
      <c r="AJ1485" s="25"/>
      <c r="AK1485" s="25"/>
      <c r="AL1485" s="25"/>
      <c r="AM1485" s="25"/>
      <c r="AN1485" s="25"/>
      <c r="AO1485" s="25"/>
      <c r="AP1485" s="25"/>
      <c r="AQ1485" s="25"/>
      <c r="AR1485" s="25"/>
      <c r="AS1485" s="25"/>
      <c r="AT1485" s="25"/>
      <c r="AU1485" s="25"/>
      <c r="AV1485" s="25"/>
      <c r="AW1485" s="25"/>
      <c r="AX1485" s="25"/>
      <c r="AY1485" s="25"/>
      <c r="AZ1485" s="25"/>
      <c r="BA1485" s="25"/>
      <c r="BB1485" s="25"/>
      <c r="BC1485" s="25"/>
      <c r="BD1485" s="25"/>
      <c r="BE1485" s="25"/>
      <c r="BF1485" s="25"/>
      <c r="BG1485" s="25"/>
      <c r="BH1485" s="25"/>
      <c r="BI1485" s="25"/>
      <c r="BJ1485" s="25"/>
      <c r="BK1485" s="25"/>
      <c r="BL1485" s="25"/>
      <c r="BM1485" s="25"/>
      <c r="BN1485" s="25"/>
      <c r="BO1485" s="25"/>
      <c r="BP1485" s="25"/>
      <c r="BQ1485" s="25"/>
      <c r="BR1485" s="25"/>
      <c r="BS1485" s="25"/>
      <c r="BT1485" s="25"/>
      <c r="BU1485" s="25"/>
      <c r="BV1485" s="25"/>
      <c r="BW1485" s="25"/>
      <c r="BX1485" s="25"/>
      <c r="BY1485" s="25"/>
      <c r="BZ1485" s="25"/>
      <c r="CA1485" s="25"/>
      <c r="CB1485" s="25"/>
    </row>
    <row r="1486" spans="1:80" ht="12.75" hidden="1" customHeight="1">
      <c r="A1486" s="10">
        <f ca="1">IFERROR(__xludf.DUMMYFUNCTION("""COMPUTED_VALUE"""),2021)</f>
        <v>2021</v>
      </c>
      <c r="B1486" s="50">
        <f ca="1">IFERROR(__xludf.DUMMYFUNCTION("""COMPUTED_VALUE"""),44568)</f>
        <v>44568</v>
      </c>
      <c r="C1486" s="41"/>
      <c r="D1486" s="42" t="str">
        <f ca="1">IFERROR(__xludf.DUMMYFUNCTION("""COMPUTED_VALUE"""),"Caspian Gull")</f>
        <v>Caspian Gull</v>
      </c>
      <c r="E1486" s="53">
        <f ca="1">IFERROR(__xludf.DUMMYFUNCTION("""COMPUTED_VALUE"""),1)</f>
        <v>1</v>
      </c>
      <c r="F1486" s="15" t="str">
        <f ca="1">IFERROR(__xludf.DUMMYFUNCTION("""COMPUTED_VALUE"""),"1st w")</f>
        <v>1st w</v>
      </c>
      <c r="G1486" s="44" t="str">
        <f ca="1">IFERROR(__xludf.DUMMYFUNCTION("""COMPUTED_VALUE"""),"West Bank, Runcorn")</f>
        <v>West Bank, Runcorn</v>
      </c>
      <c r="H1486" s="12">
        <f ca="1">IFERROR(__xludf.DUMMYFUNCTION("""COMPUTED_VALUE"""),44441)</f>
        <v>44441</v>
      </c>
      <c r="I1486" s="13"/>
      <c r="J1486" s="14"/>
      <c r="K1486" s="15"/>
      <c r="L1486" s="17" t="str">
        <f ca="1">IFERROR(__xludf.DUMMYFUNCTION("""COMPUTED_VALUE"""),"limbo")</f>
        <v>limbo</v>
      </c>
      <c r="M1486" s="17"/>
      <c r="N1486" s="15" t="str">
        <f ca="1">IFERROR(__xludf.DUMMYFUNCTION("""COMPUTED_VALUE"""),"not submitted")</f>
        <v>not submitted</v>
      </c>
      <c r="O1486" s="18" t="str">
        <f ca="1">IFERROR(__xludf.DUMMYFUNCTION("""COMPUTED_VALUE"""),"named observer contacted")</f>
        <v>named observer contacted</v>
      </c>
      <c r="P1486" s="15"/>
      <c r="Q1486" s="15"/>
      <c r="R1486" s="15"/>
      <c r="S1486" s="15"/>
      <c r="T1486" s="15"/>
      <c r="U1486" s="15"/>
      <c r="V1486" s="15"/>
      <c r="W1486" s="15"/>
      <c r="X1486" s="15"/>
      <c r="Y1486" s="15"/>
      <c r="Z1486" s="15"/>
      <c r="AA1486" s="15"/>
      <c r="AB1486" s="15"/>
      <c r="AC1486" s="15"/>
      <c r="AD1486" s="15"/>
      <c r="AE1486" s="15"/>
      <c r="AF1486" s="15"/>
      <c r="AG1486" s="15"/>
      <c r="AH1486" s="15"/>
      <c r="AI1486" s="15"/>
      <c r="AJ1486" s="15"/>
      <c r="AK1486" s="15"/>
      <c r="AL1486" s="15"/>
      <c r="AM1486" s="15"/>
      <c r="AN1486" s="15"/>
      <c r="AO1486" s="15"/>
      <c r="AP1486" s="15"/>
      <c r="AQ1486" s="15"/>
      <c r="AR1486" s="15"/>
      <c r="AS1486" s="15"/>
      <c r="AT1486" s="15"/>
      <c r="AU1486" s="15"/>
      <c r="AV1486" s="15"/>
      <c r="AW1486" s="15"/>
      <c r="AX1486" s="15"/>
      <c r="AY1486" s="15"/>
      <c r="AZ1486" s="15"/>
      <c r="BA1486" s="15"/>
      <c r="BB1486" s="15"/>
      <c r="BC1486" s="15"/>
      <c r="BD1486" s="15"/>
      <c r="BE1486" s="15"/>
      <c r="BF1486" s="15"/>
      <c r="BG1486" s="15"/>
      <c r="BH1486" s="15"/>
      <c r="BI1486" s="15"/>
      <c r="BJ1486" s="15"/>
      <c r="BK1486" s="15"/>
      <c r="BL1486" s="15"/>
      <c r="BM1486" s="15"/>
      <c r="BN1486" s="15"/>
      <c r="BO1486" s="15"/>
      <c r="BP1486" s="15"/>
      <c r="BQ1486" s="15"/>
      <c r="BR1486" s="15"/>
      <c r="BS1486" s="15"/>
      <c r="BT1486" s="15"/>
      <c r="BU1486" s="15"/>
      <c r="BV1486" s="15"/>
      <c r="BW1486" s="15"/>
      <c r="BX1486" s="15"/>
      <c r="BY1486" s="15"/>
      <c r="BZ1486" s="15"/>
      <c r="CA1486" s="15"/>
      <c r="CB1486" s="15"/>
    </row>
    <row r="1487" spans="1:80" ht="12.75" hidden="1" customHeight="1">
      <c r="A1487" s="20">
        <f ca="1">IFERROR(__xludf.DUMMYFUNCTION("""COMPUTED_VALUE"""),2021)</f>
        <v>2021</v>
      </c>
      <c r="B1487" s="45">
        <f ca="1">IFERROR(__xludf.DUMMYFUNCTION("""COMPUTED_VALUE"""),44568)</f>
        <v>44568</v>
      </c>
      <c r="C1487" s="46"/>
      <c r="D1487" s="47" t="str">
        <f ca="1">IFERROR(__xludf.DUMMYFUNCTION("""COMPUTED_VALUE"""),"Caspian Gull")</f>
        <v>Caspian Gull</v>
      </c>
      <c r="E1487" s="52">
        <f ca="1">IFERROR(__xludf.DUMMYFUNCTION("""COMPUTED_VALUE"""),1)</f>
        <v>1</v>
      </c>
      <c r="F1487" s="25" t="str">
        <f ca="1">IFERROR(__xludf.DUMMYFUNCTION("""COMPUTED_VALUE"""),"1st W")</f>
        <v>1st W</v>
      </c>
      <c r="G1487" s="48" t="str">
        <f ca="1">IFERROR(__xludf.DUMMYFUNCTION("""COMPUTED_VALUE"""),"Widnes")</f>
        <v>Widnes</v>
      </c>
      <c r="H1487" s="22">
        <f ca="1">IFERROR(__xludf.DUMMYFUNCTION("""COMPUTED_VALUE"""),44445)</f>
        <v>44445</v>
      </c>
      <c r="I1487" s="22">
        <f ca="1">IFERROR(__xludf.DUMMYFUNCTION("""COMPUTED_VALUE"""),44520)</f>
        <v>44520</v>
      </c>
      <c r="J1487" s="24" t="str">
        <f ca="1">IFERROR(__xludf.DUMMYFUNCTION("""COMPUTED_VALUE"""),"Bird guides")</f>
        <v>Bird guides</v>
      </c>
      <c r="K1487" s="25"/>
      <c r="L1487" s="27" t="str">
        <f ca="1">IFERROR(__xludf.DUMMYFUNCTION("""COMPUTED_VALUE"""),"limbo")</f>
        <v>limbo</v>
      </c>
      <c r="M1487" s="27"/>
      <c r="N1487" s="25" t="str">
        <f ca="1">IFERROR(__xludf.DUMMYFUNCTION("""COMPUTED_VALUE"""),"not submitted")</f>
        <v>not submitted</v>
      </c>
      <c r="O1487" s="28" t="str">
        <f ca="1">IFERROR(__xludf.DUMMYFUNCTION("""COMPUTED_VALUE"""),"intermittently")</f>
        <v>intermittently</v>
      </c>
      <c r="P1487" s="25"/>
      <c r="Q1487" s="25"/>
      <c r="R1487" s="40"/>
      <c r="S1487" s="25"/>
      <c r="T1487" s="25"/>
      <c r="U1487" s="25"/>
      <c r="V1487" s="25"/>
      <c r="W1487" s="25"/>
      <c r="X1487" s="25"/>
      <c r="Y1487" s="25"/>
      <c r="Z1487" s="25"/>
      <c r="AA1487" s="25"/>
      <c r="AB1487" s="25"/>
      <c r="AC1487" s="25"/>
      <c r="AD1487" s="25"/>
      <c r="AE1487" s="25"/>
      <c r="AF1487" s="25"/>
      <c r="AG1487" s="25"/>
      <c r="AH1487" s="25"/>
      <c r="AI1487" s="25"/>
      <c r="AJ1487" s="25"/>
      <c r="AK1487" s="25"/>
      <c r="AL1487" s="25"/>
      <c r="AM1487" s="25"/>
      <c r="AN1487" s="25"/>
      <c r="AO1487" s="25"/>
      <c r="AP1487" s="25"/>
      <c r="AQ1487" s="25"/>
      <c r="AR1487" s="25"/>
      <c r="AS1487" s="25"/>
      <c r="AT1487" s="25"/>
      <c r="AU1487" s="25"/>
      <c r="AV1487" s="25"/>
      <c r="AW1487" s="25"/>
      <c r="AX1487" s="25"/>
      <c r="AY1487" s="25"/>
      <c r="AZ1487" s="25"/>
      <c r="BA1487" s="25"/>
      <c r="BB1487" s="25"/>
      <c r="BC1487" s="25"/>
      <c r="BD1487" s="25"/>
      <c r="BE1487" s="25"/>
      <c r="BF1487" s="25"/>
      <c r="BG1487" s="25"/>
      <c r="BH1487" s="25"/>
      <c r="BI1487" s="25"/>
      <c r="BJ1487" s="25"/>
      <c r="BK1487" s="25"/>
      <c r="BL1487" s="25"/>
      <c r="BM1487" s="25"/>
      <c r="BN1487" s="25"/>
      <c r="BO1487" s="25"/>
      <c r="BP1487" s="25"/>
      <c r="BQ1487" s="25"/>
      <c r="BR1487" s="25"/>
      <c r="BS1487" s="25"/>
      <c r="BT1487" s="25"/>
      <c r="BU1487" s="25"/>
      <c r="BV1487" s="25"/>
      <c r="BW1487" s="25"/>
      <c r="BX1487" s="25"/>
      <c r="BY1487" s="25"/>
      <c r="BZ1487" s="25"/>
      <c r="CA1487" s="25"/>
      <c r="CB1487" s="25"/>
    </row>
    <row r="1488" spans="1:80" ht="12.75" hidden="1" customHeight="1">
      <c r="A1488" s="10">
        <f ca="1">IFERROR(__xludf.DUMMYFUNCTION("""COMPUTED_VALUE"""),2021)</f>
        <v>2021</v>
      </c>
      <c r="B1488" s="50">
        <f ca="1">IFERROR(__xludf.DUMMYFUNCTION("""COMPUTED_VALUE"""),44568)</f>
        <v>44568</v>
      </c>
      <c r="C1488" s="41"/>
      <c r="D1488" s="42" t="str">
        <f ca="1">IFERROR(__xludf.DUMMYFUNCTION("""COMPUTED_VALUE"""),"Caspian Gull")</f>
        <v>Caspian Gull</v>
      </c>
      <c r="E1488" s="53">
        <f ca="1">IFERROR(__xludf.DUMMYFUNCTION("""COMPUTED_VALUE"""),1)</f>
        <v>1</v>
      </c>
      <c r="F1488" s="15" t="str">
        <f ca="1">IFERROR(__xludf.DUMMYFUNCTION("""COMPUTED_VALUE"""),"?")</f>
        <v>?</v>
      </c>
      <c r="G1488" s="44" t="str">
        <f ca="1">IFERROR(__xludf.DUMMYFUNCTION("""COMPUTED_VALUE"""),"Winsford")</f>
        <v>Winsford</v>
      </c>
      <c r="H1488" s="12">
        <f ca="1">IFERROR(__xludf.DUMMYFUNCTION("""COMPUTED_VALUE"""),44471)</f>
        <v>44471</v>
      </c>
      <c r="I1488" s="13"/>
      <c r="J1488" s="14" t="str">
        <f ca="1">IFERROR(__xludf.DUMMYFUNCTION("""COMPUTED_VALUE"""),"Bird guides")</f>
        <v>Bird guides</v>
      </c>
      <c r="K1488" s="15"/>
      <c r="L1488" s="17" t="str">
        <f ca="1">IFERROR(__xludf.DUMMYFUNCTION("""COMPUTED_VALUE"""),"limbo")</f>
        <v>limbo</v>
      </c>
      <c r="M1488" s="17"/>
      <c r="N1488" s="15" t="str">
        <f ca="1">IFERROR(__xludf.DUMMYFUNCTION("""COMPUTED_VALUE"""),"not submitted")</f>
        <v>not submitted</v>
      </c>
      <c r="O1488" s="18"/>
      <c r="P1488" s="15"/>
      <c r="Q1488" s="15"/>
      <c r="R1488" s="15"/>
      <c r="S1488" s="15"/>
      <c r="T1488" s="15"/>
      <c r="U1488" s="15"/>
      <c r="V1488" s="15"/>
      <c r="W1488" s="15"/>
      <c r="X1488" s="15"/>
      <c r="Y1488" s="15"/>
      <c r="Z1488" s="15"/>
      <c r="AA1488" s="15"/>
      <c r="AB1488" s="15"/>
      <c r="AC1488" s="15"/>
      <c r="AD1488" s="15"/>
      <c r="AE1488" s="15"/>
      <c r="AF1488" s="15"/>
      <c r="AG1488" s="15"/>
      <c r="AH1488" s="15"/>
      <c r="AI1488" s="15"/>
      <c r="AJ1488" s="15"/>
      <c r="AK1488" s="15"/>
      <c r="AL1488" s="15"/>
      <c r="AM1488" s="15"/>
      <c r="AN1488" s="15"/>
      <c r="AO1488" s="15"/>
      <c r="AP1488" s="15"/>
      <c r="AQ1488" s="15"/>
      <c r="AR1488" s="15"/>
      <c r="AS1488" s="15"/>
      <c r="AT1488" s="15"/>
      <c r="AU1488" s="15"/>
      <c r="AV1488" s="15"/>
      <c r="AW1488" s="15"/>
      <c r="AX1488" s="15"/>
      <c r="AY1488" s="15"/>
      <c r="AZ1488" s="15"/>
      <c r="BA1488" s="15"/>
      <c r="BB1488" s="15"/>
      <c r="BC1488" s="15"/>
      <c r="BD1488" s="15"/>
      <c r="BE1488" s="15"/>
      <c r="BF1488" s="15"/>
      <c r="BG1488" s="15"/>
      <c r="BH1488" s="15"/>
      <c r="BI1488" s="15"/>
      <c r="BJ1488" s="15"/>
      <c r="BK1488" s="15"/>
      <c r="BL1488" s="15"/>
      <c r="BM1488" s="15"/>
      <c r="BN1488" s="15"/>
      <c r="BO1488" s="15"/>
      <c r="BP1488" s="15"/>
      <c r="BQ1488" s="15"/>
      <c r="BR1488" s="15"/>
      <c r="BS1488" s="15"/>
      <c r="BT1488" s="15"/>
      <c r="BU1488" s="15"/>
      <c r="BV1488" s="15"/>
      <c r="BW1488" s="15"/>
      <c r="BX1488" s="15"/>
      <c r="BY1488" s="15"/>
      <c r="BZ1488" s="15"/>
      <c r="CA1488" s="15"/>
      <c r="CB1488" s="15"/>
    </row>
    <row r="1489" spans="1:80" ht="12.75" hidden="1" customHeight="1">
      <c r="A1489" s="20">
        <f ca="1">IFERROR(__xludf.DUMMYFUNCTION("""COMPUTED_VALUE"""),2021)</f>
        <v>2021</v>
      </c>
      <c r="B1489" s="45">
        <f ca="1">IFERROR(__xludf.DUMMYFUNCTION("""COMPUTED_VALUE"""),44568)</f>
        <v>44568</v>
      </c>
      <c r="C1489" s="46"/>
      <c r="D1489" s="47" t="str">
        <f ca="1">IFERROR(__xludf.DUMMYFUNCTION("""COMPUTED_VALUE"""),"Caspian Gull")</f>
        <v>Caspian Gull</v>
      </c>
      <c r="E1489" s="52">
        <f ca="1">IFERROR(__xludf.DUMMYFUNCTION("""COMPUTED_VALUE"""),1)</f>
        <v>1</v>
      </c>
      <c r="F1489" s="25" t="str">
        <f ca="1">IFERROR(__xludf.DUMMYFUNCTION("""COMPUTED_VALUE"""),"2nd W")</f>
        <v>2nd W</v>
      </c>
      <c r="G1489" s="48" t="str">
        <f ca="1">IFERROR(__xludf.DUMMYFUNCTION("""COMPUTED_VALUE"""),"Halebank")</f>
        <v>Halebank</v>
      </c>
      <c r="H1489" s="22">
        <f ca="1">IFERROR(__xludf.DUMMYFUNCTION("""COMPUTED_VALUE"""),44485)</f>
        <v>44485</v>
      </c>
      <c r="I1489" s="22">
        <f ca="1">IFERROR(__xludf.DUMMYFUNCTION("""COMPUTED_VALUE"""),44544)</f>
        <v>44544</v>
      </c>
      <c r="J1489" s="24" t="str">
        <f ca="1">IFERROR(__xludf.DUMMYFUNCTION("""COMPUTED_VALUE"""),"Tomlinson, S")</f>
        <v>Tomlinson, S</v>
      </c>
      <c r="K1489" s="25" t="str">
        <f ca="1">IFERROR(__xludf.DUMMYFUNCTION("""COMPUTED_VALUE"""),"Tomlinson, S")</f>
        <v>Tomlinson, S</v>
      </c>
      <c r="L1489" s="27" t="str">
        <f ca="1">IFERROR(__xludf.DUMMYFUNCTION("""COMPUTED_VALUE"""),"closed")</f>
        <v>closed</v>
      </c>
      <c r="M1489" s="27" t="str">
        <f ca="1">IFERROR(__xludf.DUMMYFUNCTION("""COMPUTED_VALUE"""),"photo")</f>
        <v>photo</v>
      </c>
      <c r="N1489" s="25" t="str">
        <f ca="1">IFERROR(__xludf.DUMMYFUNCTION("""COMPUTED_VALUE"""),"Accepted w/o circ")</f>
        <v>Accepted w/o circ</v>
      </c>
      <c r="O1489" s="28"/>
      <c r="P1489" s="25"/>
      <c r="Q1489" s="25"/>
      <c r="R1489" s="25"/>
      <c r="S1489" s="25"/>
      <c r="T1489" s="25"/>
      <c r="U1489" s="25"/>
      <c r="V1489" s="25"/>
      <c r="W1489" s="25"/>
      <c r="X1489" s="25"/>
      <c r="Y1489" s="25"/>
      <c r="Z1489" s="25"/>
      <c r="AA1489" s="25"/>
      <c r="AB1489" s="25"/>
      <c r="AC1489" s="25"/>
      <c r="AD1489" s="25"/>
      <c r="AE1489" s="25"/>
      <c r="AF1489" s="25"/>
      <c r="AG1489" s="25"/>
      <c r="AH1489" s="25"/>
      <c r="AI1489" s="25"/>
      <c r="AJ1489" s="25"/>
      <c r="AK1489" s="25"/>
      <c r="AL1489" s="25"/>
      <c r="AM1489" s="25"/>
      <c r="AN1489" s="25"/>
      <c r="AO1489" s="25"/>
      <c r="AP1489" s="25"/>
      <c r="AQ1489" s="25"/>
      <c r="AR1489" s="25"/>
      <c r="AS1489" s="25"/>
      <c r="AT1489" s="25"/>
      <c r="AU1489" s="25"/>
      <c r="AV1489" s="25"/>
      <c r="AW1489" s="25"/>
      <c r="AX1489" s="25"/>
      <c r="AY1489" s="25"/>
      <c r="AZ1489" s="25"/>
      <c r="BA1489" s="25"/>
      <c r="BB1489" s="25"/>
      <c r="BC1489" s="25"/>
      <c r="BD1489" s="25"/>
      <c r="BE1489" s="25"/>
      <c r="BF1489" s="25"/>
      <c r="BG1489" s="25"/>
      <c r="BH1489" s="25"/>
      <c r="BI1489" s="25"/>
      <c r="BJ1489" s="25"/>
      <c r="BK1489" s="25"/>
      <c r="BL1489" s="25"/>
      <c r="BM1489" s="25"/>
      <c r="BN1489" s="25"/>
      <c r="BO1489" s="25"/>
      <c r="BP1489" s="25"/>
      <c r="BQ1489" s="25"/>
      <c r="BR1489" s="25"/>
      <c r="BS1489" s="25"/>
      <c r="BT1489" s="25"/>
      <c r="BU1489" s="25"/>
      <c r="BV1489" s="25"/>
      <c r="BW1489" s="25"/>
      <c r="BX1489" s="25"/>
      <c r="BY1489" s="25"/>
      <c r="BZ1489" s="25"/>
      <c r="CA1489" s="25"/>
      <c r="CB1489" s="25"/>
    </row>
    <row r="1490" spans="1:80" ht="12.75" hidden="1" customHeight="1">
      <c r="A1490" s="10">
        <f ca="1">IFERROR(__xludf.DUMMYFUNCTION("""COMPUTED_VALUE"""),2021)</f>
        <v>2021</v>
      </c>
      <c r="B1490" s="50">
        <f ca="1">IFERROR(__xludf.DUMMYFUNCTION("""COMPUTED_VALUE"""),44568)</f>
        <v>44568</v>
      </c>
      <c r="C1490" s="41"/>
      <c r="D1490" s="42" t="str">
        <f ca="1">IFERROR(__xludf.DUMMYFUNCTION("""COMPUTED_VALUE"""),"Caspian Gull")</f>
        <v>Caspian Gull</v>
      </c>
      <c r="E1490" s="53">
        <f ca="1">IFERROR(__xludf.DUMMYFUNCTION("""COMPUTED_VALUE"""),2)</f>
        <v>2</v>
      </c>
      <c r="F1490" s="15" t="str">
        <f ca="1">IFERROR(__xludf.DUMMYFUNCTION("""COMPUTED_VALUE"""),"2nd W")</f>
        <v>2nd W</v>
      </c>
      <c r="G1490" s="44" t="str">
        <f ca="1">IFERROR(__xludf.DUMMYFUNCTION("""COMPUTED_VALUE"""),"Widnes,")</f>
        <v>Widnes,</v>
      </c>
      <c r="H1490" s="12">
        <f ca="1">IFERROR(__xludf.DUMMYFUNCTION("""COMPUTED_VALUE"""),44493)</f>
        <v>44493</v>
      </c>
      <c r="I1490" s="13"/>
      <c r="J1490" s="14" t="str">
        <f ca="1">IFERROR(__xludf.DUMMYFUNCTION("""COMPUTED_VALUE"""),"Bird guides")</f>
        <v>Bird guides</v>
      </c>
      <c r="K1490" s="15"/>
      <c r="L1490" s="17" t="str">
        <f ca="1">IFERROR(__xludf.DUMMYFUNCTION("""COMPUTED_VALUE"""),"limbo")</f>
        <v>limbo</v>
      </c>
      <c r="M1490" s="17"/>
      <c r="N1490" s="15" t="str">
        <f ca="1">IFERROR(__xludf.DUMMYFUNCTION("""COMPUTED_VALUE"""),"not submitted")</f>
        <v>not submitted</v>
      </c>
      <c r="O1490" s="18" t="str">
        <f ca="1">IFERROR(__xludf.DUMMYFUNCTION("""COMPUTED_VALUE"""),"2nd bird not described/supported")</f>
        <v>2nd bird not described/supported</v>
      </c>
      <c r="P1490" s="15"/>
      <c r="Q1490" s="15"/>
      <c r="R1490" s="15"/>
      <c r="S1490" s="15"/>
      <c r="T1490" s="15"/>
      <c r="U1490" s="15"/>
      <c r="V1490" s="15"/>
      <c r="W1490" s="15"/>
      <c r="X1490" s="15"/>
      <c r="Y1490" s="15"/>
      <c r="Z1490" s="15"/>
      <c r="AA1490" s="15"/>
      <c r="AB1490" s="15"/>
      <c r="AC1490" s="15"/>
      <c r="AD1490" s="15"/>
      <c r="AE1490" s="15"/>
      <c r="AF1490" s="15"/>
      <c r="AG1490" s="15"/>
      <c r="AH1490" s="15"/>
      <c r="AI1490" s="15"/>
      <c r="AJ1490" s="15"/>
      <c r="AK1490" s="15"/>
      <c r="AL1490" s="15"/>
      <c r="AM1490" s="15"/>
      <c r="AN1490" s="15"/>
      <c r="AO1490" s="15"/>
      <c r="AP1490" s="15"/>
      <c r="AQ1490" s="15"/>
      <c r="AR1490" s="15"/>
      <c r="AS1490" s="15"/>
      <c r="AT1490" s="15"/>
      <c r="AU1490" s="15"/>
      <c r="AV1490" s="15"/>
      <c r="AW1490" s="15"/>
      <c r="AX1490" s="15"/>
      <c r="AY1490" s="15"/>
      <c r="AZ1490" s="15"/>
      <c r="BA1490" s="15"/>
      <c r="BB1490" s="15"/>
      <c r="BC1490" s="15"/>
      <c r="BD1490" s="15"/>
      <c r="BE1490" s="15"/>
      <c r="BF1490" s="15"/>
      <c r="BG1490" s="15"/>
      <c r="BH1490" s="15"/>
      <c r="BI1490" s="15"/>
      <c r="BJ1490" s="15"/>
      <c r="BK1490" s="15"/>
      <c r="BL1490" s="15"/>
      <c r="BM1490" s="15"/>
      <c r="BN1490" s="15"/>
      <c r="BO1490" s="15"/>
      <c r="BP1490" s="15"/>
      <c r="BQ1490" s="15"/>
      <c r="BR1490" s="15"/>
      <c r="BS1490" s="15"/>
      <c r="BT1490" s="15"/>
      <c r="BU1490" s="15"/>
      <c r="BV1490" s="15"/>
      <c r="BW1490" s="15"/>
      <c r="BX1490" s="15"/>
      <c r="BY1490" s="15"/>
      <c r="BZ1490" s="15"/>
      <c r="CA1490" s="15"/>
      <c r="CB1490" s="15"/>
    </row>
    <row r="1491" spans="1:80" ht="12.75" hidden="1" customHeight="1">
      <c r="A1491" s="20">
        <f ca="1">IFERROR(__xludf.DUMMYFUNCTION("""COMPUTED_VALUE"""),2021)</f>
        <v>2021</v>
      </c>
      <c r="B1491" s="45">
        <f ca="1">IFERROR(__xludf.DUMMYFUNCTION("""COMPUTED_VALUE"""),44568)</f>
        <v>44568</v>
      </c>
      <c r="C1491" s="46"/>
      <c r="D1491" s="47" t="str">
        <f ca="1">IFERROR(__xludf.DUMMYFUNCTION("""COMPUTED_VALUE"""),"Caspian Gull")</f>
        <v>Caspian Gull</v>
      </c>
      <c r="E1491" s="52">
        <f ca="1">IFERROR(__xludf.DUMMYFUNCTION("""COMPUTED_VALUE"""),2)</f>
        <v>2</v>
      </c>
      <c r="F1491" s="25" t="str">
        <f ca="1">IFERROR(__xludf.DUMMYFUNCTION("""COMPUTED_VALUE"""),"near ad")</f>
        <v>near ad</v>
      </c>
      <c r="G1491" s="48" t="str">
        <f ca="1">IFERROR(__xludf.DUMMYFUNCTION("""COMPUTED_VALUE"""),"Widnes,")</f>
        <v>Widnes,</v>
      </c>
      <c r="H1491" s="22">
        <f ca="1">IFERROR(__xludf.DUMMYFUNCTION("""COMPUTED_VALUE"""),44544)</f>
        <v>44544</v>
      </c>
      <c r="I1491" s="23"/>
      <c r="J1491" s="24" t="str">
        <f ca="1">IFERROR(__xludf.DUMMYFUNCTION("""COMPUTED_VALUE"""),"Bird guides")</f>
        <v>Bird guides</v>
      </c>
      <c r="K1491" s="25"/>
      <c r="L1491" s="27" t="str">
        <f ca="1">IFERROR(__xludf.DUMMYFUNCTION("""COMPUTED_VALUE"""),"limbo")</f>
        <v>limbo</v>
      </c>
      <c r="M1491" s="27"/>
      <c r="N1491" s="25" t="str">
        <f ca="1">IFERROR(__xludf.DUMMYFUNCTION("""COMPUTED_VALUE"""),"not submitted")</f>
        <v>not submitted</v>
      </c>
      <c r="O1491" s="28"/>
      <c r="P1491" s="25"/>
      <c r="Q1491" s="25"/>
      <c r="R1491" s="25"/>
      <c r="S1491" s="25"/>
      <c r="T1491" s="25"/>
      <c r="U1491" s="25"/>
      <c r="V1491" s="25"/>
      <c r="W1491" s="25"/>
      <c r="X1491" s="25"/>
      <c r="Y1491" s="25"/>
      <c r="Z1491" s="25"/>
      <c r="AA1491" s="25"/>
      <c r="AB1491" s="25"/>
      <c r="AC1491" s="25"/>
      <c r="AD1491" s="25"/>
      <c r="AE1491" s="25"/>
      <c r="AF1491" s="25"/>
      <c r="AG1491" s="25"/>
      <c r="AH1491" s="25"/>
      <c r="AI1491" s="25"/>
      <c r="AJ1491" s="25"/>
      <c r="AK1491" s="25"/>
      <c r="AL1491" s="25"/>
      <c r="AM1491" s="25"/>
      <c r="AN1491" s="25"/>
      <c r="AO1491" s="25"/>
      <c r="AP1491" s="25"/>
      <c r="AQ1491" s="25"/>
      <c r="AR1491" s="25"/>
      <c r="AS1491" s="25"/>
      <c r="AT1491" s="25"/>
      <c r="AU1491" s="25"/>
      <c r="AV1491" s="25"/>
      <c r="AW1491" s="25"/>
      <c r="AX1491" s="25"/>
      <c r="AY1491" s="25"/>
      <c r="AZ1491" s="25"/>
      <c r="BA1491" s="25"/>
      <c r="BB1491" s="25"/>
      <c r="BC1491" s="25"/>
      <c r="BD1491" s="25"/>
      <c r="BE1491" s="25"/>
      <c r="BF1491" s="25"/>
      <c r="BG1491" s="25"/>
      <c r="BH1491" s="25"/>
      <c r="BI1491" s="25"/>
      <c r="BJ1491" s="25"/>
      <c r="BK1491" s="25"/>
      <c r="BL1491" s="25"/>
      <c r="BM1491" s="25"/>
      <c r="BN1491" s="25"/>
      <c r="BO1491" s="25"/>
      <c r="BP1491" s="25"/>
      <c r="BQ1491" s="25"/>
      <c r="BR1491" s="25"/>
      <c r="BS1491" s="25"/>
      <c r="BT1491" s="25"/>
      <c r="BU1491" s="25"/>
      <c r="BV1491" s="25"/>
      <c r="BW1491" s="25"/>
      <c r="BX1491" s="25"/>
      <c r="BY1491" s="25"/>
      <c r="BZ1491" s="25"/>
      <c r="CA1491" s="25"/>
      <c r="CB1491" s="25"/>
    </row>
    <row r="1492" spans="1:80" ht="12.75" hidden="1" customHeight="1">
      <c r="A1492" s="10">
        <f ca="1">IFERROR(__xludf.DUMMYFUNCTION("""COMPUTED_VALUE"""),2021)</f>
        <v>2021</v>
      </c>
      <c r="B1492" s="50">
        <f ca="1">IFERROR(__xludf.DUMMYFUNCTION("""COMPUTED_VALUE"""),44374)</f>
        <v>44374</v>
      </c>
      <c r="C1492" s="41"/>
      <c r="D1492" s="42" t="str">
        <f ca="1">IFERROR(__xludf.DUMMYFUNCTION("""COMPUTED_VALUE"""),"Roseate Tern")</f>
        <v>Roseate Tern</v>
      </c>
      <c r="E1492" s="53">
        <f ca="1">IFERROR(__xludf.DUMMYFUNCTION("""COMPUTED_VALUE"""),1)</f>
        <v>1</v>
      </c>
      <c r="F1492" s="15" t="str">
        <f ca="1">IFERROR(__xludf.DUMMYFUNCTION("""COMPUTED_VALUE"""),"ad")</f>
        <v>ad</v>
      </c>
      <c r="G1492" s="44" t="str">
        <f ca="1">IFERROR(__xludf.DUMMYFUNCTION("""COMPUTED_VALUE"""),"Hoylake")</f>
        <v>Hoylake</v>
      </c>
      <c r="H1492" s="12">
        <f ca="1">IFERROR(__xludf.DUMMYFUNCTION("""COMPUTED_VALUE"""),44403)</f>
        <v>44403</v>
      </c>
      <c r="I1492" s="13"/>
      <c r="J1492" s="14" t="str">
        <f ca="1">IFERROR(__xludf.DUMMYFUNCTION("""COMPUTED_VALUE"""),"County recorder")</f>
        <v>County recorder</v>
      </c>
      <c r="K1492" s="15" t="str">
        <f ca="1">IFERROR(__xludf.DUMMYFUNCTION("""COMPUTED_VALUE"""),"Conlin, A")</f>
        <v>Conlin, A</v>
      </c>
      <c r="L1492" s="17" t="str">
        <f ca="1">IFERROR(__xludf.DUMMYFUNCTION("""COMPUTED_VALUE"""),"closed")</f>
        <v>closed</v>
      </c>
      <c r="M1492" s="17" t="str">
        <f ca="1">IFERROR(__xludf.DUMMYFUNCTION("""COMPUTED_VALUE"""),"photo")</f>
        <v>photo</v>
      </c>
      <c r="N1492" s="15" t="str">
        <f ca="1">IFERROR(__xludf.DUMMYFUNCTION("""COMPUTED_VALUE"""),"Accepted w/o circ")</f>
        <v>Accepted w/o circ</v>
      </c>
      <c r="O1492" s="18" t="str">
        <f ca="1">IFERROR(__xludf.DUMMYFUNCTION("""COMPUTED_VALUE"""),"photos")</f>
        <v>photos</v>
      </c>
      <c r="P1492" s="15"/>
      <c r="Q1492" s="58"/>
      <c r="R1492" s="58"/>
      <c r="S1492" s="15"/>
      <c r="T1492" s="15"/>
      <c r="U1492" s="15"/>
      <c r="V1492" s="15"/>
      <c r="W1492" s="15"/>
      <c r="X1492" s="15"/>
      <c r="Y1492" s="15"/>
      <c r="Z1492" s="15"/>
      <c r="AA1492" s="15"/>
      <c r="AB1492" s="15"/>
      <c r="AC1492" s="15"/>
      <c r="AD1492" s="15"/>
      <c r="AE1492" s="15"/>
      <c r="AF1492" s="15"/>
      <c r="AG1492" s="15"/>
      <c r="AH1492" s="15"/>
      <c r="AI1492" s="15"/>
      <c r="AJ1492" s="15"/>
      <c r="AK1492" s="15"/>
      <c r="AL1492" s="15"/>
      <c r="AM1492" s="15"/>
      <c r="AN1492" s="15"/>
      <c r="AO1492" s="15"/>
      <c r="AP1492" s="15"/>
      <c r="AQ1492" s="15"/>
      <c r="AR1492" s="15"/>
      <c r="AS1492" s="15"/>
      <c r="AT1492" s="15"/>
      <c r="AU1492" s="15"/>
      <c r="AV1492" s="15"/>
      <c r="AW1492" s="15"/>
      <c r="AX1492" s="15"/>
      <c r="AY1492" s="15"/>
      <c r="AZ1492" s="15"/>
      <c r="BA1492" s="15"/>
      <c r="BB1492" s="15"/>
      <c r="BC1492" s="15"/>
      <c r="BD1492" s="15"/>
      <c r="BE1492" s="15"/>
      <c r="BF1492" s="15"/>
      <c r="BG1492" s="15"/>
      <c r="BH1492" s="15"/>
      <c r="BI1492" s="15"/>
      <c r="BJ1492" s="15"/>
      <c r="BK1492" s="15"/>
      <c r="BL1492" s="15"/>
      <c r="BM1492" s="15"/>
      <c r="BN1492" s="15"/>
      <c r="BO1492" s="15"/>
      <c r="BP1492" s="15"/>
      <c r="BQ1492" s="15"/>
      <c r="BR1492" s="15"/>
      <c r="BS1492" s="15"/>
      <c r="BT1492" s="15"/>
      <c r="BU1492" s="15"/>
      <c r="BV1492" s="15"/>
      <c r="BW1492" s="15"/>
      <c r="BX1492" s="15"/>
      <c r="BY1492" s="15"/>
      <c r="BZ1492" s="15"/>
      <c r="CA1492" s="15"/>
      <c r="CB1492" s="15"/>
    </row>
    <row r="1493" spans="1:80" ht="12.75" hidden="1" customHeight="1">
      <c r="A1493" s="20">
        <f ca="1">IFERROR(__xludf.DUMMYFUNCTION("""COMPUTED_VALUE"""),2021)</f>
        <v>2021</v>
      </c>
      <c r="B1493" s="45">
        <f ca="1">IFERROR(__xludf.DUMMYFUNCTION("""COMPUTED_VALUE"""),44721)</f>
        <v>44721</v>
      </c>
      <c r="C1493" s="46"/>
      <c r="D1493" s="47" t="str">
        <f ca="1">IFERROR(__xludf.DUMMYFUNCTION("""COMPUTED_VALUE"""),"Little Auk")</f>
        <v>Little Auk</v>
      </c>
      <c r="E1493" s="52">
        <f ca="1">IFERROR(__xludf.DUMMYFUNCTION("""COMPUTED_VALUE"""),1)</f>
        <v>1</v>
      </c>
      <c r="F1493" s="25"/>
      <c r="G1493" s="48" t="str">
        <f ca="1">IFERROR(__xludf.DUMMYFUNCTION("""COMPUTED_VALUE"""),"Hilbre")</f>
        <v>Hilbre</v>
      </c>
      <c r="H1493" s="22">
        <f ca="1">IFERROR(__xludf.DUMMYFUNCTION("""COMPUTED_VALUE"""),44490)</f>
        <v>44490</v>
      </c>
      <c r="I1493" s="23"/>
      <c r="J1493" s="24"/>
      <c r="K1493" s="25"/>
      <c r="L1493" s="27" t="str">
        <f ca="1">IFERROR(__xludf.DUMMYFUNCTION("""COMPUTED_VALUE"""),"limbo")</f>
        <v>limbo</v>
      </c>
      <c r="M1493" s="27"/>
      <c r="N1493" s="25" t="str">
        <f ca="1">IFERROR(__xludf.DUMMYFUNCTION("""COMPUTED_VALUE"""),"not submitted")</f>
        <v>not submitted</v>
      </c>
      <c r="O1493" s="28"/>
      <c r="P1493" s="25"/>
      <c r="Q1493" s="25"/>
      <c r="R1493" s="25"/>
      <c r="S1493" s="25"/>
      <c r="T1493" s="25"/>
      <c r="U1493" s="25"/>
      <c r="V1493" s="25"/>
      <c r="W1493" s="25"/>
      <c r="X1493" s="25"/>
      <c r="Y1493" s="25"/>
      <c r="Z1493" s="25"/>
      <c r="AA1493" s="25"/>
      <c r="AB1493" s="25"/>
      <c r="AC1493" s="25"/>
      <c r="AD1493" s="25"/>
      <c r="AE1493" s="25"/>
      <c r="AF1493" s="25"/>
      <c r="AG1493" s="25"/>
      <c r="AH1493" s="25"/>
      <c r="AI1493" s="25"/>
      <c r="AJ1493" s="25"/>
      <c r="AK1493" s="25"/>
      <c r="AL1493" s="25"/>
      <c r="AM1493" s="25"/>
      <c r="AN1493" s="25"/>
      <c r="AO1493" s="25"/>
      <c r="AP1493" s="25"/>
      <c r="AQ1493" s="25"/>
      <c r="AR1493" s="25"/>
      <c r="AS1493" s="25"/>
      <c r="AT1493" s="25"/>
      <c r="AU1493" s="25"/>
      <c r="AV1493" s="25"/>
      <c r="AW1493" s="25"/>
      <c r="AX1493" s="25"/>
      <c r="AY1493" s="25"/>
      <c r="AZ1493" s="25"/>
      <c r="BA1493" s="25"/>
      <c r="BB1493" s="25"/>
      <c r="BC1493" s="25"/>
      <c r="BD1493" s="25"/>
      <c r="BE1493" s="25"/>
      <c r="BF1493" s="25"/>
      <c r="BG1493" s="25"/>
      <c r="BH1493" s="25"/>
      <c r="BI1493" s="25"/>
      <c r="BJ1493" s="25"/>
      <c r="BK1493" s="25"/>
      <c r="BL1493" s="25"/>
      <c r="BM1493" s="25"/>
      <c r="BN1493" s="25"/>
      <c r="BO1493" s="25"/>
      <c r="BP1493" s="25"/>
      <c r="BQ1493" s="25"/>
      <c r="BR1493" s="25"/>
      <c r="BS1493" s="25"/>
      <c r="BT1493" s="25"/>
      <c r="BU1493" s="25"/>
      <c r="BV1493" s="25"/>
      <c r="BW1493" s="25"/>
      <c r="BX1493" s="25"/>
      <c r="BY1493" s="25"/>
      <c r="BZ1493" s="25"/>
      <c r="CA1493" s="25"/>
      <c r="CB1493" s="25"/>
    </row>
    <row r="1494" spans="1:80" ht="12.75" hidden="1" customHeight="1">
      <c r="A1494" s="10">
        <f ca="1">IFERROR(__xludf.DUMMYFUNCTION("""COMPUTED_VALUE"""),2021)</f>
        <v>2021</v>
      </c>
      <c r="B1494" s="50">
        <f ca="1">IFERROR(__xludf.DUMMYFUNCTION("""COMPUTED_VALUE"""),44570)</f>
        <v>44570</v>
      </c>
      <c r="C1494" s="41"/>
      <c r="D1494" s="42" t="str">
        <f ca="1">IFERROR(__xludf.DUMMYFUNCTION("""COMPUTED_VALUE"""),"Little Auk")</f>
        <v>Little Auk</v>
      </c>
      <c r="E1494" s="53">
        <f ca="1">IFERROR(__xludf.DUMMYFUNCTION("""COMPUTED_VALUE"""),1)</f>
        <v>1</v>
      </c>
      <c r="F1494" s="15"/>
      <c r="G1494" s="44" t="str">
        <f ca="1">IFERROR(__xludf.DUMMYFUNCTION("""COMPUTED_VALUE"""),"Tarvin")</f>
        <v>Tarvin</v>
      </c>
      <c r="H1494" s="12">
        <f ca="1">IFERROR(__xludf.DUMMYFUNCTION("""COMPUTED_VALUE"""),44527)</f>
        <v>44527</v>
      </c>
      <c r="I1494" s="13" t="str">
        <f ca="1">IFERROR(__xludf.DUMMYFUNCTION("""COMPUTED_VALUE"""),"Check date")</f>
        <v>Check date</v>
      </c>
      <c r="J1494" s="14" t="str">
        <f ca="1">IFERROR(__xludf.DUMMYFUNCTION("""COMPUTED_VALUE"""),"Craven, D (Id online)")</f>
        <v>Craven, D (Id online)</v>
      </c>
      <c r="K1494" s="15" t="str">
        <f ca="1">IFERROR(__xludf.DUMMYFUNCTION("""COMPUTED_VALUE"""),"Lloyd, D")</f>
        <v>Lloyd, D</v>
      </c>
      <c r="L1494" s="17" t="str">
        <f ca="1">IFERROR(__xludf.DUMMYFUNCTION("""COMPUTED_VALUE"""),"closed")</f>
        <v>closed</v>
      </c>
      <c r="M1494" s="17" t="str">
        <f ca="1">IFERROR(__xludf.DUMMYFUNCTION("""COMPUTED_VALUE"""),"photo")</f>
        <v>photo</v>
      </c>
      <c r="N1494" s="15" t="str">
        <f ca="1">IFERROR(__xludf.DUMMYFUNCTION("""COMPUTED_VALUE"""),"Accepted w/o circ")</f>
        <v>Accepted w/o circ</v>
      </c>
      <c r="O1494" s="18" t="str">
        <f ca="1">IFERROR(__xludf.DUMMYFUNCTION("""COMPUTED_VALUE"""),"Moribund in field - appeared as a query in UK bird identification")</f>
        <v>Moribund in field - appeared as a query in UK bird identification</v>
      </c>
      <c r="P1494" s="15"/>
      <c r="Q1494" s="15"/>
      <c r="R1494" s="15"/>
      <c r="S1494" s="15"/>
      <c r="T1494" s="15"/>
      <c r="U1494" s="15"/>
      <c r="V1494" s="15"/>
      <c r="W1494" s="15"/>
      <c r="X1494" s="15"/>
      <c r="Y1494" s="15"/>
      <c r="Z1494" s="15"/>
      <c r="AA1494" s="15"/>
      <c r="AB1494" s="15"/>
      <c r="AC1494" s="15"/>
      <c r="AD1494" s="15"/>
      <c r="AE1494" s="15"/>
      <c r="AF1494" s="15"/>
      <c r="AG1494" s="15"/>
      <c r="AH1494" s="15"/>
      <c r="AI1494" s="15"/>
      <c r="AJ1494" s="15"/>
      <c r="AK1494" s="15"/>
      <c r="AL1494" s="15"/>
      <c r="AM1494" s="15"/>
      <c r="AN1494" s="15"/>
      <c r="AO1494" s="15"/>
      <c r="AP1494" s="15"/>
      <c r="AQ1494" s="15"/>
      <c r="AR1494" s="15"/>
      <c r="AS1494" s="15"/>
      <c r="AT1494" s="15"/>
      <c r="AU1494" s="15"/>
      <c r="AV1494" s="15"/>
      <c r="AW1494" s="15"/>
      <c r="AX1494" s="15"/>
      <c r="AY1494" s="15"/>
      <c r="AZ1494" s="15"/>
      <c r="BA1494" s="15"/>
      <c r="BB1494" s="15"/>
      <c r="BC1494" s="15"/>
      <c r="BD1494" s="15"/>
      <c r="BE1494" s="15"/>
      <c r="BF1494" s="15"/>
      <c r="BG1494" s="15"/>
      <c r="BH1494" s="15"/>
      <c r="BI1494" s="15"/>
      <c r="BJ1494" s="15"/>
      <c r="BK1494" s="15"/>
      <c r="BL1494" s="15"/>
      <c r="BM1494" s="15"/>
      <c r="BN1494" s="15"/>
      <c r="BO1494" s="15"/>
      <c r="BP1494" s="15"/>
      <c r="BQ1494" s="15"/>
      <c r="BR1494" s="15"/>
      <c r="BS1494" s="15"/>
      <c r="BT1494" s="15"/>
      <c r="BU1494" s="15"/>
      <c r="BV1494" s="15"/>
      <c r="BW1494" s="15"/>
      <c r="BX1494" s="15"/>
      <c r="BY1494" s="15"/>
      <c r="BZ1494" s="15"/>
      <c r="CA1494" s="15"/>
      <c r="CB1494" s="15"/>
    </row>
    <row r="1495" spans="1:80" ht="12.75" hidden="1" customHeight="1">
      <c r="A1495" s="20">
        <f ca="1">IFERROR(__xludf.DUMMYFUNCTION("""COMPUTED_VALUE"""),2021)</f>
        <v>2021</v>
      </c>
      <c r="B1495" s="45">
        <f ca="1">IFERROR(__xludf.DUMMYFUNCTION("""COMPUTED_VALUE"""),44404)</f>
        <v>44404</v>
      </c>
      <c r="C1495" s="46"/>
      <c r="D1495" s="47" t="str">
        <f ca="1">IFERROR(__xludf.DUMMYFUNCTION("""COMPUTED_VALUE"""),"Black-throated Diver")</f>
        <v>Black-throated Diver</v>
      </c>
      <c r="E1495" s="52">
        <f ca="1">IFERROR(__xludf.DUMMYFUNCTION("""COMPUTED_VALUE"""),1)</f>
        <v>1</v>
      </c>
      <c r="F1495" s="25"/>
      <c r="G1495" s="48" t="str">
        <f ca="1">IFERROR(__xludf.DUMMYFUNCTION("""COMPUTED_VALUE"""),"Wallasey Shore")</f>
        <v>Wallasey Shore</v>
      </c>
      <c r="H1495" s="22">
        <f ca="1">IFERROR(__xludf.DUMMYFUNCTION("""COMPUTED_VALUE"""),44313)</f>
        <v>44313</v>
      </c>
      <c r="I1495" s="23"/>
      <c r="J1495" s="24" t="str">
        <f ca="1">IFERROR(__xludf.DUMMYFUNCTION("""COMPUTED_VALUE"""),"Birdguides")</f>
        <v>Birdguides</v>
      </c>
      <c r="K1495" s="25"/>
      <c r="L1495" s="27" t="str">
        <f ca="1">IFERROR(__xludf.DUMMYFUNCTION("""COMPUTED_VALUE"""),"limbo")</f>
        <v>limbo</v>
      </c>
      <c r="M1495" s="27"/>
      <c r="N1495" s="25" t="str">
        <f ca="1">IFERROR(__xludf.DUMMYFUNCTION("""COMPUTED_VALUE"""),"not submitted")</f>
        <v>not submitted</v>
      </c>
      <c r="O1495" s="28"/>
      <c r="P1495" s="25"/>
      <c r="Q1495" s="25"/>
      <c r="R1495" s="40"/>
      <c r="S1495" s="25"/>
      <c r="T1495" s="25"/>
      <c r="U1495" s="25"/>
      <c r="V1495" s="25"/>
      <c r="W1495" s="25"/>
      <c r="X1495" s="25"/>
      <c r="Y1495" s="25"/>
      <c r="Z1495" s="25"/>
      <c r="AA1495" s="25"/>
      <c r="AB1495" s="25"/>
      <c r="AC1495" s="25"/>
      <c r="AD1495" s="25"/>
      <c r="AE1495" s="25"/>
      <c r="AF1495" s="25"/>
      <c r="AG1495" s="25"/>
      <c r="AH1495" s="25"/>
      <c r="AI1495" s="25"/>
      <c r="AJ1495" s="25"/>
      <c r="AK1495" s="25"/>
      <c r="AL1495" s="25"/>
      <c r="AM1495" s="25"/>
      <c r="AN1495" s="25"/>
      <c r="AO1495" s="25"/>
      <c r="AP1495" s="25"/>
      <c r="AQ1495" s="25"/>
      <c r="AR1495" s="25"/>
      <c r="AS1495" s="25"/>
      <c r="AT1495" s="25"/>
      <c r="AU1495" s="25"/>
      <c r="AV1495" s="25"/>
      <c r="AW1495" s="25"/>
      <c r="AX1495" s="25"/>
      <c r="AY1495" s="25"/>
      <c r="AZ1495" s="25"/>
      <c r="BA1495" s="25"/>
      <c r="BB1495" s="25"/>
      <c r="BC1495" s="25"/>
      <c r="BD1495" s="25"/>
      <c r="BE1495" s="25"/>
      <c r="BF1495" s="25"/>
      <c r="BG1495" s="25"/>
      <c r="BH1495" s="25"/>
      <c r="BI1495" s="25"/>
      <c r="BJ1495" s="25"/>
      <c r="BK1495" s="25"/>
      <c r="BL1495" s="25"/>
      <c r="BM1495" s="25"/>
      <c r="BN1495" s="25"/>
      <c r="BO1495" s="25"/>
      <c r="BP1495" s="25"/>
      <c r="BQ1495" s="25"/>
      <c r="BR1495" s="25"/>
      <c r="BS1495" s="25"/>
      <c r="BT1495" s="25"/>
      <c r="BU1495" s="25"/>
      <c r="BV1495" s="25"/>
      <c r="BW1495" s="25"/>
      <c r="BX1495" s="25"/>
      <c r="BY1495" s="25"/>
      <c r="BZ1495" s="25"/>
      <c r="CA1495" s="25"/>
      <c r="CB1495" s="25"/>
    </row>
    <row r="1496" spans="1:80" ht="12.75" hidden="1" customHeight="1">
      <c r="A1496" s="10">
        <f ca="1">IFERROR(__xludf.DUMMYFUNCTION("""COMPUTED_VALUE"""),2021)</f>
        <v>2021</v>
      </c>
      <c r="B1496" s="50">
        <f ca="1">IFERROR(__xludf.DUMMYFUNCTION("""COMPUTED_VALUE"""),44568)</f>
        <v>44568</v>
      </c>
      <c r="C1496" s="41"/>
      <c r="D1496" s="42" t="str">
        <f ca="1">IFERROR(__xludf.DUMMYFUNCTION("""COMPUTED_VALUE"""),"Great Northern Diver")</f>
        <v>Great Northern Diver</v>
      </c>
      <c r="E1496" s="53">
        <f ca="1">IFERROR(__xludf.DUMMYFUNCTION("""COMPUTED_VALUE"""),2)</f>
        <v>2</v>
      </c>
      <c r="F1496" s="15"/>
      <c r="G1496" s="44" t="str">
        <f ca="1">IFERROR(__xludf.DUMMYFUNCTION("""COMPUTED_VALUE"""),"Hoylake")</f>
        <v>Hoylake</v>
      </c>
      <c r="H1496" s="12">
        <f ca="1">IFERROR(__xludf.DUMMYFUNCTION("""COMPUTED_VALUE"""),44205)</f>
        <v>44205</v>
      </c>
      <c r="I1496" s="13"/>
      <c r="J1496" s="14" t="str">
        <f ca="1">IFERROR(__xludf.DUMMYFUNCTION("""COMPUTED_VALUE"""),"Birdguides")</f>
        <v>Birdguides</v>
      </c>
      <c r="K1496" s="15"/>
      <c r="L1496" s="17" t="str">
        <f ca="1">IFERROR(__xludf.DUMMYFUNCTION("""COMPUTED_VALUE"""),"limbo")</f>
        <v>limbo</v>
      </c>
      <c r="M1496" s="17"/>
      <c r="N1496" s="15" t="str">
        <f ca="1">IFERROR(__xludf.DUMMYFUNCTION("""COMPUTED_VALUE"""),"not submitted")</f>
        <v>not submitted</v>
      </c>
      <c r="O1496" s="18"/>
      <c r="P1496" s="15"/>
      <c r="Q1496" s="15"/>
      <c r="R1496" s="15"/>
      <c r="S1496" s="15"/>
      <c r="T1496" s="15"/>
      <c r="U1496" s="15"/>
      <c r="V1496" s="15"/>
      <c r="W1496" s="15"/>
      <c r="X1496" s="15"/>
      <c r="Y1496" s="15"/>
      <c r="Z1496" s="15"/>
      <c r="AA1496" s="15"/>
      <c r="AB1496" s="15"/>
      <c r="AC1496" s="15"/>
      <c r="AD1496" s="15"/>
      <c r="AE1496" s="15"/>
      <c r="AF1496" s="15"/>
      <c r="AG1496" s="15"/>
      <c r="AH1496" s="15"/>
      <c r="AI1496" s="15"/>
      <c r="AJ1496" s="15"/>
      <c r="AK1496" s="15"/>
      <c r="AL1496" s="15"/>
      <c r="AM1496" s="15"/>
      <c r="AN1496" s="15"/>
      <c r="AO1496" s="15"/>
      <c r="AP1496" s="15"/>
      <c r="AQ1496" s="15"/>
      <c r="AR1496" s="15"/>
      <c r="AS1496" s="15"/>
      <c r="AT1496" s="15"/>
      <c r="AU1496" s="15"/>
      <c r="AV1496" s="15"/>
      <c r="AW1496" s="15"/>
      <c r="AX1496" s="15"/>
      <c r="AY1496" s="15"/>
      <c r="AZ1496" s="15"/>
      <c r="BA1496" s="15"/>
      <c r="BB1496" s="15"/>
      <c r="BC1496" s="15"/>
      <c r="BD1496" s="15"/>
      <c r="BE1496" s="15"/>
      <c r="BF1496" s="15"/>
      <c r="BG1496" s="15"/>
      <c r="BH1496" s="15"/>
      <c r="BI1496" s="15"/>
      <c r="BJ1496" s="15"/>
      <c r="BK1496" s="15"/>
      <c r="BL1496" s="15"/>
      <c r="BM1496" s="15"/>
      <c r="BN1496" s="15"/>
      <c r="BO1496" s="15"/>
      <c r="BP1496" s="15"/>
      <c r="BQ1496" s="15"/>
      <c r="BR1496" s="15"/>
      <c r="BS1496" s="15"/>
      <c r="BT1496" s="15"/>
      <c r="BU1496" s="15"/>
      <c r="BV1496" s="15"/>
      <c r="BW1496" s="15"/>
      <c r="BX1496" s="15"/>
      <c r="BY1496" s="15"/>
      <c r="BZ1496" s="15"/>
      <c r="CA1496" s="15"/>
      <c r="CB1496" s="15"/>
    </row>
    <row r="1497" spans="1:80" ht="12.75" hidden="1" customHeight="1">
      <c r="A1497" s="20">
        <f ca="1">IFERROR(__xludf.DUMMYFUNCTION("""COMPUTED_VALUE"""),2021)</f>
        <v>2021</v>
      </c>
      <c r="B1497" s="45">
        <f ca="1">IFERROR(__xludf.DUMMYFUNCTION("""COMPUTED_VALUE"""),44568)</f>
        <v>44568</v>
      </c>
      <c r="C1497" s="46"/>
      <c r="D1497" s="47" t="str">
        <f ca="1">IFERROR(__xludf.DUMMYFUNCTION("""COMPUTED_VALUE"""),"Great Northern Diver")</f>
        <v>Great Northern Diver</v>
      </c>
      <c r="E1497" s="52">
        <f ca="1">IFERROR(__xludf.DUMMYFUNCTION("""COMPUTED_VALUE"""),1)</f>
        <v>1</v>
      </c>
      <c r="F1497" s="25"/>
      <c r="G1497" s="48" t="str">
        <f ca="1">IFERROR(__xludf.DUMMYFUNCTION("""COMPUTED_VALUE"""),"Leasowe")</f>
        <v>Leasowe</v>
      </c>
      <c r="H1497" s="22">
        <f ca="1">IFERROR(__xludf.DUMMYFUNCTION("""COMPUTED_VALUE"""),44259)</f>
        <v>44259</v>
      </c>
      <c r="I1497" s="22">
        <f ca="1">IFERROR(__xludf.DUMMYFUNCTION("""COMPUTED_VALUE"""),44260)</f>
        <v>44260</v>
      </c>
      <c r="J1497" s="24" t="str">
        <f ca="1">IFERROR(__xludf.DUMMYFUNCTION("""COMPUTED_VALUE"""),"Birdguides")</f>
        <v>Birdguides</v>
      </c>
      <c r="K1497" s="25"/>
      <c r="L1497" s="27" t="str">
        <f ca="1">IFERROR(__xludf.DUMMYFUNCTION("""COMPUTED_VALUE"""),"limbo")</f>
        <v>limbo</v>
      </c>
      <c r="M1497" s="27"/>
      <c r="N1497" s="25" t="str">
        <f ca="1">IFERROR(__xludf.DUMMYFUNCTION("""COMPUTED_VALUE"""),"not submitted")</f>
        <v>not submitted</v>
      </c>
      <c r="O1497" s="28"/>
      <c r="P1497" s="25"/>
      <c r="Q1497" s="25"/>
      <c r="R1497" s="25"/>
      <c r="S1497" s="25"/>
      <c r="T1497" s="25"/>
      <c r="U1497" s="25"/>
      <c r="V1497" s="25"/>
      <c r="W1497" s="25"/>
      <c r="X1497" s="25"/>
      <c r="Y1497" s="25"/>
      <c r="Z1497" s="25"/>
      <c r="AA1497" s="25"/>
      <c r="AB1497" s="25"/>
      <c r="AC1497" s="25"/>
      <c r="AD1497" s="25"/>
      <c r="AE1497" s="25"/>
      <c r="AF1497" s="25"/>
      <c r="AG1497" s="25"/>
      <c r="AH1497" s="25"/>
      <c r="AI1497" s="25"/>
      <c r="AJ1497" s="25"/>
      <c r="AK1497" s="25"/>
      <c r="AL1497" s="25"/>
      <c r="AM1497" s="25"/>
      <c r="AN1497" s="25"/>
      <c r="AO1497" s="25"/>
      <c r="AP1497" s="25"/>
      <c r="AQ1497" s="25"/>
      <c r="AR1497" s="25"/>
      <c r="AS1497" s="25"/>
      <c r="AT1497" s="25"/>
      <c r="AU1497" s="25"/>
      <c r="AV1497" s="25"/>
      <c r="AW1497" s="25"/>
      <c r="AX1497" s="25"/>
      <c r="AY1497" s="25"/>
      <c r="AZ1497" s="25"/>
      <c r="BA1497" s="25"/>
      <c r="BB1497" s="25"/>
      <c r="BC1497" s="25"/>
      <c r="BD1497" s="25"/>
      <c r="BE1497" s="25"/>
      <c r="BF1497" s="25"/>
      <c r="BG1497" s="25"/>
      <c r="BH1497" s="25"/>
      <c r="BI1497" s="25"/>
      <c r="BJ1497" s="25"/>
      <c r="BK1497" s="25"/>
      <c r="BL1497" s="25"/>
      <c r="BM1497" s="25"/>
      <c r="BN1497" s="25"/>
      <c r="BO1497" s="25"/>
      <c r="BP1497" s="25"/>
      <c r="BQ1497" s="25"/>
      <c r="BR1497" s="25"/>
      <c r="BS1497" s="25"/>
      <c r="BT1497" s="25"/>
      <c r="BU1497" s="25"/>
      <c r="BV1497" s="25"/>
      <c r="BW1497" s="25"/>
      <c r="BX1497" s="25"/>
      <c r="BY1497" s="25"/>
      <c r="BZ1497" s="25"/>
      <c r="CA1497" s="25"/>
      <c r="CB1497" s="25"/>
    </row>
    <row r="1498" spans="1:80" ht="12.75" hidden="1" customHeight="1">
      <c r="A1498" s="10">
        <f ca="1">IFERROR(__xludf.DUMMYFUNCTION("""COMPUTED_VALUE"""),2021)</f>
        <v>2021</v>
      </c>
      <c r="B1498" s="50">
        <f ca="1">IFERROR(__xludf.DUMMYFUNCTION("""COMPUTED_VALUE"""),44568)</f>
        <v>44568</v>
      </c>
      <c r="C1498" s="41"/>
      <c r="D1498" s="42" t="str">
        <f ca="1">IFERROR(__xludf.DUMMYFUNCTION("""COMPUTED_VALUE"""),"Great Northern Diver")</f>
        <v>Great Northern Diver</v>
      </c>
      <c r="E1498" s="53">
        <f ca="1">IFERROR(__xludf.DUMMYFUNCTION("""COMPUTED_VALUE"""),1)</f>
        <v>1</v>
      </c>
      <c r="F1498" s="15"/>
      <c r="G1498" s="44" t="str">
        <f ca="1">IFERROR(__xludf.DUMMYFUNCTION("""COMPUTED_VALUE"""),"Hilbre")</f>
        <v>Hilbre</v>
      </c>
      <c r="H1498" s="12">
        <f ca="1">IFERROR(__xludf.DUMMYFUNCTION("""COMPUTED_VALUE"""),44443)</f>
        <v>44443</v>
      </c>
      <c r="I1498" s="13"/>
      <c r="J1498" s="14" t="str">
        <f ca="1">IFERROR(__xludf.DUMMYFUNCTION("""COMPUTED_VALUE"""),"Birdguides")</f>
        <v>Birdguides</v>
      </c>
      <c r="K1498" s="15"/>
      <c r="L1498" s="17" t="str">
        <f ca="1">IFERROR(__xludf.DUMMYFUNCTION("""COMPUTED_VALUE"""),"limbo")</f>
        <v>limbo</v>
      </c>
      <c r="M1498" s="17"/>
      <c r="N1498" s="15" t="str">
        <f ca="1">IFERROR(__xludf.DUMMYFUNCTION("""COMPUTED_VALUE"""),"not submitted")</f>
        <v>not submitted</v>
      </c>
      <c r="O1498" s="18"/>
      <c r="P1498" s="15"/>
      <c r="Q1498" s="15"/>
      <c r="R1498" s="58"/>
      <c r="S1498" s="15"/>
      <c r="T1498" s="15"/>
      <c r="U1498" s="15"/>
      <c r="V1498" s="15"/>
      <c r="W1498" s="15"/>
      <c r="X1498" s="15"/>
      <c r="Y1498" s="15"/>
      <c r="Z1498" s="15"/>
      <c r="AA1498" s="15"/>
      <c r="AB1498" s="15"/>
      <c r="AC1498" s="15"/>
      <c r="AD1498" s="15"/>
      <c r="AE1498" s="15"/>
      <c r="AF1498" s="15"/>
      <c r="AG1498" s="15"/>
      <c r="AH1498" s="15"/>
      <c r="AI1498" s="15"/>
      <c r="AJ1498" s="15"/>
      <c r="AK1498" s="15"/>
      <c r="AL1498" s="15"/>
      <c r="AM1498" s="15"/>
      <c r="AN1498" s="15"/>
      <c r="AO1498" s="15"/>
      <c r="AP1498" s="15"/>
      <c r="AQ1498" s="15"/>
      <c r="AR1498" s="15"/>
      <c r="AS1498" s="15"/>
      <c r="AT1498" s="15"/>
      <c r="AU1498" s="15"/>
      <c r="AV1498" s="15"/>
      <c r="AW1498" s="15"/>
      <c r="AX1498" s="15"/>
      <c r="AY1498" s="15"/>
      <c r="AZ1498" s="15"/>
      <c r="BA1498" s="15"/>
      <c r="BB1498" s="15"/>
      <c r="BC1498" s="15"/>
      <c r="BD1498" s="15"/>
      <c r="BE1498" s="15"/>
      <c r="BF1498" s="15"/>
      <c r="BG1498" s="15"/>
      <c r="BH1498" s="15"/>
      <c r="BI1498" s="15"/>
      <c r="BJ1498" s="15"/>
      <c r="BK1498" s="15"/>
      <c r="BL1498" s="15"/>
      <c r="BM1498" s="15"/>
      <c r="BN1498" s="15"/>
      <c r="BO1498" s="15"/>
      <c r="BP1498" s="15"/>
      <c r="BQ1498" s="15"/>
      <c r="BR1498" s="15"/>
      <c r="BS1498" s="15"/>
      <c r="BT1498" s="15"/>
      <c r="BU1498" s="15"/>
      <c r="BV1498" s="15"/>
      <c r="BW1498" s="15"/>
      <c r="BX1498" s="15"/>
      <c r="BY1498" s="15"/>
      <c r="BZ1498" s="15"/>
      <c r="CA1498" s="15"/>
      <c r="CB1498" s="15"/>
    </row>
    <row r="1499" spans="1:80" ht="12.75" hidden="1" customHeight="1">
      <c r="A1499" s="20">
        <f ca="1">IFERROR(__xludf.DUMMYFUNCTION("""COMPUTED_VALUE"""),2021)</f>
        <v>2021</v>
      </c>
      <c r="B1499" s="45">
        <f ca="1">IFERROR(__xludf.DUMMYFUNCTION("""COMPUTED_VALUE"""),44568)</f>
        <v>44568</v>
      </c>
      <c r="C1499" s="46"/>
      <c r="D1499" s="47" t="str">
        <f ca="1">IFERROR(__xludf.DUMMYFUNCTION("""COMPUTED_VALUE"""),"Great Northern Diver")</f>
        <v>Great Northern Diver</v>
      </c>
      <c r="E1499" s="52">
        <f ca="1">IFERROR(__xludf.DUMMYFUNCTION("""COMPUTED_VALUE"""),1)</f>
        <v>1</v>
      </c>
      <c r="F1499" s="25"/>
      <c r="G1499" s="48" t="str">
        <f ca="1">IFERROR(__xludf.DUMMYFUNCTION("""COMPUTED_VALUE"""),"Hilbre")</f>
        <v>Hilbre</v>
      </c>
      <c r="H1499" s="22">
        <f ca="1">IFERROR(__xludf.DUMMYFUNCTION("""COMPUTED_VALUE"""),44517)</f>
        <v>44517</v>
      </c>
      <c r="I1499" s="23"/>
      <c r="J1499" s="24" t="str">
        <f ca="1">IFERROR(__xludf.DUMMYFUNCTION("""COMPUTED_VALUE"""),"County recorder")</f>
        <v>County recorder</v>
      </c>
      <c r="K1499" s="25" t="str">
        <f ca="1">IFERROR(__xludf.DUMMYFUNCTION("""COMPUTED_VALUE"""),"HIBO")</f>
        <v>HIBO</v>
      </c>
      <c r="L1499" s="27" t="str">
        <f ca="1">IFERROR(__xludf.DUMMYFUNCTION("""COMPUTED_VALUE"""),"closed")</f>
        <v>closed</v>
      </c>
      <c r="M1499" s="27" t="str">
        <f ca="1">IFERROR(__xludf.DUMMYFUNCTION("""COMPUTED_VALUE"""),"photo")</f>
        <v>photo</v>
      </c>
      <c r="N1499" s="25" t="str">
        <f ca="1">IFERROR(__xludf.DUMMYFUNCTION("""COMPUTED_VALUE"""),"Accepted w/o circ")</f>
        <v>Accepted w/o circ</v>
      </c>
      <c r="O1499" s="28"/>
      <c r="P1499" s="25"/>
      <c r="Q1499" s="25"/>
      <c r="R1499" s="25"/>
      <c r="S1499" s="25"/>
      <c r="T1499" s="25"/>
      <c r="U1499" s="25"/>
      <c r="V1499" s="25"/>
      <c r="W1499" s="25"/>
      <c r="X1499" s="25"/>
      <c r="Y1499" s="25"/>
      <c r="Z1499" s="25"/>
      <c r="AA1499" s="25"/>
      <c r="AB1499" s="25"/>
      <c r="AC1499" s="25"/>
      <c r="AD1499" s="25"/>
      <c r="AE1499" s="25"/>
      <c r="AF1499" s="25"/>
      <c r="AG1499" s="25"/>
      <c r="AH1499" s="25"/>
      <c r="AI1499" s="25"/>
      <c r="AJ1499" s="25"/>
      <c r="AK1499" s="25"/>
      <c r="AL1499" s="25"/>
      <c r="AM1499" s="25"/>
      <c r="AN1499" s="25"/>
      <c r="AO1499" s="25"/>
      <c r="AP1499" s="25"/>
      <c r="AQ1499" s="25"/>
      <c r="AR1499" s="25"/>
      <c r="AS1499" s="25"/>
      <c r="AT1499" s="25"/>
      <c r="AU1499" s="25"/>
      <c r="AV1499" s="25"/>
      <c r="AW1499" s="25"/>
      <c r="AX1499" s="25"/>
      <c r="AY1499" s="25"/>
      <c r="AZ1499" s="25"/>
      <c r="BA1499" s="25"/>
      <c r="BB1499" s="25"/>
      <c r="BC1499" s="25"/>
      <c r="BD1499" s="25"/>
      <c r="BE1499" s="25"/>
      <c r="BF1499" s="25"/>
      <c r="BG1499" s="25"/>
      <c r="BH1499" s="25"/>
      <c r="BI1499" s="25"/>
      <c r="BJ1499" s="25"/>
      <c r="BK1499" s="25"/>
      <c r="BL1499" s="25"/>
      <c r="BM1499" s="25"/>
      <c r="BN1499" s="25"/>
      <c r="BO1499" s="25"/>
      <c r="BP1499" s="25"/>
      <c r="BQ1499" s="25"/>
      <c r="BR1499" s="25"/>
      <c r="BS1499" s="25"/>
      <c r="BT1499" s="25"/>
      <c r="BU1499" s="25"/>
      <c r="BV1499" s="25"/>
      <c r="BW1499" s="25"/>
      <c r="BX1499" s="25"/>
      <c r="BY1499" s="25"/>
      <c r="BZ1499" s="25"/>
      <c r="CA1499" s="25"/>
      <c r="CB1499" s="25"/>
    </row>
    <row r="1500" spans="1:80" ht="12.75" hidden="1" customHeight="1">
      <c r="A1500" s="10">
        <f ca="1">IFERROR(__xludf.DUMMYFUNCTION("""COMPUTED_VALUE"""),2021)</f>
        <v>2021</v>
      </c>
      <c r="B1500" s="50">
        <f ca="1">IFERROR(__xludf.DUMMYFUNCTION("""COMPUTED_VALUE"""),44568)</f>
        <v>44568</v>
      </c>
      <c r="C1500" s="41"/>
      <c r="D1500" s="42" t="str">
        <f ca="1">IFERROR(__xludf.DUMMYFUNCTION("""COMPUTED_VALUE"""),"Great Northern Diver")</f>
        <v>Great Northern Diver</v>
      </c>
      <c r="E1500" s="53">
        <f ca="1">IFERROR(__xludf.DUMMYFUNCTION("""COMPUTED_VALUE"""),1)</f>
        <v>1</v>
      </c>
      <c r="F1500" s="15"/>
      <c r="G1500" s="44" t="str">
        <f ca="1">IFERROR(__xludf.DUMMYFUNCTION("""COMPUTED_VALUE"""),"Hilbre")</f>
        <v>Hilbre</v>
      </c>
      <c r="H1500" s="12">
        <f ca="1">IFERROR(__xludf.DUMMYFUNCTION("""COMPUTED_VALUE"""),44546)</f>
        <v>44546</v>
      </c>
      <c r="I1500" s="13"/>
      <c r="J1500" s="14" t="str">
        <f ca="1">IFERROR(__xludf.DUMMYFUNCTION("""COMPUTED_VALUE"""),"Birdguides")</f>
        <v>Birdguides</v>
      </c>
      <c r="K1500" s="15"/>
      <c r="L1500" s="17" t="str">
        <f ca="1">IFERROR(__xludf.DUMMYFUNCTION("""COMPUTED_VALUE"""),"limbo")</f>
        <v>limbo</v>
      </c>
      <c r="M1500" s="17"/>
      <c r="N1500" s="15" t="str">
        <f ca="1">IFERROR(__xludf.DUMMYFUNCTION("""COMPUTED_VALUE"""),"not submitted")</f>
        <v>not submitted</v>
      </c>
      <c r="O1500" s="18"/>
      <c r="P1500" s="15"/>
      <c r="Q1500" s="15"/>
      <c r="R1500" s="58"/>
      <c r="S1500" s="15"/>
      <c r="T1500" s="15"/>
      <c r="U1500" s="15"/>
      <c r="V1500" s="15"/>
      <c r="W1500" s="15"/>
      <c r="X1500" s="15"/>
      <c r="Y1500" s="15"/>
      <c r="Z1500" s="15"/>
      <c r="AA1500" s="15"/>
      <c r="AB1500" s="15"/>
      <c r="AC1500" s="15"/>
      <c r="AD1500" s="15"/>
      <c r="AE1500" s="15"/>
      <c r="AF1500" s="15"/>
      <c r="AG1500" s="15"/>
      <c r="AH1500" s="15"/>
      <c r="AI1500" s="15"/>
      <c r="AJ1500" s="15"/>
      <c r="AK1500" s="15"/>
      <c r="AL1500" s="15"/>
      <c r="AM1500" s="15"/>
      <c r="AN1500" s="15"/>
      <c r="AO1500" s="15"/>
      <c r="AP1500" s="15"/>
      <c r="AQ1500" s="15"/>
      <c r="AR1500" s="15"/>
      <c r="AS1500" s="15"/>
      <c r="AT1500" s="15"/>
      <c r="AU1500" s="15"/>
      <c r="AV1500" s="15"/>
      <c r="AW1500" s="15"/>
      <c r="AX1500" s="15"/>
      <c r="AY1500" s="15"/>
      <c r="AZ1500" s="15"/>
      <c r="BA1500" s="15"/>
      <c r="BB1500" s="15"/>
      <c r="BC1500" s="15"/>
      <c r="BD1500" s="15"/>
      <c r="BE1500" s="15"/>
      <c r="BF1500" s="15"/>
      <c r="BG1500" s="15"/>
      <c r="BH1500" s="15"/>
      <c r="BI1500" s="15"/>
      <c r="BJ1500" s="15"/>
      <c r="BK1500" s="15"/>
      <c r="BL1500" s="15"/>
      <c r="BM1500" s="15"/>
      <c r="BN1500" s="15"/>
      <c r="BO1500" s="15"/>
      <c r="BP1500" s="15"/>
      <c r="BQ1500" s="15"/>
      <c r="BR1500" s="15"/>
      <c r="BS1500" s="15"/>
      <c r="BT1500" s="15"/>
      <c r="BU1500" s="15"/>
      <c r="BV1500" s="15"/>
      <c r="BW1500" s="15"/>
      <c r="BX1500" s="15"/>
      <c r="BY1500" s="15"/>
      <c r="BZ1500" s="15"/>
      <c r="CA1500" s="15"/>
      <c r="CB1500" s="15"/>
    </row>
    <row r="1501" spans="1:80" ht="12.75" hidden="1" customHeight="1">
      <c r="A1501" s="20">
        <f ca="1">IFERROR(__xludf.DUMMYFUNCTION("""COMPUTED_VALUE"""),2021)</f>
        <v>2021</v>
      </c>
      <c r="B1501" s="45">
        <f ca="1">IFERROR(__xludf.DUMMYFUNCTION("""COMPUTED_VALUE"""),44841)</f>
        <v>44841</v>
      </c>
      <c r="C1501" s="46"/>
      <c r="D1501" s="47" t="str">
        <f ca="1">IFERROR(__xludf.DUMMYFUNCTION("""COMPUTED_VALUE"""),"Black Stork")</f>
        <v>Black Stork</v>
      </c>
      <c r="E1501" s="52">
        <f ca="1">IFERROR(__xludf.DUMMYFUNCTION("""COMPUTED_VALUE"""),1)</f>
        <v>1</v>
      </c>
      <c r="F1501" s="25"/>
      <c r="G1501" s="48" t="str">
        <f ca="1">IFERROR(__xludf.DUMMYFUNCTION("""COMPUTED_VALUE"""),"Martson")</f>
        <v>Martson</v>
      </c>
      <c r="H1501" s="22">
        <f ca="1">IFERROR(__xludf.DUMMYFUNCTION("""COMPUTED_VALUE"""),44312)</f>
        <v>44312</v>
      </c>
      <c r="I1501" s="23"/>
      <c r="J1501" s="24" t="str">
        <f ca="1">IFERROR(__xludf.DUMMYFUNCTION("""COMPUTED_VALUE"""),"D.Taylor")</f>
        <v>D.Taylor</v>
      </c>
      <c r="K1501" s="25" t="str">
        <f ca="1">IFERROR(__xludf.DUMMYFUNCTION("""COMPUTED_VALUE"""),"D.Taylor")</f>
        <v>D.Taylor</v>
      </c>
      <c r="L1501" s="27" t="str">
        <f ca="1">IFERROR(__xludf.DUMMYFUNCTION("""COMPUTED_VALUE"""),"closed")</f>
        <v>closed</v>
      </c>
      <c r="M1501" s="27"/>
      <c r="N1501" s="25" t="str">
        <f ca="1">IFERROR(__xludf.DUMMYFUNCTION("""COMPUTED_VALUE"""),"BBRC-OK")</f>
        <v>BBRC-OK</v>
      </c>
      <c r="O1501" s="28"/>
      <c r="P1501" s="25"/>
      <c r="Q1501" s="25"/>
      <c r="R1501" s="25"/>
      <c r="S1501" s="25"/>
      <c r="T1501" s="25"/>
      <c r="U1501" s="25"/>
      <c r="V1501" s="25"/>
      <c r="W1501" s="25"/>
      <c r="X1501" s="25"/>
      <c r="Y1501" s="25"/>
      <c r="Z1501" s="25"/>
      <c r="AA1501" s="25"/>
      <c r="AB1501" s="25"/>
      <c r="AC1501" s="25"/>
      <c r="AD1501" s="25"/>
      <c r="AE1501" s="25"/>
      <c r="AF1501" s="25"/>
      <c r="AG1501" s="25"/>
      <c r="AH1501" s="25"/>
      <c r="AI1501" s="25"/>
      <c r="AJ1501" s="25"/>
      <c r="AK1501" s="25"/>
      <c r="AL1501" s="25"/>
      <c r="AM1501" s="25"/>
      <c r="AN1501" s="25"/>
      <c r="AO1501" s="25"/>
      <c r="AP1501" s="25"/>
      <c r="AQ1501" s="25"/>
      <c r="AR1501" s="25"/>
      <c r="AS1501" s="25"/>
      <c r="AT1501" s="25"/>
      <c r="AU1501" s="25"/>
      <c r="AV1501" s="25"/>
      <c r="AW1501" s="25"/>
      <c r="AX1501" s="25"/>
      <c r="AY1501" s="25"/>
      <c r="AZ1501" s="25"/>
      <c r="BA1501" s="25"/>
      <c r="BB1501" s="25"/>
      <c r="BC1501" s="25"/>
      <c r="BD1501" s="25"/>
      <c r="BE1501" s="25"/>
      <c r="BF1501" s="25"/>
      <c r="BG1501" s="25"/>
      <c r="BH1501" s="25"/>
      <c r="BI1501" s="25"/>
      <c r="BJ1501" s="25"/>
      <c r="BK1501" s="25"/>
      <c r="BL1501" s="25"/>
      <c r="BM1501" s="25"/>
      <c r="BN1501" s="25"/>
      <c r="BO1501" s="25"/>
      <c r="BP1501" s="25"/>
      <c r="BQ1501" s="25"/>
      <c r="BR1501" s="25"/>
      <c r="BS1501" s="25"/>
      <c r="BT1501" s="25"/>
      <c r="BU1501" s="25"/>
      <c r="BV1501" s="25"/>
      <c r="BW1501" s="25"/>
      <c r="BX1501" s="25"/>
      <c r="BY1501" s="25"/>
      <c r="BZ1501" s="25"/>
      <c r="CA1501" s="25"/>
      <c r="CB1501" s="25"/>
    </row>
    <row r="1502" spans="1:80" ht="12.75" hidden="1" customHeight="1">
      <c r="A1502" s="10">
        <f ca="1">IFERROR(__xludf.DUMMYFUNCTION("""COMPUTED_VALUE"""),2021)</f>
        <v>2021</v>
      </c>
      <c r="B1502" s="50" t="str">
        <f ca="1">IFERROR(__xludf.DUMMYFUNCTION("""COMPUTED_VALUE"""),"6/1/22/")</f>
        <v>6/1/22/</v>
      </c>
      <c r="C1502" s="41"/>
      <c r="D1502" s="42" t="str">
        <f ca="1">IFERROR(__xludf.DUMMYFUNCTION("""COMPUTED_VALUE"""),"Glossy Ibis")</f>
        <v>Glossy Ibis</v>
      </c>
      <c r="E1502" s="53">
        <f ca="1">IFERROR(__xludf.DUMMYFUNCTION("""COMPUTED_VALUE"""),1)</f>
        <v>1</v>
      </c>
      <c r="F1502" s="15"/>
      <c r="G1502" s="44" t="str">
        <f ca="1">IFERROR(__xludf.DUMMYFUNCTION("""COMPUTED_VALUE"""),"Burton Mere Wetlands RSPB")</f>
        <v>Burton Mere Wetlands RSPB</v>
      </c>
      <c r="H1502" s="12">
        <f ca="1">IFERROR(__xludf.DUMMYFUNCTION("""COMPUTED_VALUE"""),44339)</f>
        <v>44339</v>
      </c>
      <c r="I1502" s="13"/>
      <c r="J1502" s="14" t="str">
        <f ca="1">IFERROR(__xludf.DUMMYFUNCTION("""COMPUTED_VALUE"""),"County recorder")</f>
        <v>County recorder</v>
      </c>
      <c r="K1502" s="15" t="str">
        <f ca="1">IFERROR(__xludf.DUMMYFUNCTION("""COMPUTED_VALUE"""),"BMW volunteer (name tbc)")</f>
        <v>BMW volunteer (name tbc)</v>
      </c>
      <c r="L1502" s="17" t="str">
        <f ca="1">IFERROR(__xludf.DUMMYFUNCTION("""COMPUTED_VALUE"""),"closed")</f>
        <v>closed</v>
      </c>
      <c r="M1502" s="17" t="str">
        <f ca="1">IFERROR(__xludf.DUMMYFUNCTION("""COMPUTED_VALUE"""),"photo")</f>
        <v>photo</v>
      </c>
      <c r="N1502" s="15" t="str">
        <f ca="1">IFERROR(__xludf.DUMMYFUNCTION("""COMPUTED_VALUE"""),"Accepted w/o circ")</f>
        <v>Accepted w/o circ</v>
      </c>
      <c r="O1502" s="18"/>
      <c r="P1502" s="15"/>
      <c r="Q1502" s="15"/>
      <c r="R1502" s="15"/>
      <c r="S1502" s="15"/>
      <c r="T1502" s="15"/>
      <c r="U1502" s="15"/>
      <c r="V1502" s="15"/>
      <c r="W1502" s="15"/>
      <c r="X1502" s="15"/>
      <c r="Y1502" s="15"/>
      <c r="Z1502" s="15"/>
      <c r="AA1502" s="15"/>
      <c r="AB1502" s="15"/>
      <c r="AC1502" s="15"/>
      <c r="AD1502" s="15"/>
      <c r="AE1502" s="15"/>
      <c r="AF1502" s="15"/>
      <c r="AG1502" s="15"/>
      <c r="AH1502" s="15"/>
      <c r="AI1502" s="15"/>
      <c r="AJ1502" s="15"/>
      <c r="AK1502" s="15"/>
      <c r="AL1502" s="15"/>
      <c r="AM1502" s="15"/>
      <c r="AN1502" s="15"/>
      <c r="AO1502" s="15"/>
      <c r="AP1502" s="15"/>
      <c r="AQ1502" s="15"/>
      <c r="AR1502" s="15"/>
      <c r="AS1502" s="15"/>
      <c r="AT1502" s="15"/>
      <c r="AU1502" s="15"/>
      <c r="AV1502" s="15"/>
      <c r="AW1502" s="15"/>
      <c r="AX1502" s="15"/>
      <c r="AY1502" s="15"/>
      <c r="AZ1502" s="15"/>
      <c r="BA1502" s="15"/>
      <c r="BB1502" s="15"/>
      <c r="BC1502" s="15"/>
      <c r="BD1502" s="15"/>
      <c r="BE1502" s="15"/>
      <c r="BF1502" s="15"/>
      <c r="BG1502" s="15"/>
      <c r="BH1502" s="15"/>
      <c r="BI1502" s="15"/>
      <c r="BJ1502" s="15"/>
      <c r="BK1502" s="15"/>
      <c r="BL1502" s="15"/>
      <c r="BM1502" s="15"/>
      <c r="BN1502" s="15"/>
      <c r="BO1502" s="15"/>
      <c r="BP1502" s="15"/>
      <c r="BQ1502" s="15"/>
      <c r="BR1502" s="15"/>
      <c r="BS1502" s="15"/>
      <c r="BT1502" s="15"/>
      <c r="BU1502" s="15"/>
      <c r="BV1502" s="15"/>
      <c r="BW1502" s="15"/>
      <c r="BX1502" s="15"/>
      <c r="BY1502" s="15"/>
      <c r="BZ1502" s="15"/>
      <c r="CA1502" s="15"/>
      <c r="CB1502" s="15"/>
    </row>
    <row r="1503" spans="1:80" ht="12.75" hidden="1" customHeight="1">
      <c r="A1503" s="20">
        <f ca="1">IFERROR(__xludf.DUMMYFUNCTION("""COMPUTED_VALUE"""),2021)</f>
        <v>2021</v>
      </c>
      <c r="B1503" s="45">
        <f ca="1">IFERROR(__xludf.DUMMYFUNCTION("""COMPUTED_VALUE"""),44721)</f>
        <v>44721</v>
      </c>
      <c r="C1503" s="46">
        <f ca="1">IFERROR(__xludf.DUMMYFUNCTION("""COMPUTED_VALUE"""),44687)</f>
        <v>44687</v>
      </c>
      <c r="D1503" s="47" t="str">
        <f ca="1">IFERROR(__xludf.DUMMYFUNCTION("""COMPUTED_VALUE"""),"Glossy Ibis")</f>
        <v>Glossy Ibis</v>
      </c>
      <c r="E1503" s="52">
        <f ca="1">IFERROR(__xludf.DUMMYFUNCTION("""COMPUTED_VALUE"""),1)</f>
        <v>1</v>
      </c>
      <c r="F1503" s="25"/>
      <c r="G1503" s="48" t="str">
        <f ca="1">IFERROR(__xludf.DUMMYFUNCTION("""COMPUTED_VALUE"""),"Sanbach Flashes")</f>
        <v>Sanbach Flashes</v>
      </c>
      <c r="H1503" s="22">
        <f ca="1">IFERROR(__xludf.DUMMYFUNCTION("""COMPUTED_VALUE"""),44342)</f>
        <v>44342</v>
      </c>
      <c r="I1503" s="23"/>
      <c r="J1503" s="24" t="str">
        <f ca="1">IFERROR(__xludf.DUMMYFUNCTION("""COMPUTED_VALUE"""),"Black, Rob")</f>
        <v>Black, Rob</v>
      </c>
      <c r="K1503" s="25" t="str">
        <f ca="1">IFERROR(__xludf.DUMMYFUNCTION("""COMPUTED_VALUE"""),"Black, Rob")</f>
        <v>Black, Rob</v>
      </c>
      <c r="L1503" s="27" t="str">
        <f ca="1">IFERROR(__xludf.DUMMYFUNCTION("""COMPUTED_VALUE"""),"closed")</f>
        <v>closed</v>
      </c>
      <c r="M1503" s="27" t="str">
        <f ca="1">IFERROR(__xludf.DUMMYFUNCTION("""COMPUTED_VALUE"""),"1st u")</f>
        <v>1st u</v>
      </c>
      <c r="N1503" s="25" t="str">
        <f ca="1">IFERROR(__xludf.DUMMYFUNCTION("""COMPUTED_VALUE"""),"accepted")</f>
        <v>accepted</v>
      </c>
      <c r="O1503" s="28"/>
      <c r="P1503" s="25"/>
      <c r="Q1503" s="25"/>
      <c r="R1503" s="40"/>
      <c r="S1503" s="25"/>
      <c r="T1503" s="25"/>
      <c r="U1503" s="25"/>
      <c r="V1503" s="25"/>
      <c r="W1503" s="25"/>
      <c r="X1503" s="25"/>
      <c r="Y1503" s="25"/>
      <c r="Z1503" s="25"/>
      <c r="AA1503" s="25"/>
      <c r="AB1503" s="25"/>
      <c r="AC1503" s="25"/>
      <c r="AD1503" s="25"/>
      <c r="AE1503" s="25"/>
      <c r="AF1503" s="25"/>
      <c r="AG1503" s="25"/>
      <c r="AH1503" s="25"/>
      <c r="AI1503" s="25"/>
      <c r="AJ1503" s="25"/>
      <c r="AK1503" s="25"/>
      <c r="AL1503" s="25"/>
      <c r="AM1503" s="25"/>
      <c r="AN1503" s="25"/>
      <c r="AO1503" s="25"/>
      <c r="AP1503" s="25"/>
      <c r="AQ1503" s="25"/>
      <c r="AR1503" s="25"/>
      <c r="AS1503" s="25"/>
      <c r="AT1503" s="25"/>
      <c r="AU1503" s="25"/>
      <c r="AV1503" s="25"/>
      <c r="AW1503" s="25"/>
      <c r="AX1503" s="25"/>
      <c r="AY1503" s="25"/>
      <c r="AZ1503" s="25"/>
      <c r="BA1503" s="25"/>
      <c r="BB1503" s="25"/>
      <c r="BC1503" s="25"/>
      <c r="BD1503" s="25"/>
      <c r="BE1503" s="25"/>
      <c r="BF1503" s="25"/>
      <c r="BG1503" s="25"/>
      <c r="BH1503" s="25"/>
      <c r="BI1503" s="25"/>
      <c r="BJ1503" s="25"/>
      <c r="BK1503" s="25"/>
      <c r="BL1503" s="25"/>
      <c r="BM1503" s="25"/>
      <c r="BN1503" s="25"/>
      <c r="BO1503" s="25"/>
      <c r="BP1503" s="25"/>
      <c r="BQ1503" s="25"/>
      <c r="BR1503" s="25"/>
      <c r="BS1503" s="25"/>
      <c r="BT1503" s="25"/>
      <c r="BU1503" s="25"/>
      <c r="BV1503" s="25"/>
      <c r="BW1503" s="25"/>
      <c r="BX1503" s="25"/>
      <c r="BY1503" s="25"/>
      <c r="BZ1503" s="25"/>
      <c r="CA1503" s="25"/>
      <c r="CB1503" s="25"/>
    </row>
    <row r="1504" spans="1:80" ht="12.75" hidden="1" customHeight="1">
      <c r="A1504" s="10">
        <f ca="1">IFERROR(__xludf.DUMMYFUNCTION("""COMPUTED_VALUE"""),2021)</f>
        <v>2021</v>
      </c>
      <c r="B1504" s="50"/>
      <c r="C1504" s="41"/>
      <c r="D1504" s="42" t="str">
        <f ca="1">IFERROR(__xludf.DUMMYFUNCTION("""COMPUTED_VALUE"""),"Glossy Ibis")</f>
        <v>Glossy Ibis</v>
      </c>
      <c r="E1504" s="53">
        <f ca="1">IFERROR(__xludf.DUMMYFUNCTION("""COMPUTED_VALUE"""),1)</f>
        <v>1</v>
      </c>
      <c r="F1504" s="15"/>
      <c r="G1504" s="44" t="str">
        <f ca="1">IFERROR(__xludf.DUMMYFUNCTION("""COMPUTED_VALUE"""),"Hale")</f>
        <v>Hale</v>
      </c>
      <c r="H1504" s="12">
        <f ca="1">IFERROR(__xludf.DUMMYFUNCTION("""COMPUTED_VALUE"""),44353)</f>
        <v>44353</v>
      </c>
      <c r="I1504" s="13"/>
      <c r="J1504" s="14" t="str">
        <f ca="1">IFERROR(__xludf.DUMMYFUNCTION("""COMPUTED_VALUE"""),"birdguides")</f>
        <v>birdguides</v>
      </c>
      <c r="K1504" s="15"/>
      <c r="L1504" s="17" t="str">
        <f ca="1">IFERROR(__xludf.DUMMYFUNCTION("""COMPUTED_VALUE"""),"limbo")</f>
        <v>limbo</v>
      </c>
      <c r="M1504" s="17"/>
      <c r="N1504" s="15" t="str">
        <f ca="1">IFERROR(__xludf.DUMMYFUNCTION("""COMPUTED_VALUE"""),"not submitted")</f>
        <v>not submitted</v>
      </c>
      <c r="O1504" s="18"/>
      <c r="P1504" s="15"/>
      <c r="Q1504" s="15"/>
      <c r="R1504" s="58"/>
      <c r="S1504" s="15"/>
      <c r="T1504" s="15"/>
      <c r="U1504" s="15"/>
      <c r="V1504" s="15"/>
      <c r="W1504" s="15"/>
      <c r="X1504" s="15"/>
      <c r="Y1504" s="15"/>
      <c r="Z1504" s="15"/>
      <c r="AA1504" s="15"/>
      <c r="AB1504" s="15"/>
      <c r="AC1504" s="15"/>
      <c r="AD1504" s="15"/>
      <c r="AE1504" s="15"/>
      <c r="AF1504" s="15"/>
      <c r="AG1504" s="15"/>
      <c r="AH1504" s="15"/>
      <c r="AI1504" s="15"/>
      <c r="AJ1504" s="15"/>
      <c r="AK1504" s="15"/>
      <c r="AL1504" s="15"/>
      <c r="AM1504" s="15"/>
      <c r="AN1504" s="15"/>
      <c r="AO1504" s="15"/>
      <c r="AP1504" s="15"/>
      <c r="AQ1504" s="15"/>
      <c r="AR1504" s="15"/>
      <c r="AS1504" s="15"/>
      <c r="AT1504" s="15"/>
      <c r="AU1504" s="15"/>
      <c r="AV1504" s="15"/>
      <c r="AW1504" s="15"/>
      <c r="AX1504" s="15"/>
      <c r="AY1504" s="15"/>
      <c r="AZ1504" s="15"/>
      <c r="BA1504" s="15"/>
      <c r="BB1504" s="15"/>
      <c r="BC1504" s="15"/>
      <c r="BD1504" s="15"/>
      <c r="BE1504" s="15"/>
      <c r="BF1504" s="15"/>
      <c r="BG1504" s="15"/>
      <c r="BH1504" s="15"/>
      <c r="BI1504" s="15"/>
      <c r="BJ1504" s="15"/>
      <c r="BK1504" s="15"/>
      <c r="BL1504" s="15"/>
      <c r="BM1504" s="15"/>
      <c r="BN1504" s="15"/>
      <c r="BO1504" s="15"/>
      <c r="BP1504" s="15"/>
      <c r="BQ1504" s="15"/>
      <c r="BR1504" s="15"/>
      <c r="BS1504" s="15"/>
      <c r="BT1504" s="15"/>
      <c r="BU1504" s="15"/>
      <c r="BV1504" s="15"/>
      <c r="BW1504" s="15"/>
      <c r="BX1504" s="15"/>
      <c r="BY1504" s="15"/>
      <c r="BZ1504" s="15"/>
      <c r="CA1504" s="15"/>
      <c r="CB1504" s="15"/>
    </row>
    <row r="1505" spans="1:80" ht="12.75" hidden="1" customHeight="1">
      <c r="A1505" s="20">
        <f ca="1">IFERROR(__xludf.DUMMYFUNCTION("""COMPUTED_VALUE"""),2021)</f>
        <v>2021</v>
      </c>
      <c r="B1505" s="45">
        <f ca="1">IFERROR(__xludf.DUMMYFUNCTION("""COMPUTED_VALUE"""),44567)</f>
        <v>44567</v>
      </c>
      <c r="C1505" s="46"/>
      <c r="D1505" s="47" t="str">
        <f ca="1">IFERROR(__xludf.DUMMYFUNCTION("""COMPUTED_VALUE"""),"Glossy Ibis")</f>
        <v>Glossy Ibis</v>
      </c>
      <c r="E1505" s="52">
        <f ca="1">IFERROR(__xludf.DUMMYFUNCTION("""COMPUTED_VALUE"""),1)</f>
        <v>1</v>
      </c>
      <c r="F1505" s="25"/>
      <c r="G1505" s="48" t="str">
        <f ca="1">IFERROR(__xludf.DUMMYFUNCTION("""COMPUTED_VALUE"""),"Acre Nook Sand Quarry")</f>
        <v>Acre Nook Sand Quarry</v>
      </c>
      <c r="H1505" s="22">
        <f ca="1">IFERROR(__xludf.DUMMYFUNCTION("""COMPUTED_VALUE"""),44493)</f>
        <v>44493</v>
      </c>
      <c r="I1505" s="23"/>
      <c r="J1505" s="24" t="str">
        <f ca="1">IFERROR(__xludf.DUMMYFUNCTION("""COMPUTED_VALUE"""),"Barber,S ")</f>
        <v xml:space="preserve">Barber,S </v>
      </c>
      <c r="K1505" s="25" t="str">
        <f ca="1">IFERROR(__xludf.DUMMYFUNCTION("""COMPUTED_VALUE"""),"Barber,S &amp; G")</f>
        <v>Barber,S &amp; G</v>
      </c>
      <c r="L1505" s="27" t="str">
        <f ca="1">IFERROR(__xludf.DUMMYFUNCTION("""COMPUTED_VALUE"""),"closed")</f>
        <v>closed</v>
      </c>
      <c r="M1505" s="27"/>
      <c r="N1505" s="25" t="str">
        <f ca="1">IFERROR(__xludf.DUMMYFUNCTION("""COMPUTED_VALUE"""),"accepted")</f>
        <v>accepted</v>
      </c>
      <c r="O1505" s="28"/>
      <c r="P1505" s="25"/>
      <c r="Q1505" s="25"/>
      <c r="R1505" s="25"/>
      <c r="S1505" s="25"/>
      <c r="T1505" s="25"/>
      <c r="U1505" s="25"/>
      <c r="V1505" s="25"/>
      <c r="W1505" s="25"/>
      <c r="X1505" s="25"/>
      <c r="Y1505" s="25"/>
      <c r="Z1505" s="25"/>
      <c r="AA1505" s="25"/>
      <c r="AB1505" s="25"/>
      <c r="AC1505" s="25"/>
      <c r="AD1505" s="25"/>
      <c r="AE1505" s="25"/>
      <c r="AF1505" s="25"/>
      <c r="AG1505" s="25"/>
      <c r="AH1505" s="25"/>
      <c r="AI1505" s="25"/>
      <c r="AJ1505" s="25"/>
      <c r="AK1505" s="25"/>
      <c r="AL1505" s="25"/>
      <c r="AM1505" s="25"/>
      <c r="AN1505" s="25"/>
      <c r="AO1505" s="25"/>
      <c r="AP1505" s="25"/>
      <c r="AQ1505" s="25"/>
      <c r="AR1505" s="25"/>
      <c r="AS1505" s="25"/>
      <c r="AT1505" s="25"/>
      <c r="AU1505" s="25"/>
      <c r="AV1505" s="25"/>
      <c r="AW1505" s="25"/>
      <c r="AX1505" s="25"/>
      <c r="AY1505" s="25"/>
      <c r="AZ1505" s="25"/>
      <c r="BA1505" s="25"/>
      <c r="BB1505" s="25"/>
      <c r="BC1505" s="25"/>
      <c r="BD1505" s="25"/>
      <c r="BE1505" s="25"/>
      <c r="BF1505" s="25"/>
      <c r="BG1505" s="25"/>
      <c r="BH1505" s="25"/>
      <c r="BI1505" s="25"/>
      <c r="BJ1505" s="25"/>
      <c r="BK1505" s="25"/>
      <c r="BL1505" s="25"/>
      <c r="BM1505" s="25"/>
      <c r="BN1505" s="25"/>
      <c r="BO1505" s="25"/>
      <c r="BP1505" s="25"/>
      <c r="BQ1505" s="25"/>
      <c r="BR1505" s="25"/>
      <c r="BS1505" s="25"/>
      <c r="BT1505" s="25"/>
      <c r="BU1505" s="25"/>
      <c r="BV1505" s="25"/>
      <c r="BW1505" s="25"/>
      <c r="BX1505" s="25"/>
      <c r="BY1505" s="25"/>
      <c r="BZ1505" s="25"/>
      <c r="CA1505" s="25"/>
      <c r="CB1505" s="25"/>
    </row>
    <row r="1506" spans="1:80" ht="12.75" hidden="1" customHeight="1">
      <c r="A1506" s="10">
        <f ca="1">IFERROR(__xludf.DUMMYFUNCTION("""COMPUTED_VALUE"""),2021)</f>
        <v>2021</v>
      </c>
      <c r="B1506" s="50">
        <f ca="1">IFERROR(__xludf.DUMMYFUNCTION("""COMPUTED_VALUE"""),44567)</f>
        <v>44567</v>
      </c>
      <c r="C1506" s="41"/>
      <c r="D1506" s="42" t="str">
        <f ca="1">IFERROR(__xludf.DUMMYFUNCTION("""COMPUTED_VALUE"""),"Glossy Ibis")</f>
        <v>Glossy Ibis</v>
      </c>
      <c r="E1506" s="53">
        <f ca="1">IFERROR(__xludf.DUMMYFUNCTION("""COMPUTED_VALUE"""),1)</f>
        <v>1</v>
      </c>
      <c r="F1506" s="15"/>
      <c r="G1506" s="44" t="str">
        <f ca="1">IFERROR(__xludf.DUMMYFUNCTION("""COMPUTED_VALUE"""),"Woolston Eyes")</f>
        <v>Woolston Eyes</v>
      </c>
      <c r="H1506" s="12">
        <f ca="1">IFERROR(__xludf.DUMMYFUNCTION("""COMPUTED_VALUE"""),44525)</f>
        <v>44525</v>
      </c>
      <c r="I1506" s="13"/>
      <c r="J1506" s="14" t="str">
        <f ca="1">IFERROR(__xludf.DUMMYFUNCTION("""COMPUTED_VALUE"""),"County recorder")</f>
        <v>County recorder</v>
      </c>
      <c r="K1506" s="15" t="str">
        <f ca="1">IFERROR(__xludf.DUMMYFUNCTION("""COMPUTED_VALUE"""),"Bowman, D, Owen, D")</f>
        <v>Bowman, D, Owen, D</v>
      </c>
      <c r="L1506" s="17" t="str">
        <f ca="1">IFERROR(__xludf.DUMMYFUNCTION("""COMPUTED_VALUE"""),"closed")</f>
        <v>closed</v>
      </c>
      <c r="M1506" s="17" t="str">
        <f ca="1">IFERROR(__xludf.DUMMYFUNCTION("""COMPUTED_VALUE"""),"photo")</f>
        <v>photo</v>
      </c>
      <c r="N1506" s="15" t="str">
        <f ca="1">IFERROR(__xludf.DUMMYFUNCTION("""COMPUTED_VALUE"""),"Accepted w/o circ")</f>
        <v>Accepted w/o circ</v>
      </c>
      <c r="O1506" s="18"/>
      <c r="P1506" s="15"/>
      <c r="Q1506" s="15"/>
      <c r="R1506" s="15"/>
      <c r="S1506" s="15"/>
      <c r="T1506" s="15"/>
      <c r="U1506" s="15"/>
      <c r="V1506" s="15"/>
      <c r="W1506" s="15"/>
      <c r="X1506" s="15"/>
      <c r="Y1506" s="15"/>
      <c r="Z1506" s="15"/>
      <c r="AA1506" s="15"/>
      <c r="AB1506" s="15"/>
      <c r="AC1506" s="15"/>
      <c r="AD1506" s="15"/>
      <c r="AE1506" s="15"/>
      <c r="AF1506" s="15"/>
      <c r="AG1506" s="15"/>
      <c r="AH1506" s="15"/>
      <c r="AI1506" s="15"/>
      <c r="AJ1506" s="15"/>
      <c r="AK1506" s="15"/>
      <c r="AL1506" s="15"/>
      <c r="AM1506" s="15"/>
      <c r="AN1506" s="15"/>
      <c r="AO1506" s="15"/>
      <c r="AP1506" s="15"/>
      <c r="AQ1506" s="15"/>
      <c r="AR1506" s="15"/>
      <c r="AS1506" s="15"/>
      <c r="AT1506" s="15"/>
      <c r="AU1506" s="15"/>
      <c r="AV1506" s="15"/>
      <c r="AW1506" s="15"/>
      <c r="AX1506" s="15"/>
      <c r="AY1506" s="15"/>
      <c r="AZ1506" s="15"/>
      <c r="BA1506" s="15"/>
      <c r="BB1506" s="15"/>
      <c r="BC1506" s="15"/>
      <c r="BD1506" s="15"/>
      <c r="BE1506" s="15"/>
      <c r="BF1506" s="15"/>
      <c r="BG1506" s="15"/>
      <c r="BH1506" s="15"/>
      <c r="BI1506" s="15"/>
      <c r="BJ1506" s="15"/>
      <c r="BK1506" s="15"/>
      <c r="BL1506" s="15"/>
      <c r="BM1506" s="15"/>
      <c r="BN1506" s="15"/>
      <c r="BO1506" s="15"/>
      <c r="BP1506" s="15"/>
      <c r="BQ1506" s="15"/>
      <c r="BR1506" s="15"/>
      <c r="BS1506" s="15"/>
      <c r="BT1506" s="15"/>
      <c r="BU1506" s="15"/>
      <c r="BV1506" s="15"/>
      <c r="BW1506" s="15"/>
      <c r="BX1506" s="15"/>
      <c r="BY1506" s="15"/>
      <c r="BZ1506" s="15"/>
      <c r="CA1506" s="15"/>
      <c r="CB1506" s="15"/>
    </row>
    <row r="1507" spans="1:80" ht="12.75" hidden="1" customHeight="1">
      <c r="A1507" s="20">
        <f ca="1">IFERROR(__xludf.DUMMYFUNCTION("""COMPUTED_VALUE"""),2021)</f>
        <v>2021</v>
      </c>
      <c r="B1507" s="45">
        <f ca="1">IFERROR(__xludf.DUMMYFUNCTION("""COMPUTED_VALUE"""),44570)</f>
        <v>44570</v>
      </c>
      <c r="C1507" s="46"/>
      <c r="D1507" s="47" t="str">
        <f ca="1">IFERROR(__xludf.DUMMYFUNCTION("""COMPUTED_VALUE"""),"Cattle Egret")</f>
        <v>Cattle Egret</v>
      </c>
      <c r="E1507" s="52">
        <f ca="1">IFERROR(__xludf.DUMMYFUNCTION("""COMPUTED_VALUE"""),4)</f>
        <v>4</v>
      </c>
      <c r="F1507" s="25"/>
      <c r="G1507" s="48" t="str">
        <f ca="1">IFERROR(__xludf.DUMMYFUNCTION("""COMPUTED_VALUE"""),"Greasby")</f>
        <v>Greasby</v>
      </c>
      <c r="H1507" s="22">
        <f ca="1">IFERROR(__xludf.DUMMYFUNCTION("""COMPUTED_VALUE"""),44310)</f>
        <v>44310</v>
      </c>
      <c r="I1507" s="23"/>
      <c r="J1507" s="24" t="str">
        <f ca="1">IFERROR(__xludf.DUMMYFUNCTION("""COMPUTED_VALUE"""),"Birdguides")</f>
        <v>Birdguides</v>
      </c>
      <c r="K1507" s="25"/>
      <c r="L1507" s="27" t="str">
        <f ca="1">IFERROR(__xludf.DUMMYFUNCTION("""COMPUTED_VALUE"""),"limbo")</f>
        <v>limbo</v>
      </c>
      <c r="M1507" s="27"/>
      <c r="N1507" s="25" t="str">
        <f ca="1">IFERROR(__xludf.DUMMYFUNCTION("""COMPUTED_VALUE"""),"not submitted")</f>
        <v>not submitted</v>
      </c>
      <c r="O1507" s="28"/>
      <c r="P1507" s="25"/>
      <c r="Q1507" s="25"/>
      <c r="R1507" s="25"/>
      <c r="S1507" s="25"/>
      <c r="T1507" s="25"/>
      <c r="U1507" s="25"/>
      <c r="V1507" s="25"/>
      <c r="W1507" s="25"/>
      <c r="X1507" s="25"/>
      <c r="Y1507" s="25"/>
      <c r="Z1507" s="25"/>
      <c r="AA1507" s="25"/>
      <c r="AB1507" s="25"/>
      <c r="AC1507" s="25"/>
      <c r="AD1507" s="25"/>
      <c r="AE1507" s="25"/>
      <c r="AF1507" s="25"/>
      <c r="AG1507" s="25"/>
      <c r="AH1507" s="25"/>
      <c r="AI1507" s="25"/>
      <c r="AJ1507" s="25"/>
      <c r="AK1507" s="25"/>
      <c r="AL1507" s="25"/>
      <c r="AM1507" s="25"/>
      <c r="AN1507" s="25"/>
      <c r="AO1507" s="25"/>
      <c r="AP1507" s="25"/>
      <c r="AQ1507" s="25"/>
      <c r="AR1507" s="25"/>
      <c r="AS1507" s="25"/>
      <c r="AT1507" s="25"/>
      <c r="AU1507" s="25"/>
      <c r="AV1507" s="25"/>
      <c r="AW1507" s="25"/>
      <c r="AX1507" s="25"/>
      <c r="AY1507" s="25"/>
      <c r="AZ1507" s="25"/>
      <c r="BA1507" s="25"/>
      <c r="BB1507" s="25"/>
      <c r="BC1507" s="25"/>
      <c r="BD1507" s="25"/>
      <c r="BE1507" s="25"/>
      <c r="BF1507" s="25"/>
      <c r="BG1507" s="25"/>
      <c r="BH1507" s="25"/>
      <c r="BI1507" s="25"/>
      <c r="BJ1507" s="25"/>
      <c r="BK1507" s="25"/>
      <c r="BL1507" s="25"/>
      <c r="BM1507" s="25"/>
      <c r="BN1507" s="25"/>
      <c r="BO1507" s="25"/>
      <c r="BP1507" s="25"/>
      <c r="BQ1507" s="25"/>
      <c r="BR1507" s="25"/>
      <c r="BS1507" s="25"/>
      <c r="BT1507" s="25"/>
      <c r="BU1507" s="25"/>
      <c r="BV1507" s="25"/>
      <c r="BW1507" s="25"/>
      <c r="BX1507" s="25"/>
      <c r="BY1507" s="25"/>
      <c r="BZ1507" s="25"/>
      <c r="CA1507" s="25"/>
      <c r="CB1507" s="25"/>
    </row>
    <row r="1508" spans="1:80" ht="12.75" hidden="1" customHeight="1">
      <c r="A1508" s="10">
        <f ca="1">IFERROR(__xludf.DUMMYFUNCTION("""COMPUTED_VALUE"""),2021)</f>
        <v>2021</v>
      </c>
      <c r="B1508" s="50">
        <f ca="1">IFERROR(__xludf.DUMMYFUNCTION("""COMPUTED_VALUE"""),44570)</f>
        <v>44570</v>
      </c>
      <c r="C1508" s="41"/>
      <c r="D1508" s="42" t="str">
        <f ca="1">IFERROR(__xludf.DUMMYFUNCTION("""COMPUTED_VALUE"""),"Cattle Egret")</f>
        <v>Cattle Egret</v>
      </c>
      <c r="E1508" s="53">
        <f ca="1">IFERROR(__xludf.DUMMYFUNCTION("""COMPUTED_VALUE"""),1)</f>
        <v>1</v>
      </c>
      <c r="F1508" s="15"/>
      <c r="G1508" s="44" t="str">
        <f ca="1">IFERROR(__xludf.DUMMYFUNCTION("""COMPUTED_VALUE"""),"Hoylake")</f>
        <v>Hoylake</v>
      </c>
      <c r="H1508" s="12">
        <f ca="1">IFERROR(__xludf.DUMMYFUNCTION("""COMPUTED_VALUE"""),44489)</f>
        <v>44489</v>
      </c>
      <c r="I1508" s="13"/>
      <c r="J1508" s="14" t="str">
        <f ca="1">IFERROR(__xludf.DUMMYFUNCTION("""COMPUTED_VALUE"""),"Birdguides")</f>
        <v>Birdguides</v>
      </c>
      <c r="K1508" s="15"/>
      <c r="L1508" s="17" t="str">
        <f ca="1">IFERROR(__xludf.DUMMYFUNCTION("""COMPUTED_VALUE"""),"limbo")</f>
        <v>limbo</v>
      </c>
      <c r="M1508" s="17"/>
      <c r="N1508" s="15" t="str">
        <f ca="1">IFERROR(__xludf.DUMMYFUNCTION("""COMPUTED_VALUE"""),"not submitted")</f>
        <v>not submitted</v>
      </c>
      <c r="O1508" s="18"/>
      <c r="P1508" s="15"/>
      <c r="Q1508" s="15"/>
      <c r="R1508" s="58"/>
      <c r="S1508" s="15"/>
      <c r="T1508" s="15"/>
      <c r="U1508" s="15"/>
      <c r="V1508" s="15"/>
      <c r="W1508" s="15"/>
      <c r="X1508" s="15"/>
      <c r="Y1508" s="15"/>
      <c r="Z1508" s="15"/>
      <c r="AA1508" s="15"/>
      <c r="AB1508" s="15"/>
      <c r="AC1508" s="15"/>
      <c r="AD1508" s="15"/>
      <c r="AE1508" s="15"/>
      <c r="AF1508" s="15"/>
      <c r="AG1508" s="15"/>
      <c r="AH1508" s="15"/>
      <c r="AI1508" s="15"/>
      <c r="AJ1508" s="15"/>
      <c r="AK1508" s="15"/>
      <c r="AL1508" s="15"/>
      <c r="AM1508" s="15"/>
      <c r="AN1508" s="15"/>
      <c r="AO1508" s="15"/>
      <c r="AP1508" s="15"/>
      <c r="AQ1508" s="15"/>
      <c r="AR1508" s="15"/>
      <c r="AS1508" s="15"/>
      <c r="AT1508" s="15"/>
      <c r="AU1508" s="15"/>
      <c r="AV1508" s="15"/>
      <c r="AW1508" s="15"/>
      <c r="AX1508" s="15"/>
      <c r="AY1508" s="15"/>
      <c r="AZ1508" s="15"/>
      <c r="BA1508" s="15"/>
      <c r="BB1508" s="15"/>
      <c r="BC1508" s="15"/>
      <c r="BD1508" s="15"/>
      <c r="BE1508" s="15"/>
      <c r="BF1508" s="15"/>
      <c r="BG1508" s="15"/>
      <c r="BH1508" s="15"/>
      <c r="BI1508" s="15"/>
      <c r="BJ1508" s="15"/>
      <c r="BK1508" s="15"/>
      <c r="BL1508" s="15"/>
      <c r="BM1508" s="15"/>
      <c r="BN1508" s="15"/>
      <c r="BO1508" s="15"/>
      <c r="BP1508" s="15"/>
      <c r="BQ1508" s="15"/>
      <c r="BR1508" s="15"/>
      <c r="BS1508" s="15"/>
      <c r="BT1508" s="15"/>
      <c r="BU1508" s="15"/>
      <c r="BV1508" s="15"/>
      <c r="BW1508" s="15"/>
      <c r="BX1508" s="15"/>
      <c r="BY1508" s="15"/>
      <c r="BZ1508" s="15"/>
      <c r="CA1508" s="15"/>
      <c r="CB1508" s="15"/>
    </row>
    <row r="1509" spans="1:80" ht="12.75" hidden="1" customHeight="1">
      <c r="A1509" s="20">
        <f ca="1">IFERROR(__xludf.DUMMYFUNCTION("""COMPUTED_VALUE"""),2021)</f>
        <v>2021</v>
      </c>
      <c r="B1509" s="45">
        <f ca="1">IFERROR(__xludf.DUMMYFUNCTION("""COMPUTED_VALUE"""),44570)</f>
        <v>44570</v>
      </c>
      <c r="C1509" s="46"/>
      <c r="D1509" s="47" t="str">
        <f ca="1">IFERROR(__xludf.DUMMYFUNCTION("""COMPUTED_VALUE"""),"Cattle Egret")</f>
        <v>Cattle Egret</v>
      </c>
      <c r="E1509" s="52">
        <f ca="1">IFERROR(__xludf.DUMMYFUNCTION("""COMPUTED_VALUE"""),1)</f>
        <v>1</v>
      </c>
      <c r="F1509" s="25"/>
      <c r="G1509" s="48" t="str">
        <f ca="1">IFERROR(__xludf.DUMMYFUNCTION("""COMPUTED_VALUE"""),"Meols ")</f>
        <v xml:space="preserve">Meols </v>
      </c>
      <c r="H1509" s="22">
        <f ca="1">IFERROR(__xludf.DUMMYFUNCTION("""COMPUTED_VALUE"""),44506)</f>
        <v>44506</v>
      </c>
      <c r="I1509" s="23"/>
      <c r="J1509" s="24" t="str">
        <f ca="1">IFERROR(__xludf.DUMMYFUNCTION("""COMPUTED_VALUE"""),"County Recorder")</f>
        <v>County Recorder</v>
      </c>
      <c r="K1509" s="25" t="str">
        <f ca="1">IFERROR(__xludf.DUMMYFUNCTION("""COMPUTED_VALUE"""),"Williams, C")</f>
        <v>Williams, C</v>
      </c>
      <c r="L1509" s="27" t="str">
        <f ca="1">IFERROR(__xludf.DUMMYFUNCTION("""COMPUTED_VALUE"""),"closed")</f>
        <v>closed</v>
      </c>
      <c r="M1509" s="27" t="str">
        <f ca="1">IFERROR(__xludf.DUMMYFUNCTION("""COMPUTED_VALUE"""),"photo")</f>
        <v>photo</v>
      </c>
      <c r="N1509" s="25" t="str">
        <f ca="1">IFERROR(__xludf.DUMMYFUNCTION("""COMPUTED_VALUE"""),"Accepted w/o circ")</f>
        <v>Accepted w/o circ</v>
      </c>
      <c r="O1509" s="28"/>
      <c r="P1509" s="25"/>
      <c r="Q1509" s="25"/>
      <c r="R1509" s="25"/>
      <c r="S1509" s="25"/>
      <c r="T1509" s="25"/>
      <c r="U1509" s="25"/>
      <c r="V1509" s="25"/>
      <c r="W1509" s="25"/>
      <c r="X1509" s="25"/>
      <c r="Y1509" s="25"/>
      <c r="Z1509" s="25"/>
      <c r="AA1509" s="25"/>
      <c r="AB1509" s="25"/>
      <c r="AC1509" s="25"/>
      <c r="AD1509" s="25"/>
      <c r="AE1509" s="25"/>
      <c r="AF1509" s="25"/>
      <c r="AG1509" s="25"/>
      <c r="AH1509" s="25"/>
      <c r="AI1509" s="25"/>
      <c r="AJ1509" s="25"/>
      <c r="AK1509" s="25"/>
      <c r="AL1509" s="25"/>
      <c r="AM1509" s="25"/>
      <c r="AN1509" s="25"/>
      <c r="AO1509" s="25"/>
      <c r="AP1509" s="25"/>
      <c r="AQ1509" s="25"/>
      <c r="AR1509" s="25"/>
      <c r="AS1509" s="25"/>
      <c r="AT1509" s="25"/>
      <c r="AU1509" s="25"/>
      <c r="AV1509" s="25"/>
      <c r="AW1509" s="25"/>
      <c r="AX1509" s="25"/>
      <c r="AY1509" s="25"/>
      <c r="AZ1509" s="25"/>
      <c r="BA1509" s="25"/>
      <c r="BB1509" s="25"/>
      <c r="BC1509" s="25"/>
      <c r="BD1509" s="25"/>
      <c r="BE1509" s="25"/>
      <c r="BF1509" s="25"/>
      <c r="BG1509" s="25"/>
      <c r="BH1509" s="25"/>
      <c r="BI1509" s="25"/>
      <c r="BJ1509" s="25"/>
      <c r="BK1509" s="25"/>
      <c r="BL1509" s="25"/>
      <c r="BM1509" s="25"/>
      <c r="BN1509" s="25"/>
      <c r="BO1509" s="25"/>
      <c r="BP1509" s="25"/>
      <c r="BQ1509" s="25"/>
      <c r="BR1509" s="25"/>
      <c r="BS1509" s="25"/>
      <c r="BT1509" s="25"/>
      <c r="BU1509" s="25"/>
      <c r="BV1509" s="25"/>
      <c r="BW1509" s="25"/>
      <c r="BX1509" s="25"/>
      <c r="BY1509" s="25"/>
      <c r="BZ1509" s="25"/>
      <c r="CA1509" s="25"/>
      <c r="CB1509" s="25"/>
    </row>
    <row r="1510" spans="1:80" ht="12.75" hidden="1" customHeight="1">
      <c r="A1510" s="10">
        <f ca="1">IFERROR(__xludf.DUMMYFUNCTION("""COMPUTED_VALUE"""),2021)</f>
        <v>2021</v>
      </c>
      <c r="B1510" s="50">
        <f ca="1">IFERROR(__xludf.DUMMYFUNCTION("""COMPUTED_VALUE"""),44570)</f>
        <v>44570</v>
      </c>
      <c r="C1510" s="41"/>
      <c r="D1510" s="42" t="str">
        <f ca="1">IFERROR(__xludf.DUMMYFUNCTION("""COMPUTED_VALUE"""),"Cattle Egret")</f>
        <v>Cattle Egret</v>
      </c>
      <c r="E1510" s="53">
        <f ca="1">IFERROR(__xludf.DUMMYFUNCTION("""COMPUTED_VALUE"""),1)</f>
        <v>1</v>
      </c>
      <c r="F1510" s="15"/>
      <c r="G1510" s="44" t="str">
        <f ca="1">IFERROR(__xludf.DUMMYFUNCTION("""COMPUTED_VALUE"""),"Mollington")</f>
        <v>Mollington</v>
      </c>
      <c r="H1510" s="12">
        <f ca="1">IFERROR(__xludf.DUMMYFUNCTION("""COMPUTED_VALUE"""),44528)</f>
        <v>44528</v>
      </c>
      <c r="I1510" s="13"/>
      <c r="J1510" s="14" t="str">
        <f ca="1">IFERROR(__xludf.DUMMYFUNCTION("""COMPUTED_VALUE"""),"County Recorder")</f>
        <v>County Recorder</v>
      </c>
      <c r="K1510" s="15" t="str">
        <f ca="1">IFERROR(__xludf.DUMMYFUNCTION("""COMPUTED_VALUE"""),"Woollen, P")</f>
        <v>Woollen, P</v>
      </c>
      <c r="L1510" s="17" t="str">
        <f ca="1">IFERROR(__xludf.DUMMYFUNCTION("""COMPUTED_VALUE"""),"closed")</f>
        <v>closed</v>
      </c>
      <c r="M1510" s="17" t="str">
        <f ca="1">IFERROR(__xludf.DUMMYFUNCTION("""COMPUTED_VALUE"""),"photo")</f>
        <v>photo</v>
      </c>
      <c r="N1510" s="15" t="str">
        <f ca="1">IFERROR(__xludf.DUMMYFUNCTION("""COMPUTED_VALUE"""),"Accepted w/o circ")</f>
        <v>Accepted w/o circ</v>
      </c>
      <c r="O1510" s="18"/>
      <c r="P1510" s="15"/>
      <c r="Q1510" s="15"/>
      <c r="R1510" s="15"/>
      <c r="S1510" s="15"/>
      <c r="T1510" s="15"/>
      <c r="U1510" s="15"/>
      <c r="V1510" s="15"/>
      <c r="W1510" s="15"/>
      <c r="X1510" s="15"/>
      <c r="Y1510" s="15"/>
      <c r="Z1510" s="15"/>
      <c r="AA1510" s="15"/>
      <c r="AB1510" s="15"/>
      <c r="AC1510" s="15"/>
      <c r="AD1510" s="15"/>
      <c r="AE1510" s="15"/>
      <c r="AF1510" s="15"/>
      <c r="AG1510" s="15"/>
      <c r="AH1510" s="15"/>
      <c r="AI1510" s="15"/>
      <c r="AJ1510" s="15"/>
      <c r="AK1510" s="15"/>
      <c r="AL1510" s="15"/>
      <c r="AM1510" s="15"/>
      <c r="AN1510" s="15"/>
      <c r="AO1510" s="15"/>
      <c r="AP1510" s="15"/>
      <c r="AQ1510" s="15"/>
      <c r="AR1510" s="15"/>
      <c r="AS1510" s="15"/>
      <c r="AT1510" s="15"/>
      <c r="AU1510" s="15"/>
      <c r="AV1510" s="15"/>
      <c r="AW1510" s="15"/>
      <c r="AX1510" s="15"/>
      <c r="AY1510" s="15"/>
      <c r="AZ1510" s="15"/>
      <c r="BA1510" s="15"/>
      <c r="BB1510" s="15"/>
      <c r="BC1510" s="15"/>
      <c r="BD1510" s="15"/>
      <c r="BE1510" s="15"/>
      <c r="BF1510" s="15"/>
      <c r="BG1510" s="15"/>
      <c r="BH1510" s="15"/>
      <c r="BI1510" s="15"/>
      <c r="BJ1510" s="15"/>
      <c r="BK1510" s="15"/>
      <c r="BL1510" s="15"/>
      <c r="BM1510" s="15"/>
      <c r="BN1510" s="15"/>
      <c r="BO1510" s="15"/>
      <c r="BP1510" s="15"/>
      <c r="BQ1510" s="15"/>
      <c r="BR1510" s="15"/>
      <c r="BS1510" s="15"/>
      <c r="BT1510" s="15"/>
      <c r="BU1510" s="15"/>
      <c r="BV1510" s="15"/>
      <c r="BW1510" s="15"/>
      <c r="BX1510" s="15"/>
      <c r="BY1510" s="15"/>
      <c r="BZ1510" s="15"/>
      <c r="CA1510" s="15"/>
      <c r="CB1510" s="15"/>
    </row>
    <row r="1511" spans="1:80" ht="12.75" hidden="1" customHeight="1">
      <c r="A1511" s="20">
        <f ca="1">IFERROR(__xludf.DUMMYFUNCTION("""COMPUTED_VALUE"""),2021)</f>
        <v>2021</v>
      </c>
      <c r="B1511" s="45">
        <f ca="1">IFERROR(__xludf.DUMMYFUNCTION("""COMPUTED_VALUE"""),44572)</f>
        <v>44572</v>
      </c>
      <c r="C1511" s="46"/>
      <c r="D1511" s="47" t="str">
        <f ca="1">IFERROR(__xludf.DUMMYFUNCTION("""COMPUTED_VALUE"""),"Goshawk")</f>
        <v>Goshawk</v>
      </c>
      <c r="E1511" s="52">
        <f ca="1">IFERROR(__xludf.DUMMYFUNCTION("""COMPUTED_VALUE"""),1)</f>
        <v>1</v>
      </c>
      <c r="F1511" s="25"/>
      <c r="G1511" s="48" t="str">
        <f ca="1">IFERROR(__xludf.DUMMYFUNCTION("""COMPUTED_VALUE"""),"Macclesfield Forest")</f>
        <v>Macclesfield Forest</v>
      </c>
      <c r="H1511" s="22">
        <f ca="1">IFERROR(__xludf.DUMMYFUNCTION("""COMPUTED_VALUE"""),44280)</f>
        <v>44280</v>
      </c>
      <c r="I1511" s="22">
        <f ca="1">IFERROR(__xludf.DUMMYFUNCTION("""COMPUTED_VALUE"""),44305)</f>
        <v>44305</v>
      </c>
      <c r="J1511" s="24"/>
      <c r="K1511" s="25"/>
      <c r="L1511" s="27" t="str">
        <f ca="1">IFERROR(__xludf.DUMMYFUNCTION("""COMPUTED_VALUE"""),"closed")</f>
        <v>closed</v>
      </c>
      <c r="M1511" s="27"/>
      <c r="N1511" s="25" t="str">
        <f ca="1">IFERROR(__xludf.DUMMYFUNCTION("""COMPUTED_VALUE"""),"exemption")</f>
        <v>exemption</v>
      </c>
      <c r="O1511" s="28"/>
      <c r="P1511" s="25"/>
      <c r="Q1511" s="25"/>
      <c r="R1511" s="25"/>
      <c r="S1511" s="25"/>
      <c r="T1511" s="25"/>
      <c r="U1511" s="25"/>
      <c r="V1511" s="25"/>
      <c r="W1511" s="25"/>
      <c r="X1511" s="25"/>
      <c r="Y1511" s="25"/>
      <c r="Z1511" s="25"/>
      <c r="AA1511" s="25"/>
      <c r="AB1511" s="25"/>
      <c r="AC1511" s="25"/>
      <c r="AD1511" s="25"/>
      <c r="AE1511" s="25"/>
      <c r="AF1511" s="25"/>
      <c r="AG1511" s="25"/>
      <c r="AH1511" s="25"/>
      <c r="AI1511" s="25"/>
      <c r="AJ1511" s="25"/>
      <c r="AK1511" s="25"/>
      <c r="AL1511" s="25"/>
      <c r="AM1511" s="25"/>
      <c r="AN1511" s="25"/>
      <c r="AO1511" s="25"/>
      <c r="AP1511" s="25"/>
      <c r="AQ1511" s="25"/>
      <c r="AR1511" s="25"/>
      <c r="AS1511" s="25"/>
      <c r="AT1511" s="25"/>
      <c r="AU1511" s="25"/>
      <c r="AV1511" s="25"/>
      <c r="AW1511" s="25"/>
      <c r="AX1511" s="25"/>
      <c r="AY1511" s="25"/>
      <c r="AZ1511" s="25"/>
      <c r="BA1511" s="25"/>
      <c r="BB1511" s="25"/>
      <c r="BC1511" s="25"/>
      <c r="BD1511" s="25"/>
      <c r="BE1511" s="25"/>
      <c r="BF1511" s="25"/>
      <c r="BG1511" s="25"/>
      <c r="BH1511" s="25"/>
      <c r="BI1511" s="25"/>
      <c r="BJ1511" s="25"/>
      <c r="BK1511" s="25"/>
      <c r="BL1511" s="25"/>
      <c r="BM1511" s="25"/>
      <c r="BN1511" s="25"/>
      <c r="BO1511" s="25"/>
      <c r="BP1511" s="25"/>
      <c r="BQ1511" s="25"/>
      <c r="BR1511" s="25"/>
      <c r="BS1511" s="25"/>
      <c r="BT1511" s="25"/>
      <c r="BU1511" s="25"/>
      <c r="BV1511" s="25"/>
      <c r="BW1511" s="25"/>
      <c r="BX1511" s="25"/>
      <c r="BY1511" s="25"/>
      <c r="BZ1511" s="25"/>
      <c r="CA1511" s="25"/>
      <c r="CB1511" s="25"/>
    </row>
    <row r="1512" spans="1:80" ht="12.75" hidden="1" customHeight="1">
      <c r="A1512" s="10">
        <f ca="1">IFERROR(__xludf.DUMMYFUNCTION("""COMPUTED_VALUE"""),2021)</f>
        <v>2021</v>
      </c>
      <c r="B1512" s="50">
        <f ca="1">IFERROR(__xludf.DUMMYFUNCTION("""COMPUTED_VALUE"""),44721)</f>
        <v>44721</v>
      </c>
      <c r="C1512" s="41"/>
      <c r="D1512" s="42" t="str">
        <f ca="1">IFERROR(__xludf.DUMMYFUNCTION("""COMPUTED_VALUE"""),"Goshawk")</f>
        <v>Goshawk</v>
      </c>
      <c r="E1512" s="53">
        <f ca="1">IFERROR(__xludf.DUMMYFUNCTION("""COMPUTED_VALUE"""),1)</f>
        <v>1</v>
      </c>
      <c r="F1512" s="15" t="str">
        <f ca="1">IFERROR(__xludf.DUMMYFUNCTION("""COMPUTED_VALUE"""),"fem")</f>
        <v>fem</v>
      </c>
      <c r="G1512" s="44" t="str">
        <f ca="1">IFERROR(__xludf.DUMMYFUNCTION("""COMPUTED_VALUE"""),"Brook Furlong Lane, Frodsham Marsh")</f>
        <v>Brook Furlong Lane, Frodsham Marsh</v>
      </c>
      <c r="H1512" s="12">
        <f ca="1">IFERROR(__xludf.DUMMYFUNCTION("""COMPUTED_VALUE"""),44299)</f>
        <v>44299</v>
      </c>
      <c r="I1512" s="13"/>
      <c r="J1512" s="14"/>
      <c r="K1512" s="15"/>
      <c r="L1512" s="17" t="str">
        <f ca="1">IFERROR(__xludf.DUMMYFUNCTION("""COMPUTED_VALUE"""),"limbo")</f>
        <v>limbo</v>
      </c>
      <c r="M1512" s="17"/>
      <c r="N1512" s="15" t="str">
        <f ca="1">IFERROR(__xludf.DUMMYFUNCTION("""COMPUTED_VALUE"""),"not submitted")</f>
        <v>not submitted</v>
      </c>
      <c r="O1512" s="18"/>
      <c r="P1512" s="15"/>
      <c r="Q1512" s="15"/>
      <c r="R1512" s="15"/>
      <c r="S1512" s="15"/>
      <c r="T1512" s="15"/>
      <c r="U1512" s="15"/>
      <c r="V1512" s="15"/>
      <c r="W1512" s="15"/>
      <c r="X1512" s="15"/>
      <c r="Y1512" s="15"/>
      <c r="Z1512" s="15"/>
      <c r="AA1512" s="15"/>
      <c r="AB1512" s="15"/>
      <c r="AC1512" s="15"/>
      <c r="AD1512" s="15"/>
      <c r="AE1512" s="15"/>
      <c r="AF1512" s="15"/>
      <c r="AG1512" s="15"/>
      <c r="AH1512" s="15"/>
      <c r="AI1512" s="15"/>
      <c r="AJ1512" s="15"/>
      <c r="AK1512" s="15"/>
      <c r="AL1512" s="15"/>
      <c r="AM1512" s="15"/>
      <c r="AN1512" s="15"/>
      <c r="AO1512" s="15"/>
      <c r="AP1512" s="15"/>
      <c r="AQ1512" s="15"/>
      <c r="AR1512" s="15"/>
      <c r="AS1512" s="15"/>
      <c r="AT1512" s="15"/>
      <c r="AU1512" s="15"/>
      <c r="AV1512" s="15"/>
      <c r="AW1512" s="15"/>
      <c r="AX1512" s="15"/>
      <c r="AY1512" s="15"/>
      <c r="AZ1512" s="15"/>
      <c r="BA1512" s="15"/>
      <c r="BB1512" s="15"/>
      <c r="BC1512" s="15"/>
      <c r="BD1512" s="15"/>
      <c r="BE1512" s="15"/>
      <c r="BF1512" s="15"/>
      <c r="BG1512" s="15"/>
      <c r="BH1512" s="15"/>
      <c r="BI1512" s="15"/>
      <c r="BJ1512" s="15"/>
      <c r="BK1512" s="15"/>
      <c r="BL1512" s="15"/>
      <c r="BM1512" s="15"/>
      <c r="BN1512" s="15"/>
      <c r="BO1512" s="15"/>
      <c r="BP1512" s="15"/>
      <c r="BQ1512" s="15"/>
      <c r="BR1512" s="15"/>
      <c r="BS1512" s="15"/>
      <c r="BT1512" s="15"/>
      <c r="BU1512" s="15"/>
      <c r="BV1512" s="15"/>
      <c r="BW1512" s="15"/>
      <c r="BX1512" s="15"/>
      <c r="BY1512" s="15"/>
      <c r="BZ1512" s="15"/>
      <c r="CA1512" s="15"/>
      <c r="CB1512" s="15"/>
    </row>
    <row r="1513" spans="1:80" ht="12.75" hidden="1" customHeight="1">
      <c r="A1513" s="20">
        <f ca="1">IFERROR(__xludf.DUMMYFUNCTION("""COMPUTED_VALUE"""),2021)</f>
        <v>2021</v>
      </c>
      <c r="B1513" s="45">
        <f ca="1">IFERROR(__xludf.DUMMYFUNCTION("""COMPUTED_VALUE"""),44404)</f>
        <v>44404</v>
      </c>
      <c r="C1513" s="46"/>
      <c r="D1513" s="47" t="str">
        <f ca="1">IFERROR(__xludf.DUMMYFUNCTION("""COMPUTED_VALUE"""),"Goshawk")</f>
        <v>Goshawk</v>
      </c>
      <c r="E1513" s="52">
        <f ca="1">IFERROR(__xludf.DUMMYFUNCTION("""COMPUTED_VALUE"""),1)</f>
        <v>1</v>
      </c>
      <c r="F1513" s="25"/>
      <c r="G1513" s="48" t="str">
        <f ca="1">IFERROR(__xludf.DUMMYFUNCTION("""COMPUTED_VALUE"""),"West Kirby    ")</f>
        <v xml:space="preserve">West Kirby    </v>
      </c>
      <c r="H1513" s="22">
        <f ca="1">IFERROR(__xludf.DUMMYFUNCTION("""COMPUTED_VALUE"""),44354)</f>
        <v>44354</v>
      </c>
      <c r="I1513" s="23"/>
      <c r="J1513" s="24"/>
      <c r="K1513" s="25"/>
      <c r="L1513" s="27" t="str">
        <f ca="1">IFERROR(__xludf.DUMMYFUNCTION("""COMPUTED_VALUE"""),"limbo")</f>
        <v>limbo</v>
      </c>
      <c r="M1513" s="27"/>
      <c r="N1513" s="25" t="str">
        <f ca="1">IFERROR(__xludf.DUMMYFUNCTION("""COMPUTED_VALUE"""),"not submitted")</f>
        <v>not submitted</v>
      </c>
      <c r="O1513" s="28"/>
      <c r="P1513" s="25"/>
      <c r="Q1513" s="25"/>
      <c r="R1513" s="25"/>
      <c r="S1513" s="25"/>
      <c r="T1513" s="25"/>
      <c r="U1513" s="25"/>
      <c r="V1513" s="25"/>
      <c r="W1513" s="25"/>
      <c r="X1513" s="25"/>
      <c r="Y1513" s="25"/>
      <c r="Z1513" s="25"/>
      <c r="AA1513" s="25"/>
      <c r="AB1513" s="25"/>
      <c r="AC1513" s="25"/>
      <c r="AD1513" s="25"/>
      <c r="AE1513" s="25"/>
      <c r="AF1513" s="25"/>
      <c r="AG1513" s="25"/>
      <c r="AH1513" s="25"/>
      <c r="AI1513" s="25"/>
      <c r="AJ1513" s="25"/>
      <c r="AK1513" s="25"/>
      <c r="AL1513" s="25"/>
      <c r="AM1513" s="25"/>
      <c r="AN1513" s="25"/>
      <c r="AO1513" s="25"/>
      <c r="AP1513" s="25"/>
      <c r="AQ1513" s="25"/>
      <c r="AR1513" s="25"/>
      <c r="AS1513" s="25"/>
      <c r="AT1513" s="25"/>
      <c r="AU1513" s="25"/>
      <c r="AV1513" s="25"/>
      <c r="AW1513" s="25"/>
      <c r="AX1513" s="25"/>
      <c r="AY1513" s="25"/>
      <c r="AZ1513" s="25"/>
      <c r="BA1513" s="25"/>
      <c r="BB1513" s="25"/>
      <c r="BC1513" s="25"/>
      <c r="BD1513" s="25"/>
      <c r="BE1513" s="25"/>
      <c r="BF1513" s="25"/>
      <c r="BG1513" s="25"/>
      <c r="BH1513" s="25"/>
      <c r="BI1513" s="25"/>
      <c r="BJ1513" s="25"/>
      <c r="BK1513" s="25"/>
      <c r="BL1513" s="25"/>
      <c r="BM1513" s="25"/>
      <c r="BN1513" s="25"/>
      <c r="BO1513" s="25"/>
      <c r="BP1513" s="25"/>
      <c r="BQ1513" s="25"/>
      <c r="BR1513" s="25"/>
      <c r="BS1513" s="25"/>
      <c r="BT1513" s="25"/>
      <c r="BU1513" s="25"/>
      <c r="BV1513" s="25"/>
      <c r="BW1513" s="25"/>
      <c r="BX1513" s="25"/>
      <c r="BY1513" s="25"/>
      <c r="BZ1513" s="25"/>
      <c r="CA1513" s="25"/>
      <c r="CB1513" s="25"/>
    </row>
    <row r="1514" spans="1:80" ht="12.75" hidden="1" customHeight="1">
      <c r="A1514" s="10">
        <f ca="1">IFERROR(__xludf.DUMMYFUNCTION("""COMPUTED_VALUE"""),2021)</f>
        <v>2021</v>
      </c>
      <c r="B1514" s="50"/>
      <c r="C1514" s="41"/>
      <c r="D1514" s="42" t="str">
        <f ca="1">IFERROR(__xludf.DUMMYFUNCTION("""COMPUTED_VALUE"""),"Goshawk")</f>
        <v>Goshawk</v>
      </c>
      <c r="E1514" s="53">
        <f ca="1">IFERROR(__xludf.DUMMYFUNCTION("""COMPUTED_VALUE"""),1)</f>
        <v>1</v>
      </c>
      <c r="F1514" s="15"/>
      <c r="G1514" s="44" t="str">
        <f ca="1">IFERROR(__xludf.DUMMYFUNCTION("""COMPUTED_VALUE"""),"Woolston Eyes Number 3 bed")</f>
        <v>Woolston Eyes Number 3 bed</v>
      </c>
      <c r="H1514" s="12">
        <f ca="1">IFERROR(__xludf.DUMMYFUNCTION("""COMPUTED_VALUE"""),44532)</f>
        <v>44532</v>
      </c>
      <c r="I1514" s="13"/>
      <c r="J1514" s="14"/>
      <c r="K1514" s="15"/>
      <c r="L1514" s="17" t="str">
        <f ca="1">IFERROR(__xludf.DUMMYFUNCTION("""COMPUTED_VALUE"""),"limbo")</f>
        <v>limbo</v>
      </c>
      <c r="M1514" s="17"/>
      <c r="N1514" s="15" t="str">
        <f ca="1">IFERROR(__xludf.DUMMYFUNCTION("""COMPUTED_VALUE"""),"not submitted")</f>
        <v>not submitted</v>
      </c>
      <c r="O1514" s="18"/>
      <c r="P1514" s="15"/>
      <c r="Q1514" s="15"/>
      <c r="R1514" s="15"/>
      <c r="S1514" s="15"/>
      <c r="T1514" s="15"/>
      <c r="U1514" s="15"/>
      <c r="V1514" s="15"/>
      <c r="W1514" s="15"/>
      <c r="X1514" s="15"/>
      <c r="Y1514" s="15"/>
      <c r="Z1514" s="15"/>
      <c r="AA1514" s="15"/>
      <c r="AB1514" s="15"/>
      <c r="AC1514" s="15"/>
      <c r="AD1514" s="15"/>
      <c r="AE1514" s="15"/>
      <c r="AF1514" s="15"/>
      <c r="AG1514" s="15"/>
      <c r="AH1514" s="15"/>
      <c r="AI1514" s="15"/>
      <c r="AJ1514" s="15"/>
      <c r="AK1514" s="15"/>
      <c r="AL1514" s="15"/>
      <c r="AM1514" s="15"/>
      <c r="AN1514" s="15"/>
      <c r="AO1514" s="15"/>
      <c r="AP1514" s="15"/>
      <c r="AQ1514" s="15"/>
      <c r="AR1514" s="15"/>
      <c r="AS1514" s="15"/>
      <c r="AT1514" s="15"/>
      <c r="AU1514" s="15"/>
      <c r="AV1514" s="15"/>
      <c r="AW1514" s="15"/>
      <c r="AX1514" s="15"/>
      <c r="AY1514" s="15"/>
      <c r="AZ1514" s="15"/>
      <c r="BA1514" s="15"/>
      <c r="BB1514" s="15"/>
      <c r="BC1514" s="15"/>
      <c r="BD1514" s="15"/>
      <c r="BE1514" s="15"/>
      <c r="BF1514" s="15"/>
      <c r="BG1514" s="15"/>
      <c r="BH1514" s="15"/>
      <c r="BI1514" s="15"/>
      <c r="BJ1514" s="15"/>
      <c r="BK1514" s="15"/>
      <c r="BL1514" s="15"/>
      <c r="BM1514" s="15"/>
      <c r="BN1514" s="15"/>
      <c r="BO1514" s="15"/>
      <c r="BP1514" s="15"/>
      <c r="BQ1514" s="15"/>
      <c r="BR1514" s="15"/>
      <c r="BS1514" s="15"/>
      <c r="BT1514" s="15"/>
      <c r="BU1514" s="15"/>
      <c r="BV1514" s="15"/>
      <c r="BW1514" s="15"/>
      <c r="BX1514" s="15"/>
      <c r="BY1514" s="15"/>
      <c r="BZ1514" s="15"/>
      <c r="CA1514" s="15"/>
      <c r="CB1514" s="15"/>
    </row>
    <row r="1515" spans="1:80" ht="12.75" hidden="1" customHeight="1">
      <c r="A1515" s="20">
        <f ca="1">IFERROR(__xludf.DUMMYFUNCTION("""COMPUTED_VALUE"""),2021)</f>
        <v>2021</v>
      </c>
      <c r="B1515" s="45">
        <f ca="1">IFERROR(__xludf.DUMMYFUNCTION("""COMPUTED_VALUE"""),44618)</f>
        <v>44618</v>
      </c>
      <c r="C1515" s="46">
        <f ca="1">IFERROR(__xludf.DUMMYFUNCTION("""COMPUTED_VALUE"""),44582)</f>
        <v>44582</v>
      </c>
      <c r="D1515" s="47" t="str">
        <f ca="1">IFERROR(__xludf.DUMMYFUNCTION("""COMPUTED_VALUE"""),"Goshawk")</f>
        <v>Goshawk</v>
      </c>
      <c r="E1515" s="52">
        <f ca="1">IFERROR(__xludf.DUMMYFUNCTION("""COMPUTED_VALUE"""),1)</f>
        <v>1</v>
      </c>
      <c r="F1515" s="25" t="str">
        <f ca="1">IFERROR(__xludf.DUMMYFUNCTION("""COMPUTED_VALUE"""),"Ad fem")</f>
        <v>Ad fem</v>
      </c>
      <c r="G1515" s="48" t="str">
        <f ca="1">IFERROR(__xludf.DUMMYFUNCTION("""COMPUTED_VALUE"""),"Mollington")</f>
        <v>Mollington</v>
      </c>
      <c r="H1515" s="22">
        <f ca="1">IFERROR(__xludf.DUMMYFUNCTION("""COMPUTED_VALUE"""),44537)</f>
        <v>44537</v>
      </c>
      <c r="I1515" s="23"/>
      <c r="J1515" s="24" t="str">
        <f ca="1">IFERROR(__xludf.DUMMYFUNCTION("""COMPUTED_VALUE"""),"Woollen, P")</f>
        <v>Woollen, P</v>
      </c>
      <c r="K1515" s="25" t="str">
        <f ca="1">IFERROR(__xludf.DUMMYFUNCTION("""COMPUTED_VALUE"""),"Woollen, P")</f>
        <v>Woollen, P</v>
      </c>
      <c r="L1515" s="27" t="str">
        <f ca="1">IFERROR(__xludf.DUMMYFUNCTION("""COMPUTED_VALUE"""),"closed")</f>
        <v>closed</v>
      </c>
      <c r="M1515" s="27" t="str">
        <f ca="1">IFERROR(__xludf.DUMMYFUNCTION("""COMPUTED_VALUE"""),"1st U")</f>
        <v>1st U</v>
      </c>
      <c r="N1515" s="25" t="str">
        <f ca="1">IFERROR(__xludf.DUMMYFUNCTION("""COMPUTED_VALUE"""),"accepted")</f>
        <v>accepted</v>
      </c>
      <c r="O1515" s="28"/>
      <c r="P1515" s="25"/>
      <c r="Q1515" s="25"/>
      <c r="R1515" s="25"/>
      <c r="S1515" s="25"/>
      <c r="T1515" s="25"/>
      <c r="U1515" s="25"/>
      <c r="V1515" s="25"/>
      <c r="W1515" s="25"/>
      <c r="X1515" s="25"/>
      <c r="Y1515" s="25"/>
      <c r="Z1515" s="25"/>
      <c r="AA1515" s="25"/>
      <c r="AB1515" s="25"/>
      <c r="AC1515" s="25"/>
      <c r="AD1515" s="25"/>
      <c r="AE1515" s="25"/>
      <c r="AF1515" s="25"/>
      <c r="AG1515" s="25"/>
      <c r="AH1515" s="25"/>
      <c r="AI1515" s="25"/>
      <c r="AJ1515" s="25"/>
      <c r="AK1515" s="25"/>
      <c r="AL1515" s="25"/>
      <c r="AM1515" s="25"/>
      <c r="AN1515" s="25"/>
      <c r="AO1515" s="25"/>
      <c r="AP1515" s="25"/>
      <c r="AQ1515" s="25"/>
      <c r="AR1515" s="25"/>
      <c r="AS1515" s="25"/>
      <c r="AT1515" s="25"/>
      <c r="AU1515" s="25"/>
      <c r="AV1515" s="25"/>
      <c r="AW1515" s="25"/>
      <c r="AX1515" s="25"/>
      <c r="AY1515" s="25"/>
      <c r="AZ1515" s="25"/>
      <c r="BA1515" s="25"/>
      <c r="BB1515" s="25"/>
      <c r="BC1515" s="25"/>
      <c r="BD1515" s="25"/>
      <c r="BE1515" s="25"/>
      <c r="BF1515" s="25"/>
      <c r="BG1515" s="25"/>
      <c r="BH1515" s="25"/>
      <c r="BI1515" s="25"/>
      <c r="BJ1515" s="25"/>
      <c r="BK1515" s="25"/>
      <c r="BL1515" s="25"/>
      <c r="BM1515" s="25"/>
      <c r="BN1515" s="25"/>
      <c r="BO1515" s="25"/>
      <c r="BP1515" s="25"/>
      <c r="BQ1515" s="25"/>
      <c r="BR1515" s="25"/>
      <c r="BS1515" s="25"/>
      <c r="BT1515" s="25"/>
      <c r="BU1515" s="25"/>
      <c r="BV1515" s="25"/>
      <c r="BW1515" s="25"/>
      <c r="BX1515" s="25"/>
      <c r="BY1515" s="25"/>
      <c r="BZ1515" s="25"/>
      <c r="CA1515" s="25"/>
      <c r="CB1515" s="25"/>
    </row>
    <row r="1516" spans="1:80" ht="12.75" hidden="1" customHeight="1">
      <c r="A1516" s="10">
        <f ca="1">IFERROR(__xludf.DUMMYFUNCTION("""COMPUTED_VALUE"""),2021)</f>
        <v>2021</v>
      </c>
      <c r="B1516" s="50">
        <f ca="1">IFERROR(__xludf.DUMMYFUNCTION("""COMPUTED_VALUE"""),44404)</f>
        <v>44404</v>
      </c>
      <c r="C1516" s="41">
        <f ca="1">IFERROR(__xludf.DUMMYFUNCTION("""COMPUTED_VALUE"""),44563)</f>
        <v>44563</v>
      </c>
      <c r="D1516" s="42" t="str">
        <f ca="1">IFERROR(__xludf.DUMMYFUNCTION("""COMPUTED_VALUE"""),"Hoopoe")</f>
        <v>Hoopoe</v>
      </c>
      <c r="E1516" s="53">
        <f ca="1">IFERROR(__xludf.DUMMYFUNCTION("""COMPUTED_VALUE"""),1)</f>
        <v>1</v>
      </c>
      <c r="F1516" s="15"/>
      <c r="G1516" s="44" t="str">
        <f ca="1">IFERROR(__xludf.DUMMYFUNCTION("""COMPUTED_VALUE"""),"Hoylake")</f>
        <v>Hoylake</v>
      </c>
      <c r="H1516" s="12">
        <f ca="1">IFERROR(__xludf.DUMMYFUNCTION("""COMPUTED_VALUE"""),44324)</f>
        <v>44324</v>
      </c>
      <c r="I1516" s="12">
        <f ca="1">IFERROR(__xludf.DUMMYFUNCTION("""COMPUTED_VALUE"""),44325)</f>
        <v>44325</v>
      </c>
      <c r="J1516" s="14" t="str">
        <f ca="1">IFERROR(__xludf.DUMMYFUNCTION("""COMPUTED_VALUE"""),"County recorder")</f>
        <v>County recorder</v>
      </c>
      <c r="K1516" s="15" t="str">
        <f ca="1">IFERROR(__xludf.DUMMYFUNCTION("""COMPUTED_VALUE"""),"tbd")</f>
        <v>tbd</v>
      </c>
      <c r="L1516" s="17" t="str">
        <f ca="1">IFERROR(__xludf.DUMMYFUNCTION("""COMPUTED_VALUE"""),"closed")</f>
        <v>closed</v>
      </c>
      <c r="M1516" s="17" t="str">
        <f ca="1">IFERROR(__xludf.DUMMYFUNCTION("""COMPUTED_VALUE"""),"photo")</f>
        <v>photo</v>
      </c>
      <c r="N1516" s="15" t="str">
        <f ca="1">IFERROR(__xludf.DUMMYFUNCTION("""COMPUTED_VALUE"""),"Accepted w/o circ")</f>
        <v>Accepted w/o circ</v>
      </c>
      <c r="O1516" s="18"/>
      <c r="P1516" s="15"/>
      <c r="Q1516" s="15"/>
      <c r="R1516" s="15"/>
      <c r="S1516" s="15"/>
      <c r="T1516" s="15"/>
      <c r="U1516" s="15"/>
      <c r="V1516" s="15"/>
      <c r="W1516" s="15"/>
      <c r="X1516" s="15"/>
      <c r="Y1516" s="15"/>
      <c r="Z1516" s="15"/>
      <c r="AA1516" s="15"/>
      <c r="AB1516" s="15"/>
      <c r="AC1516" s="15"/>
      <c r="AD1516" s="15"/>
      <c r="AE1516" s="15"/>
      <c r="AF1516" s="15"/>
      <c r="AG1516" s="15"/>
      <c r="AH1516" s="15"/>
      <c r="AI1516" s="15"/>
      <c r="AJ1516" s="15"/>
      <c r="AK1516" s="15"/>
      <c r="AL1516" s="15"/>
      <c r="AM1516" s="15"/>
      <c r="AN1516" s="15"/>
      <c r="AO1516" s="15"/>
      <c r="AP1516" s="15"/>
      <c r="AQ1516" s="15"/>
      <c r="AR1516" s="15"/>
      <c r="AS1516" s="15"/>
      <c r="AT1516" s="15"/>
      <c r="AU1516" s="15"/>
      <c r="AV1516" s="15"/>
      <c r="AW1516" s="15"/>
      <c r="AX1516" s="15"/>
      <c r="AY1516" s="15"/>
      <c r="AZ1516" s="15"/>
      <c r="BA1516" s="15"/>
      <c r="BB1516" s="15"/>
      <c r="BC1516" s="15"/>
      <c r="BD1516" s="15"/>
      <c r="BE1516" s="15"/>
      <c r="BF1516" s="15"/>
      <c r="BG1516" s="15"/>
      <c r="BH1516" s="15"/>
      <c r="BI1516" s="15"/>
      <c r="BJ1516" s="15"/>
      <c r="BK1516" s="15"/>
      <c r="BL1516" s="15"/>
      <c r="BM1516" s="15"/>
      <c r="BN1516" s="15"/>
      <c r="BO1516" s="15"/>
      <c r="BP1516" s="15"/>
      <c r="BQ1516" s="15"/>
      <c r="BR1516" s="15"/>
      <c r="BS1516" s="15"/>
      <c r="BT1516" s="15"/>
      <c r="BU1516" s="15"/>
      <c r="BV1516" s="15"/>
      <c r="BW1516" s="15"/>
      <c r="BX1516" s="15"/>
      <c r="BY1516" s="15"/>
      <c r="BZ1516" s="15"/>
      <c r="CA1516" s="15"/>
      <c r="CB1516" s="15"/>
    </row>
    <row r="1517" spans="1:80" ht="12.75" hidden="1" customHeight="1">
      <c r="A1517" s="20">
        <f ca="1">IFERROR(__xludf.DUMMYFUNCTION("""COMPUTED_VALUE"""),2021)</f>
        <v>2021</v>
      </c>
      <c r="B1517" s="45">
        <f ca="1">IFERROR(__xludf.DUMMYFUNCTION("""COMPUTED_VALUE"""),44404)</f>
        <v>44404</v>
      </c>
      <c r="C1517" s="46">
        <f ca="1">IFERROR(__xludf.DUMMYFUNCTION("""COMPUTED_VALUE"""),44563)</f>
        <v>44563</v>
      </c>
      <c r="D1517" s="47" t="str">
        <f ca="1">IFERROR(__xludf.DUMMYFUNCTION("""COMPUTED_VALUE"""),"Hoopoe")</f>
        <v>Hoopoe</v>
      </c>
      <c r="E1517" s="52">
        <f ca="1">IFERROR(__xludf.DUMMYFUNCTION("""COMPUTED_VALUE"""),1)</f>
        <v>1</v>
      </c>
      <c r="F1517" s="25"/>
      <c r="G1517" s="48" t="str">
        <f ca="1">IFERROR(__xludf.DUMMYFUNCTION("""COMPUTED_VALUE"""),"Hilbre")</f>
        <v>Hilbre</v>
      </c>
      <c r="H1517" s="22">
        <f ca="1">IFERROR(__xludf.DUMMYFUNCTION("""COMPUTED_VALUE"""),44398)</f>
        <v>44398</v>
      </c>
      <c r="I1517" s="23"/>
      <c r="J1517" s="24" t="str">
        <f ca="1">IFERROR(__xludf.DUMMYFUNCTION("""COMPUTED_VALUE"""),"County recorder")</f>
        <v>County recorder</v>
      </c>
      <c r="K1517" s="25" t="str">
        <f ca="1">IFERROR(__xludf.DUMMYFUNCTION("""COMPUTED_VALUE"""),"Davies, C")</f>
        <v>Davies, C</v>
      </c>
      <c r="L1517" s="27" t="str">
        <f ca="1">IFERROR(__xludf.DUMMYFUNCTION("""COMPUTED_VALUE"""),"closed")</f>
        <v>closed</v>
      </c>
      <c r="M1517" s="27" t="str">
        <f ca="1">IFERROR(__xludf.DUMMYFUNCTION("""COMPUTED_VALUE"""),"photo")</f>
        <v>photo</v>
      </c>
      <c r="N1517" s="25" t="str">
        <f ca="1">IFERROR(__xludf.DUMMYFUNCTION("""COMPUTED_VALUE"""),"Accepted w/o circ")</f>
        <v>Accepted w/o circ</v>
      </c>
      <c r="O1517" s="28"/>
      <c r="P1517" s="25"/>
      <c r="Q1517" s="25"/>
      <c r="R1517" s="25"/>
      <c r="S1517" s="25"/>
      <c r="T1517" s="25"/>
      <c r="U1517" s="25"/>
      <c r="V1517" s="25"/>
      <c r="W1517" s="25"/>
      <c r="X1517" s="25"/>
      <c r="Y1517" s="25"/>
      <c r="Z1517" s="25"/>
      <c r="AA1517" s="25"/>
      <c r="AB1517" s="25"/>
      <c r="AC1517" s="25"/>
      <c r="AD1517" s="25"/>
      <c r="AE1517" s="25"/>
      <c r="AF1517" s="25"/>
      <c r="AG1517" s="25"/>
      <c r="AH1517" s="25"/>
      <c r="AI1517" s="25"/>
      <c r="AJ1517" s="25"/>
      <c r="AK1517" s="25"/>
      <c r="AL1517" s="25"/>
      <c r="AM1517" s="25"/>
      <c r="AN1517" s="25"/>
      <c r="AO1517" s="25"/>
      <c r="AP1517" s="25"/>
      <c r="AQ1517" s="25"/>
      <c r="AR1517" s="25"/>
      <c r="AS1517" s="25"/>
      <c r="AT1517" s="25"/>
      <c r="AU1517" s="25"/>
      <c r="AV1517" s="25"/>
      <c r="AW1517" s="25"/>
      <c r="AX1517" s="25"/>
      <c r="AY1517" s="25"/>
      <c r="AZ1517" s="25"/>
      <c r="BA1517" s="25"/>
      <c r="BB1517" s="25"/>
      <c r="BC1517" s="25"/>
      <c r="BD1517" s="25"/>
      <c r="BE1517" s="25"/>
      <c r="BF1517" s="25"/>
      <c r="BG1517" s="25"/>
      <c r="BH1517" s="25"/>
      <c r="BI1517" s="25"/>
      <c r="BJ1517" s="25"/>
      <c r="BK1517" s="25"/>
      <c r="BL1517" s="25"/>
      <c r="BM1517" s="25"/>
      <c r="BN1517" s="25"/>
      <c r="BO1517" s="25"/>
      <c r="BP1517" s="25"/>
      <c r="BQ1517" s="25"/>
      <c r="BR1517" s="25"/>
      <c r="BS1517" s="25"/>
      <c r="BT1517" s="25"/>
      <c r="BU1517" s="25"/>
      <c r="BV1517" s="25"/>
      <c r="BW1517" s="25"/>
      <c r="BX1517" s="25"/>
      <c r="BY1517" s="25"/>
      <c r="BZ1517" s="25"/>
      <c r="CA1517" s="25"/>
      <c r="CB1517" s="25"/>
    </row>
    <row r="1518" spans="1:80" ht="12.75" hidden="1" customHeight="1">
      <c r="A1518" s="10">
        <f ca="1">IFERROR(__xludf.DUMMYFUNCTION("""COMPUTED_VALUE"""),2021)</f>
        <v>2021</v>
      </c>
      <c r="B1518" s="50">
        <f ca="1">IFERROR(__xludf.DUMMYFUNCTION("""COMPUTED_VALUE"""),44579)</f>
        <v>44579</v>
      </c>
      <c r="C1518" s="41"/>
      <c r="D1518" s="42" t="str">
        <f ca="1">IFERROR(__xludf.DUMMYFUNCTION("""COMPUTED_VALUE"""),"Red-backed Shrike")</f>
        <v>Red-backed Shrike</v>
      </c>
      <c r="E1518" s="53">
        <f ca="1">IFERROR(__xludf.DUMMYFUNCTION("""COMPUTED_VALUE"""),1)</f>
        <v>1</v>
      </c>
      <c r="F1518" s="15" t="str">
        <f ca="1">IFERROR(__xludf.DUMMYFUNCTION("""COMPUTED_VALUE"""),"m")</f>
        <v>m</v>
      </c>
      <c r="G1518" s="44" t="str">
        <f ca="1">IFERROR(__xludf.DUMMYFUNCTION("""COMPUTED_VALUE"""),"Meols")</f>
        <v>Meols</v>
      </c>
      <c r="H1518" s="12">
        <f ca="1">IFERROR(__xludf.DUMMYFUNCTION("""COMPUTED_VALUE"""),44348)</f>
        <v>44348</v>
      </c>
      <c r="I1518" s="13"/>
      <c r="J1518" s="14" t="str">
        <f ca="1">IFERROR(__xludf.DUMMYFUNCTION("""COMPUTED_VALUE"""),"County recorder")</f>
        <v>County recorder</v>
      </c>
      <c r="K1518" s="15" t="str">
        <f ca="1">IFERROR(__xludf.DUMMYFUNCTION("""COMPUTED_VALUE"""),"Haigh, D")</f>
        <v>Haigh, D</v>
      </c>
      <c r="L1518" s="17" t="str">
        <f ca="1">IFERROR(__xludf.DUMMYFUNCTION("""COMPUTED_VALUE"""),"closed")</f>
        <v>closed</v>
      </c>
      <c r="M1518" s="17" t="str">
        <f ca="1">IFERROR(__xludf.DUMMYFUNCTION("""COMPUTED_VALUE"""),"photo")</f>
        <v>photo</v>
      </c>
      <c r="N1518" s="15" t="str">
        <f ca="1">IFERROR(__xludf.DUMMYFUNCTION("""COMPUTED_VALUE"""),"Accepted w/o circ")</f>
        <v>Accepted w/o circ</v>
      </c>
      <c r="O1518" s="18"/>
      <c r="P1518" s="15"/>
      <c r="Q1518" s="15"/>
      <c r="R1518" s="15"/>
      <c r="S1518" s="15"/>
      <c r="T1518" s="15"/>
      <c r="U1518" s="15"/>
      <c r="V1518" s="15"/>
      <c r="W1518" s="15"/>
      <c r="X1518" s="15"/>
      <c r="Y1518" s="15"/>
      <c r="Z1518" s="15"/>
      <c r="AA1518" s="15"/>
      <c r="AB1518" s="15"/>
      <c r="AC1518" s="15"/>
      <c r="AD1518" s="15"/>
      <c r="AE1518" s="15"/>
      <c r="AF1518" s="15"/>
      <c r="AG1518" s="15"/>
      <c r="AH1518" s="15"/>
      <c r="AI1518" s="15"/>
      <c r="AJ1518" s="15"/>
      <c r="AK1518" s="15"/>
      <c r="AL1518" s="15"/>
      <c r="AM1518" s="15"/>
      <c r="AN1518" s="15"/>
      <c r="AO1518" s="15"/>
      <c r="AP1518" s="15"/>
      <c r="AQ1518" s="15"/>
      <c r="AR1518" s="15"/>
      <c r="AS1518" s="15"/>
      <c r="AT1518" s="15"/>
      <c r="AU1518" s="15"/>
      <c r="AV1518" s="15"/>
      <c r="AW1518" s="15"/>
      <c r="AX1518" s="15"/>
      <c r="AY1518" s="15"/>
      <c r="AZ1518" s="15"/>
      <c r="BA1518" s="15"/>
      <c r="BB1518" s="15"/>
      <c r="BC1518" s="15"/>
      <c r="BD1518" s="15"/>
      <c r="BE1518" s="15"/>
      <c r="BF1518" s="15"/>
      <c r="BG1518" s="15"/>
      <c r="BH1518" s="15"/>
      <c r="BI1518" s="15"/>
      <c r="BJ1518" s="15"/>
      <c r="BK1518" s="15"/>
      <c r="BL1518" s="15"/>
      <c r="BM1518" s="15"/>
      <c r="BN1518" s="15"/>
      <c r="BO1518" s="15"/>
      <c r="BP1518" s="15"/>
      <c r="BQ1518" s="15"/>
      <c r="BR1518" s="15"/>
      <c r="BS1518" s="15"/>
      <c r="BT1518" s="15"/>
      <c r="BU1518" s="15"/>
      <c r="BV1518" s="15"/>
      <c r="BW1518" s="15"/>
      <c r="BX1518" s="15"/>
      <c r="BY1518" s="15"/>
      <c r="BZ1518" s="15"/>
      <c r="CA1518" s="15"/>
      <c r="CB1518" s="15"/>
    </row>
    <row r="1519" spans="1:80" ht="12.75" hidden="1" customHeight="1">
      <c r="A1519" s="20">
        <f ca="1">IFERROR(__xludf.DUMMYFUNCTION("""COMPUTED_VALUE"""),2021)</f>
        <v>2021</v>
      </c>
      <c r="B1519" s="45">
        <f ca="1">IFERROR(__xludf.DUMMYFUNCTION("""COMPUTED_VALUE"""),44572)</f>
        <v>44572</v>
      </c>
      <c r="C1519" s="46">
        <f ca="1">IFERROR(__xludf.DUMMYFUNCTION("""COMPUTED_VALUE"""),44572)</f>
        <v>44572</v>
      </c>
      <c r="D1519" s="47" t="str">
        <f ca="1">IFERROR(__xludf.DUMMYFUNCTION("""COMPUTED_VALUE"""),"Coal Tit [Irish]")</f>
        <v>Coal Tit [Irish]</v>
      </c>
      <c r="E1519" s="52">
        <f ca="1">IFERROR(__xludf.DUMMYFUNCTION("""COMPUTED_VALUE"""),1)</f>
        <v>1</v>
      </c>
      <c r="F1519" s="25" t="str">
        <f ca="1">IFERROR(__xludf.DUMMYFUNCTION("""COMPUTED_VALUE"""),"1stCY")</f>
        <v>1stCY</v>
      </c>
      <c r="G1519" s="48" t="str">
        <f ca="1">IFERROR(__xludf.DUMMYFUNCTION("""COMPUTED_VALUE"""),"Hoylake")</f>
        <v>Hoylake</v>
      </c>
      <c r="H1519" s="22">
        <f ca="1">IFERROR(__xludf.DUMMYFUNCTION("""COMPUTED_VALUE"""),44502)</f>
        <v>44502</v>
      </c>
      <c r="I1519" s="23"/>
      <c r="J1519" s="24" t="str">
        <f ca="1">IFERROR(__xludf.DUMMYFUNCTION("""COMPUTED_VALUE"""),"Turner, JE ")</f>
        <v xml:space="preserve">Turner, JE </v>
      </c>
      <c r="K1519" s="25" t="str">
        <f ca="1">IFERROR(__xludf.DUMMYFUNCTION("""COMPUTED_VALUE"""),"Turner, JE &amp; Jones, H")</f>
        <v>Turner, JE &amp; Jones, H</v>
      </c>
      <c r="L1519" s="27" t="str">
        <f ca="1">IFERROR(__xludf.DUMMYFUNCTION("""COMPUTED_VALUE"""),"closed")</f>
        <v>closed</v>
      </c>
      <c r="M1519" s="27" t="str">
        <f ca="1">IFERROR(__xludf.DUMMYFUNCTION("""COMPUTED_VALUE"""),"1st U")</f>
        <v>1st U</v>
      </c>
      <c r="N1519" s="25" t="str">
        <f ca="1">IFERROR(__xludf.DUMMYFUNCTION("""COMPUTED_VALUE"""),"accepted")</f>
        <v>accepted</v>
      </c>
      <c r="O1519" s="28" t="str">
        <f ca="1">IFERROR(__xludf.DUMMYFUNCTION("""COMPUTED_VALUE"""),"trapped.  NB BBRC sub-species - and held - only pending review of characters - so will have to be published with some sort of disclaimer.  ")</f>
        <v xml:space="preserve">trapped.  NB BBRC sub-species - and held - only pending review of characters - so will have to be published with some sort of disclaimer.  </v>
      </c>
      <c r="P1519" s="25"/>
      <c r="Q1519" s="25"/>
      <c r="R1519" s="25"/>
      <c r="S1519" s="25"/>
      <c r="T1519" s="25"/>
      <c r="U1519" s="25"/>
      <c r="V1519" s="25"/>
      <c r="W1519" s="25"/>
      <c r="X1519" s="25"/>
      <c r="Y1519" s="25"/>
      <c r="Z1519" s="25"/>
      <c r="AA1519" s="25"/>
      <c r="AB1519" s="25"/>
      <c r="AC1519" s="25"/>
      <c r="AD1519" s="25"/>
      <c r="AE1519" s="25"/>
      <c r="AF1519" s="25"/>
      <c r="AG1519" s="25"/>
      <c r="AH1519" s="25"/>
      <c r="AI1519" s="25"/>
      <c r="AJ1519" s="25"/>
      <c r="AK1519" s="25"/>
      <c r="AL1519" s="25"/>
      <c r="AM1519" s="25"/>
      <c r="AN1519" s="25"/>
      <c r="AO1519" s="25"/>
      <c r="AP1519" s="25"/>
      <c r="AQ1519" s="25"/>
      <c r="AR1519" s="25"/>
      <c r="AS1519" s="25"/>
      <c r="AT1519" s="25"/>
      <c r="AU1519" s="25"/>
      <c r="AV1519" s="25"/>
      <c r="AW1519" s="25"/>
      <c r="AX1519" s="25"/>
      <c r="AY1519" s="25"/>
      <c r="AZ1519" s="25"/>
      <c r="BA1519" s="25"/>
      <c r="BB1519" s="25"/>
      <c r="BC1519" s="25"/>
      <c r="BD1519" s="25"/>
      <c r="BE1519" s="25"/>
      <c r="BF1519" s="25"/>
      <c r="BG1519" s="25"/>
      <c r="BH1519" s="25"/>
      <c r="BI1519" s="25"/>
      <c r="BJ1519" s="25"/>
      <c r="BK1519" s="25"/>
      <c r="BL1519" s="25"/>
      <c r="BM1519" s="25"/>
      <c r="BN1519" s="25"/>
      <c r="BO1519" s="25"/>
      <c r="BP1519" s="25"/>
      <c r="BQ1519" s="25"/>
      <c r="BR1519" s="25"/>
      <c r="BS1519" s="25"/>
      <c r="BT1519" s="25"/>
      <c r="BU1519" s="25"/>
      <c r="BV1519" s="25"/>
      <c r="BW1519" s="25"/>
      <c r="BX1519" s="25"/>
      <c r="BY1519" s="25"/>
      <c r="BZ1519" s="25"/>
      <c r="CA1519" s="25"/>
      <c r="CB1519" s="25"/>
    </row>
    <row r="1520" spans="1:80" ht="12.75" hidden="1" customHeight="1">
      <c r="A1520" s="10">
        <f ca="1">IFERROR(__xludf.DUMMYFUNCTION("""COMPUTED_VALUE"""),2021)</f>
        <v>2021</v>
      </c>
      <c r="B1520" s="50">
        <f ca="1">IFERROR(__xludf.DUMMYFUNCTION("""COMPUTED_VALUE"""),44727)</f>
        <v>44727</v>
      </c>
      <c r="C1520" s="41"/>
      <c r="D1520" s="42" t="str">
        <f ca="1">IFERROR(__xludf.DUMMYFUNCTION("""COMPUTED_VALUE"""),"Woodlark")</f>
        <v>Woodlark</v>
      </c>
      <c r="E1520" s="53">
        <f ca="1">IFERROR(__xludf.DUMMYFUNCTION("""COMPUTED_VALUE"""),1)</f>
        <v>1</v>
      </c>
      <c r="F1520" s="15"/>
      <c r="G1520" s="44" t="str">
        <f ca="1">IFERROR(__xludf.DUMMYFUNCTION("""COMPUTED_VALUE"""),"No. 3 Bed, Woolston Eyes")</f>
        <v>No. 3 Bed, Woolston Eyes</v>
      </c>
      <c r="H1520" s="12">
        <f ca="1">IFERROR(__xludf.DUMMYFUNCTION("""COMPUTED_VALUE"""),44266)</f>
        <v>44266</v>
      </c>
      <c r="I1520" s="13"/>
      <c r="J1520" s="14"/>
      <c r="K1520" s="15"/>
      <c r="L1520" s="17" t="str">
        <f ca="1">IFERROR(__xludf.DUMMYFUNCTION("""COMPUTED_VALUE"""),"limbo")</f>
        <v>limbo</v>
      </c>
      <c r="M1520" s="17"/>
      <c r="N1520" s="15" t="str">
        <f ca="1">IFERROR(__xludf.DUMMYFUNCTION("""COMPUTED_VALUE"""),"not submitted")</f>
        <v>not submitted</v>
      </c>
      <c r="O1520" s="18"/>
      <c r="P1520" s="15"/>
      <c r="Q1520" s="15"/>
      <c r="R1520" s="15"/>
      <c r="S1520" s="15"/>
      <c r="T1520" s="15"/>
      <c r="U1520" s="15"/>
      <c r="V1520" s="15"/>
      <c r="W1520" s="15"/>
      <c r="X1520" s="15"/>
      <c r="Y1520" s="15"/>
      <c r="Z1520" s="15"/>
      <c r="AA1520" s="15"/>
      <c r="AB1520" s="15"/>
      <c r="AC1520" s="15"/>
      <c r="AD1520" s="15"/>
      <c r="AE1520" s="15"/>
      <c r="AF1520" s="15"/>
      <c r="AG1520" s="15"/>
      <c r="AH1520" s="15"/>
      <c r="AI1520" s="15"/>
      <c r="AJ1520" s="15"/>
      <c r="AK1520" s="15"/>
      <c r="AL1520" s="15"/>
      <c r="AM1520" s="15"/>
      <c r="AN1520" s="15"/>
      <c r="AO1520" s="15"/>
      <c r="AP1520" s="15"/>
      <c r="AQ1520" s="15"/>
      <c r="AR1520" s="15"/>
      <c r="AS1520" s="15"/>
      <c r="AT1520" s="15"/>
      <c r="AU1520" s="15"/>
      <c r="AV1520" s="15"/>
      <c r="AW1520" s="15"/>
      <c r="AX1520" s="15"/>
      <c r="AY1520" s="15"/>
      <c r="AZ1520" s="15"/>
      <c r="BA1520" s="15"/>
      <c r="BB1520" s="15"/>
      <c r="BC1520" s="15"/>
      <c r="BD1520" s="15"/>
      <c r="BE1520" s="15"/>
      <c r="BF1520" s="15"/>
      <c r="BG1520" s="15"/>
      <c r="BH1520" s="15"/>
      <c r="BI1520" s="15"/>
      <c r="BJ1520" s="15"/>
      <c r="BK1520" s="15"/>
      <c r="BL1520" s="15"/>
      <c r="BM1520" s="15"/>
      <c r="BN1520" s="15"/>
      <c r="BO1520" s="15"/>
      <c r="BP1520" s="15"/>
      <c r="BQ1520" s="15"/>
      <c r="BR1520" s="15"/>
      <c r="BS1520" s="15"/>
      <c r="BT1520" s="15"/>
      <c r="BU1520" s="15"/>
      <c r="BV1520" s="15"/>
      <c r="BW1520" s="15"/>
      <c r="BX1520" s="15"/>
      <c r="BY1520" s="15"/>
      <c r="BZ1520" s="15"/>
      <c r="CA1520" s="15"/>
      <c r="CB1520" s="15"/>
    </row>
    <row r="1521" spans="1:80" ht="12.75" hidden="1" customHeight="1">
      <c r="A1521" s="20">
        <f ca="1">IFERROR(__xludf.DUMMYFUNCTION("""COMPUTED_VALUE"""),2021)</f>
        <v>2021</v>
      </c>
      <c r="B1521" s="45">
        <f ca="1">IFERROR(__xludf.DUMMYFUNCTION("""COMPUTED_VALUE"""),44574)</f>
        <v>44574</v>
      </c>
      <c r="C1521" s="46"/>
      <c r="D1521" s="47" t="str">
        <f ca="1">IFERROR(__xludf.DUMMYFUNCTION("""COMPUTED_VALUE"""),"Northern Long-tailed Tit")</f>
        <v>Northern Long-tailed Tit</v>
      </c>
      <c r="E1521" s="52">
        <f ca="1">IFERROR(__xludf.DUMMYFUNCTION("""COMPUTED_VALUE"""),1)</f>
        <v>1</v>
      </c>
      <c r="F1521" s="25"/>
      <c r="G1521" s="48" t="str">
        <f ca="1">IFERROR(__xludf.DUMMYFUNCTION("""COMPUTED_VALUE"""),"Little Sutton, Elesmere Port")</f>
        <v>Little Sutton, Elesmere Port</v>
      </c>
      <c r="H1521" s="22">
        <f ca="1">IFERROR(__xludf.DUMMYFUNCTION("""COMPUTED_VALUE"""),44228)</f>
        <v>44228</v>
      </c>
      <c r="I1521" s="22">
        <f ca="1">IFERROR(__xludf.DUMMYFUNCTION("""COMPUTED_VALUE"""),44233)</f>
        <v>44233</v>
      </c>
      <c r="J1521" s="24"/>
      <c r="K1521" s="25"/>
      <c r="L1521" s="27" t="str">
        <f ca="1">IFERROR(__xludf.DUMMYFUNCTION("""COMPUTED_VALUE"""),"closed")</f>
        <v>closed</v>
      </c>
      <c r="M1521" s="27"/>
      <c r="N1521" s="25" t="str">
        <f ca="1">IFERROR(__xludf.DUMMYFUNCTION("""COMPUTED_VALUE"""),"BBRC-NP")</f>
        <v>BBRC-NP</v>
      </c>
      <c r="O1521" s="28"/>
      <c r="P1521" s="25"/>
      <c r="Q1521" s="25"/>
      <c r="R1521" s="25"/>
      <c r="S1521" s="25"/>
      <c r="T1521" s="25"/>
      <c r="U1521" s="25"/>
      <c r="V1521" s="25"/>
      <c r="W1521" s="25"/>
      <c r="X1521" s="25"/>
      <c r="Y1521" s="25"/>
      <c r="Z1521" s="25"/>
      <c r="AA1521" s="25"/>
      <c r="AB1521" s="25"/>
      <c r="AC1521" s="25"/>
      <c r="AD1521" s="25"/>
      <c r="AE1521" s="25"/>
      <c r="AF1521" s="25"/>
      <c r="AG1521" s="25"/>
      <c r="AH1521" s="25"/>
      <c r="AI1521" s="25"/>
      <c r="AJ1521" s="25"/>
      <c r="AK1521" s="25"/>
      <c r="AL1521" s="25"/>
      <c r="AM1521" s="25"/>
      <c r="AN1521" s="25"/>
      <c r="AO1521" s="25"/>
      <c r="AP1521" s="25"/>
      <c r="AQ1521" s="25"/>
      <c r="AR1521" s="25"/>
      <c r="AS1521" s="25"/>
      <c r="AT1521" s="25"/>
      <c r="AU1521" s="25"/>
      <c r="AV1521" s="25"/>
      <c r="AW1521" s="25"/>
      <c r="AX1521" s="25"/>
      <c r="AY1521" s="25"/>
      <c r="AZ1521" s="25"/>
      <c r="BA1521" s="25"/>
      <c r="BB1521" s="25"/>
      <c r="BC1521" s="25"/>
      <c r="BD1521" s="25"/>
      <c r="BE1521" s="25"/>
      <c r="BF1521" s="25"/>
      <c r="BG1521" s="25"/>
      <c r="BH1521" s="25"/>
      <c r="BI1521" s="25"/>
      <c r="BJ1521" s="25"/>
      <c r="BK1521" s="25"/>
      <c r="BL1521" s="25"/>
      <c r="BM1521" s="25"/>
      <c r="BN1521" s="25"/>
      <c r="BO1521" s="25"/>
      <c r="BP1521" s="25"/>
      <c r="BQ1521" s="25"/>
      <c r="BR1521" s="25"/>
      <c r="BS1521" s="25"/>
      <c r="BT1521" s="25"/>
      <c r="BU1521" s="25"/>
      <c r="BV1521" s="25"/>
      <c r="BW1521" s="25"/>
      <c r="BX1521" s="25"/>
      <c r="BY1521" s="25"/>
      <c r="BZ1521" s="25"/>
      <c r="CA1521" s="25"/>
      <c r="CB1521" s="25"/>
    </row>
    <row r="1522" spans="1:80" ht="12.75" hidden="1" customHeight="1">
      <c r="A1522" s="10">
        <f ca="1">IFERROR(__xludf.DUMMYFUNCTION("""COMPUTED_VALUE"""),2021)</f>
        <v>2021</v>
      </c>
      <c r="B1522" s="50">
        <f ca="1">IFERROR(__xludf.DUMMYFUNCTION("""COMPUTED_VALUE"""),44589)</f>
        <v>44589</v>
      </c>
      <c r="C1522" s="41">
        <f ca="1">IFERROR(__xludf.DUMMYFUNCTION("""COMPUTED_VALUE"""),44261)</f>
        <v>44261</v>
      </c>
      <c r="D1522" s="42" t="str">
        <f ca="1">IFERROR(__xludf.DUMMYFUNCTION("""COMPUTED_VALUE"""),"Dusky Warbler")</f>
        <v>Dusky Warbler</v>
      </c>
      <c r="E1522" s="53">
        <f ca="1">IFERROR(__xludf.DUMMYFUNCTION("""COMPUTED_VALUE"""),1)</f>
        <v>1</v>
      </c>
      <c r="F1522" s="15"/>
      <c r="G1522" s="44" t="str">
        <f ca="1">IFERROR(__xludf.DUMMYFUNCTION("""COMPUTED_VALUE"""),"Mere Farm Qaurry, Chelford")</f>
        <v>Mere Farm Qaurry, Chelford</v>
      </c>
      <c r="H1522" s="12">
        <f ca="1">IFERROR(__xludf.DUMMYFUNCTION("""COMPUTED_VALUE"""),44237)</f>
        <v>44237</v>
      </c>
      <c r="I1522" s="12">
        <f ca="1">IFERROR(__xludf.DUMMYFUNCTION("""COMPUTED_VALUE"""),44237)</f>
        <v>44237</v>
      </c>
      <c r="J1522" s="14" t="str">
        <f ca="1">IFERROR(__xludf.DUMMYFUNCTION("""COMPUTED_VALUE"""),"Merchant, S")</f>
        <v>Merchant, S</v>
      </c>
      <c r="K1522" s="15" t="str">
        <f ca="1">IFERROR(__xludf.DUMMYFUNCTION("""COMPUTED_VALUE"""),"Merchant, S")</f>
        <v>Merchant, S</v>
      </c>
      <c r="L1522" s="17" t="str">
        <f ca="1">IFERROR(__xludf.DUMMYFUNCTION("""COMPUTED_VALUE"""),"closed")</f>
        <v>closed</v>
      </c>
      <c r="M1522" s="17" t="str">
        <f ca="1">IFERROR(__xludf.DUMMYFUNCTION("""COMPUTED_VALUE"""),"1st U")</f>
        <v>1st U</v>
      </c>
      <c r="N1522" s="15" t="str">
        <f ca="1">IFERROR(__xludf.DUMMYFUNCTION("""COMPUTED_VALUE"""),"accepted")</f>
        <v>accepted</v>
      </c>
      <c r="O1522" s="18"/>
      <c r="P1522" s="15"/>
      <c r="Q1522" s="15"/>
      <c r="R1522" s="15"/>
      <c r="S1522" s="15"/>
      <c r="T1522" s="15"/>
      <c r="U1522" s="15"/>
      <c r="V1522" s="15"/>
      <c r="W1522" s="15"/>
      <c r="X1522" s="15"/>
      <c r="Y1522" s="15"/>
      <c r="Z1522" s="15"/>
      <c r="AA1522" s="15"/>
      <c r="AB1522" s="15"/>
      <c r="AC1522" s="15"/>
      <c r="AD1522" s="15"/>
      <c r="AE1522" s="15"/>
      <c r="AF1522" s="15"/>
      <c r="AG1522" s="15"/>
      <c r="AH1522" s="15"/>
      <c r="AI1522" s="15"/>
      <c r="AJ1522" s="15"/>
      <c r="AK1522" s="15"/>
      <c r="AL1522" s="15"/>
      <c r="AM1522" s="15"/>
      <c r="AN1522" s="15"/>
      <c r="AO1522" s="15"/>
      <c r="AP1522" s="15"/>
      <c r="AQ1522" s="15"/>
      <c r="AR1522" s="15"/>
      <c r="AS1522" s="15"/>
      <c r="AT1522" s="15"/>
      <c r="AU1522" s="15"/>
      <c r="AV1522" s="15"/>
      <c r="AW1522" s="15"/>
      <c r="AX1522" s="15"/>
      <c r="AY1522" s="15"/>
      <c r="AZ1522" s="15"/>
      <c r="BA1522" s="15"/>
      <c r="BB1522" s="15"/>
      <c r="BC1522" s="15"/>
      <c r="BD1522" s="15"/>
      <c r="BE1522" s="15"/>
      <c r="BF1522" s="15"/>
      <c r="BG1522" s="15"/>
      <c r="BH1522" s="15"/>
      <c r="BI1522" s="15"/>
      <c r="BJ1522" s="15"/>
      <c r="BK1522" s="15"/>
      <c r="BL1522" s="15"/>
      <c r="BM1522" s="15"/>
      <c r="BN1522" s="15"/>
      <c r="BO1522" s="15"/>
      <c r="BP1522" s="15"/>
      <c r="BQ1522" s="15"/>
      <c r="BR1522" s="15"/>
      <c r="BS1522" s="15"/>
      <c r="BT1522" s="15"/>
      <c r="BU1522" s="15"/>
      <c r="BV1522" s="15"/>
      <c r="BW1522" s="15"/>
      <c r="BX1522" s="15"/>
      <c r="BY1522" s="15"/>
      <c r="BZ1522" s="15"/>
      <c r="CA1522" s="15"/>
      <c r="CB1522" s="15"/>
    </row>
    <row r="1523" spans="1:80" ht="12.75" hidden="1" customHeight="1">
      <c r="A1523" s="20">
        <f ca="1">IFERROR(__xludf.DUMMYFUNCTION("""COMPUTED_VALUE"""),2021)</f>
        <v>2021</v>
      </c>
      <c r="B1523" s="45">
        <f ca="1">IFERROR(__xludf.DUMMYFUNCTION("""COMPUTED_VALUE"""),40917)</f>
        <v>40917</v>
      </c>
      <c r="C1523" s="46"/>
      <c r="D1523" s="47" t="str">
        <f ca="1">IFERROR(__xludf.DUMMYFUNCTION("""COMPUTED_VALUE"""),"Siberian Chiffchaff [tristis race]")</f>
        <v>Siberian Chiffchaff [tristis race]</v>
      </c>
      <c r="E1523" s="52">
        <f ca="1">IFERROR(__xludf.DUMMYFUNCTION("""COMPUTED_VALUE"""),1)</f>
        <v>1</v>
      </c>
      <c r="F1523" s="25"/>
      <c r="G1523" s="48" t="str">
        <f ca="1">IFERROR(__xludf.DUMMYFUNCTION("""COMPUTED_VALUE"""),"Wallasey ")</f>
        <v xml:space="preserve">Wallasey </v>
      </c>
      <c r="H1523" s="22">
        <f ca="1">IFERROR(__xludf.DUMMYFUNCTION("""COMPUTED_VALUE"""),44235)</f>
        <v>44235</v>
      </c>
      <c r="I1523" s="22">
        <f ca="1">IFERROR(__xludf.DUMMYFUNCTION("""COMPUTED_VALUE"""),44250)</f>
        <v>44250</v>
      </c>
      <c r="J1523" s="24" t="str">
        <f ca="1">IFERROR(__xludf.DUMMYFUNCTION("""COMPUTED_VALUE"""),"birdguides")</f>
        <v>birdguides</v>
      </c>
      <c r="K1523" s="25"/>
      <c r="L1523" s="27" t="str">
        <f ca="1">IFERROR(__xludf.DUMMYFUNCTION("""COMPUTED_VALUE"""),"limbo")</f>
        <v>limbo</v>
      </c>
      <c r="M1523" s="27"/>
      <c r="N1523" s="25" t="str">
        <f ca="1">IFERROR(__xludf.DUMMYFUNCTION("""COMPUTED_VALUE"""),"not submitted")</f>
        <v>not submitted</v>
      </c>
      <c r="O1523" s="28"/>
      <c r="P1523" s="25"/>
      <c r="Q1523" s="25"/>
      <c r="R1523" s="25"/>
      <c r="S1523" s="25"/>
      <c r="T1523" s="25"/>
      <c r="U1523" s="25"/>
      <c r="V1523" s="25"/>
      <c r="W1523" s="25"/>
      <c r="X1523" s="25"/>
      <c r="Y1523" s="25"/>
      <c r="Z1523" s="25"/>
      <c r="AA1523" s="25"/>
      <c r="AB1523" s="25"/>
      <c r="AC1523" s="25"/>
      <c r="AD1523" s="25"/>
      <c r="AE1523" s="25"/>
      <c r="AF1523" s="25"/>
      <c r="AG1523" s="25"/>
      <c r="AH1523" s="25"/>
      <c r="AI1523" s="25"/>
      <c r="AJ1523" s="25"/>
      <c r="AK1523" s="25"/>
      <c r="AL1523" s="25"/>
      <c r="AM1523" s="25"/>
      <c r="AN1523" s="25"/>
      <c r="AO1523" s="25"/>
      <c r="AP1523" s="25"/>
      <c r="AQ1523" s="25"/>
      <c r="AR1523" s="25"/>
      <c r="AS1523" s="25"/>
      <c r="AT1523" s="25"/>
      <c r="AU1523" s="25"/>
      <c r="AV1523" s="25"/>
      <c r="AW1523" s="25"/>
      <c r="AX1523" s="25"/>
      <c r="AY1523" s="25"/>
      <c r="AZ1523" s="25"/>
      <c r="BA1523" s="25"/>
      <c r="BB1523" s="25"/>
      <c r="BC1523" s="25"/>
      <c r="BD1523" s="25"/>
      <c r="BE1523" s="25"/>
      <c r="BF1523" s="25"/>
      <c r="BG1523" s="25"/>
      <c r="BH1523" s="25"/>
      <c r="BI1523" s="25"/>
      <c r="BJ1523" s="25"/>
      <c r="BK1523" s="25"/>
      <c r="BL1523" s="25"/>
      <c r="BM1523" s="25"/>
      <c r="BN1523" s="25"/>
      <c r="BO1523" s="25"/>
      <c r="BP1523" s="25"/>
      <c r="BQ1523" s="25"/>
      <c r="BR1523" s="25"/>
      <c r="BS1523" s="25"/>
      <c r="BT1523" s="25"/>
      <c r="BU1523" s="25"/>
      <c r="BV1523" s="25"/>
      <c r="BW1523" s="25"/>
      <c r="BX1523" s="25"/>
      <c r="BY1523" s="25"/>
      <c r="BZ1523" s="25"/>
      <c r="CA1523" s="25"/>
      <c r="CB1523" s="25"/>
    </row>
    <row r="1524" spans="1:80" ht="12.75" hidden="1" customHeight="1">
      <c r="A1524" s="10">
        <f ca="1">IFERROR(__xludf.DUMMYFUNCTION("""COMPUTED_VALUE"""),2021)</f>
        <v>2021</v>
      </c>
      <c r="B1524" s="50">
        <f ca="1">IFERROR(__xludf.DUMMYFUNCTION("""COMPUTED_VALUE"""),40917)</f>
        <v>40917</v>
      </c>
      <c r="C1524" s="41"/>
      <c r="D1524" s="42" t="str">
        <f ca="1">IFERROR(__xludf.DUMMYFUNCTION("""COMPUTED_VALUE"""),"Siberian Chiffchaff [tristis race]")</f>
        <v>Siberian Chiffchaff [tristis race]</v>
      </c>
      <c r="E1524" s="53">
        <f ca="1">IFERROR(__xludf.DUMMYFUNCTION("""COMPUTED_VALUE"""),1)</f>
        <v>1</v>
      </c>
      <c r="F1524" s="15"/>
      <c r="G1524" s="44" t="str">
        <f ca="1">IFERROR(__xludf.DUMMYFUNCTION("""COMPUTED_VALUE"""),"Woolston Eyes")</f>
        <v>Woolston Eyes</v>
      </c>
      <c r="H1524" s="12">
        <f ca="1">IFERROR(__xludf.DUMMYFUNCTION("""COMPUTED_VALUE"""),44519)</f>
        <v>44519</v>
      </c>
      <c r="I1524" s="12">
        <f ca="1">IFERROR(__xludf.DUMMYFUNCTION("""COMPUTED_VALUE"""),44525)</f>
        <v>44525</v>
      </c>
      <c r="J1524" s="14"/>
      <c r="K1524" s="15"/>
      <c r="L1524" s="17" t="str">
        <f ca="1">IFERROR(__xludf.DUMMYFUNCTION("""COMPUTED_VALUE"""),"limbo")</f>
        <v>limbo</v>
      </c>
      <c r="M1524" s="17"/>
      <c r="N1524" s="15" t="str">
        <f ca="1">IFERROR(__xludf.DUMMYFUNCTION("""COMPUTED_VALUE"""),"not submitted")</f>
        <v>not submitted</v>
      </c>
      <c r="O1524" s="18"/>
      <c r="P1524" s="15"/>
      <c r="Q1524" s="15"/>
      <c r="R1524" s="15"/>
      <c r="S1524" s="15"/>
      <c r="T1524" s="15"/>
      <c r="U1524" s="15"/>
      <c r="V1524" s="15"/>
      <c r="W1524" s="15"/>
      <c r="X1524" s="15"/>
      <c r="Y1524" s="15"/>
      <c r="Z1524" s="15"/>
      <c r="AA1524" s="15"/>
      <c r="AB1524" s="15"/>
      <c r="AC1524" s="15"/>
      <c r="AD1524" s="15"/>
      <c r="AE1524" s="15"/>
      <c r="AF1524" s="15"/>
      <c r="AG1524" s="15"/>
      <c r="AH1524" s="15"/>
      <c r="AI1524" s="15"/>
      <c r="AJ1524" s="15"/>
      <c r="AK1524" s="15"/>
      <c r="AL1524" s="15"/>
      <c r="AM1524" s="15"/>
      <c r="AN1524" s="15"/>
      <c r="AO1524" s="15"/>
      <c r="AP1524" s="15"/>
      <c r="AQ1524" s="15"/>
      <c r="AR1524" s="15"/>
      <c r="AS1524" s="15"/>
      <c r="AT1524" s="15"/>
      <c r="AU1524" s="15"/>
      <c r="AV1524" s="15"/>
      <c r="AW1524" s="15"/>
      <c r="AX1524" s="15"/>
      <c r="AY1524" s="15"/>
      <c r="AZ1524" s="15"/>
      <c r="BA1524" s="15"/>
      <c r="BB1524" s="15"/>
      <c r="BC1524" s="15"/>
      <c r="BD1524" s="15"/>
      <c r="BE1524" s="15"/>
      <c r="BF1524" s="15"/>
      <c r="BG1524" s="15"/>
      <c r="BH1524" s="15"/>
      <c r="BI1524" s="15"/>
      <c r="BJ1524" s="15"/>
      <c r="BK1524" s="15"/>
      <c r="BL1524" s="15"/>
      <c r="BM1524" s="15"/>
      <c r="BN1524" s="15"/>
      <c r="BO1524" s="15"/>
      <c r="BP1524" s="15"/>
      <c r="BQ1524" s="15"/>
      <c r="BR1524" s="15"/>
      <c r="BS1524" s="15"/>
      <c r="BT1524" s="15"/>
      <c r="BU1524" s="15"/>
      <c r="BV1524" s="15"/>
      <c r="BW1524" s="15"/>
      <c r="BX1524" s="15"/>
      <c r="BY1524" s="15"/>
      <c r="BZ1524" s="15"/>
      <c r="CA1524" s="15"/>
      <c r="CB1524" s="15"/>
    </row>
    <row r="1525" spans="1:80" ht="12.75" hidden="1" customHeight="1">
      <c r="A1525" s="20">
        <f ca="1">IFERROR(__xludf.DUMMYFUNCTION("""COMPUTED_VALUE"""),2021)</f>
        <v>2021</v>
      </c>
      <c r="B1525" s="45">
        <f ca="1">IFERROR(__xludf.DUMMYFUNCTION("""COMPUTED_VALUE"""),44570)</f>
        <v>44570</v>
      </c>
      <c r="C1525" s="46">
        <f ca="1">IFERROR(__xludf.DUMMYFUNCTION("""COMPUTED_VALUE"""),44570)</f>
        <v>44570</v>
      </c>
      <c r="D1525" s="47" t="str">
        <f ca="1">IFERROR(__xludf.DUMMYFUNCTION("""COMPUTED_VALUE"""),"Eastern Chiffchaff [tristis/abientinus race]")</f>
        <v>Eastern Chiffchaff [tristis/abientinus race]</v>
      </c>
      <c r="E1525" s="52">
        <f ca="1">IFERROR(__xludf.DUMMYFUNCTION("""COMPUTED_VALUE"""),1)</f>
        <v>1</v>
      </c>
      <c r="F1525" s="25"/>
      <c r="G1525" s="48" t="str">
        <f ca="1">IFERROR(__xludf.DUMMYFUNCTION("""COMPUTED_VALUE"""),"Pickering's Pasture LNR, Widnes")</f>
        <v>Pickering's Pasture LNR, Widnes</v>
      </c>
      <c r="H1525" s="22">
        <f ca="1">IFERROR(__xludf.DUMMYFUNCTION("""COMPUTED_VALUE"""),44542)</f>
        <v>44542</v>
      </c>
      <c r="I1525" s="23"/>
      <c r="J1525" s="24" t="str">
        <f ca="1">IFERROR(__xludf.DUMMYFUNCTION("""COMPUTED_VALUE"""),"Cockbain, R")</f>
        <v>Cockbain, R</v>
      </c>
      <c r="K1525" s="25"/>
      <c r="L1525" s="27" t="str">
        <f ca="1">IFERROR(__xludf.DUMMYFUNCTION("""COMPUTED_VALUE"""),"closed")</f>
        <v>closed</v>
      </c>
      <c r="M1525" s="27"/>
      <c r="N1525" s="25" t="str">
        <f ca="1">IFERROR(__xludf.DUMMYFUNCTION("""COMPUTED_VALUE"""),"Accepted")</f>
        <v>Accepted</v>
      </c>
      <c r="O1525" s="28"/>
      <c r="P1525" s="25"/>
      <c r="Q1525" s="25"/>
      <c r="R1525" s="25"/>
      <c r="S1525" s="25"/>
      <c r="T1525" s="25"/>
      <c r="U1525" s="25"/>
      <c r="V1525" s="25"/>
      <c r="W1525" s="25"/>
      <c r="X1525" s="25"/>
      <c r="Y1525" s="25"/>
      <c r="Z1525" s="25"/>
      <c r="AA1525" s="25"/>
      <c r="AB1525" s="25"/>
      <c r="AC1525" s="25"/>
      <c r="AD1525" s="25"/>
      <c r="AE1525" s="25"/>
      <c r="AF1525" s="25"/>
      <c r="AG1525" s="25"/>
      <c r="AH1525" s="25"/>
      <c r="AI1525" s="25"/>
      <c r="AJ1525" s="25"/>
      <c r="AK1525" s="25"/>
      <c r="AL1525" s="25"/>
      <c r="AM1525" s="25"/>
      <c r="AN1525" s="25"/>
      <c r="AO1525" s="25"/>
      <c r="AP1525" s="25"/>
      <c r="AQ1525" s="25"/>
      <c r="AR1525" s="25"/>
      <c r="AS1525" s="25"/>
      <c r="AT1525" s="25"/>
      <c r="AU1525" s="25"/>
      <c r="AV1525" s="25"/>
      <c r="AW1525" s="25"/>
      <c r="AX1525" s="25"/>
      <c r="AY1525" s="25"/>
      <c r="AZ1525" s="25"/>
      <c r="BA1525" s="25"/>
      <c r="BB1525" s="25"/>
      <c r="BC1525" s="25"/>
      <c r="BD1525" s="25"/>
      <c r="BE1525" s="25"/>
      <c r="BF1525" s="25"/>
      <c r="BG1525" s="25"/>
      <c r="BH1525" s="25"/>
      <c r="BI1525" s="25"/>
      <c r="BJ1525" s="25"/>
      <c r="BK1525" s="25"/>
      <c r="BL1525" s="25"/>
      <c r="BM1525" s="25"/>
      <c r="BN1525" s="25"/>
      <c r="BO1525" s="25"/>
      <c r="BP1525" s="25"/>
      <c r="BQ1525" s="25"/>
      <c r="BR1525" s="25"/>
      <c r="BS1525" s="25"/>
      <c r="BT1525" s="25"/>
      <c r="BU1525" s="25"/>
      <c r="BV1525" s="25"/>
      <c r="BW1525" s="25"/>
      <c r="BX1525" s="25"/>
      <c r="BY1525" s="25"/>
      <c r="BZ1525" s="25"/>
      <c r="CA1525" s="25"/>
      <c r="CB1525" s="25"/>
    </row>
    <row r="1526" spans="1:80" ht="12.75" hidden="1" customHeight="1">
      <c r="A1526" s="10">
        <f ca="1">IFERROR(__xludf.DUMMYFUNCTION("""COMPUTED_VALUE"""),2021)</f>
        <v>2021</v>
      </c>
      <c r="B1526" s="50">
        <f ca="1">IFERROR(__xludf.DUMMYFUNCTION("""COMPUTED_VALUE"""),44564)</f>
        <v>44564</v>
      </c>
      <c r="C1526" s="41"/>
      <c r="D1526" s="42" t="str">
        <f ca="1">IFERROR(__xludf.DUMMYFUNCTION("""COMPUTED_VALUE"""),"Siberian Chiffchaff [tristis race]")</f>
        <v>Siberian Chiffchaff [tristis race]</v>
      </c>
      <c r="E1526" s="53">
        <f ca="1">IFERROR(__xludf.DUMMYFUNCTION("""COMPUTED_VALUE"""),1)</f>
        <v>1</v>
      </c>
      <c r="F1526" s="15"/>
      <c r="G1526" s="44" t="str">
        <f ca="1">IFERROR(__xludf.DUMMYFUNCTION("""COMPUTED_VALUE"""),"Parkgate/Gayton Sands RSPB")</f>
        <v>Parkgate/Gayton Sands RSPB</v>
      </c>
      <c r="H1526" s="12">
        <f ca="1">IFERROR(__xludf.DUMMYFUNCTION("""COMPUTED_VALUE"""),44555)</f>
        <v>44555</v>
      </c>
      <c r="I1526" s="13"/>
      <c r="J1526" s="14" t="str">
        <f ca="1">IFERROR(__xludf.DUMMYFUNCTION("""COMPUTED_VALUE"""),"birdguides")</f>
        <v>birdguides</v>
      </c>
      <c r="K1526" s="15"/>
      <c r="L1526" s="17" t="str">
        <f ca="1">IFERROR(__xludf.DUMMYFUNCTION("""COMPUTED_VALUE"""),"limbo")</f>
        <v>limbo</v>
      </c>
      <c r="M1526" s="17"/>
      <c r="N1526" s="15" t="str">
        <f ca="1">IFERROR(__xludf.DUMMYFUNCTION("""COMPUTED_VALUE"""),"not submitted")</f>
        <v>not submitted</v>
      </c>
      <c r="O1526" s="18"/>
      <c r="P1526" s="15"/>
      <c r="Q1526" s="15"/>
      <c r="R1526" s="15"/>
      <c r="S1526" s="15"/>
      <c r="T1526" s="15"/>
      <c r="U1526" s="15"/>
      <c r="V1526" s="15"/>
      <c r="W1526" s="15"/>
      <c r="X1526" s="15"/>
      <c r="Y1526" s="15"/>
      <c r="Z1526" s="15"/>
      <c r="AA1526" s="15"/>
      <c r="AB1526" s="15"/>
      <c r="AC1526" s="15"/>
      <c r="AD1526" s="15"/>
      <c r="AE1526" s="15"/>
      <c r="AF1526" s="15"/>
      <c r="AG1526" s="15"/>
      <c r="AH1526" s="15"/>
      <c r="AI1526" s="15"/>
      <c r="AJ1526" s="15"/>
      <c r="AK1526" s="15"/>
      <c r="AL1526" s="15"/>
      <c r="AM1526" s="15"/>
      <c r="AN1526" s="15"/>
      <c r="AO1526" s="15"/>
      <c r="AP1526" s="15"/>
      <c r="AQ1526" s="15"/>
      <c r="AR1526" s="15"/>
      <c r="AS1526" s="15"/>
      <c r="AT1526" s="15"/>
      <c r="AU1526" s="15"/>
      <c r="AV1526" s="15"/>
      <c r="AW1526" s="15"/>
      <c r="AX1526" s="15"/>
      <c r="AY1526" s="15"/>
      <c r="AZ1526" s="15"/>
      <c r="BA1526" s="15"/>
      <c r="BB1526" s="15"/>
      <c r="BC1526" s="15"/>
      <c r="BD1526" s="15"/>
      <c r="BE1526" s="15"/>
      <c r="BF1526" s="15"/>
      <c r="BG1526" s="15"/>
      <c r="BH1526" s="15"/>
      <c r="BI1526" s="15"/>
      <c r="BJ1526" s="15"/>
      <c r="BK1526" s="15"/>
      <c r="BL1526" s="15"/>
      <c r="BM1526" s="15"/>
      <c r="BN1526" s="15"/>
      <c r="BO1526" s="15"/>
      <c r="BP1526" s="15"/>
      <c r="BQ1526" s="15"/>
      <c r="BR1526" s="15"/>
      <c r="BS1526" s="15"/>
      <c r="BT1526" s="15"/>
      <c r="BU1526" s="15"/>
      <c r="BV1526" s="15"/>
      <c r="BW1526" s="15"/>
      <c r="BX1526" s="15"/>
      <c r="BY1526" s="15"/>
      <c r="BZ1526" s="15"/>
      <c r="CA1526" s="15"/>
      <c r="CB1526" s="15"/>
    </row>
    <row r="1527" spans="1:80" ht="12.75" hidden="1" customHeight="1">
      <c r="A1527" s="20">
        <f ca="1">IFERROR(__xludf.DUMMYFUNCTION("""COMPUTED_VALUE"""),2021)</f>
        <v>2021</v>
      </c>
      <c r="B1527" s="45">
        <f ca="1">IFERROR(__xludf.DUMMYFUNCTION("""COMPUTED_VALUE"""),44563)</f>
        <v>44563</v>
      </c>
      <c r="C1527" s="46"/>
      <c r="D1527" s="47" t="str">
        <f ca="1">IFERROR(__xludf.DUMMYFUNCTION("""COMPUTED_VALUE"""),"Melodious Warbler")</f>
        <v>Melodious Warbler</v>
      </c>
      <c r="E1527" s="52">
        <f ca="1">IFERROR(__xludf.DUMMYFUNCTION("""COMPUTED_VALUE"""),1)</f>
        <v>1</v>
      </c>
      <c r="F1527" s="25"/>
      <c r="G1527" s="48" t="str">
        <f ca="1">IFERROR(__xludf.DUMMYFUNCTION("""COMPUTED_VALUE"""),"Hilbre")</f>
        <v>Hilbre</v>
      </c>
      <c r="H1527" s="22">
        <f ca="1">IFERROR(__xludf.DUMMYFUNCTION("""COMPUTED_VALUE"""),44397)</f>
        <v>44397</v>
      </c>
      <c r="I1527" s="23"/>
      <c r="J1527" s="24" t="str">
        <f ca="1">IFERROR(__xludf.DUMMYFUNCTION("""COMPUTED_VALUE"""),"County recorder")</f>
        <v>County recorder</v>
      </c>
      <c r="K1527" s="25" t="str">
        <f ca="1">IFERROR(__xludf.DUMMYFUNCTION("""COMPUTED_VALUE"""),"Williams, C")</f>
        <v>Williams, C</v>
      </c>
      <c r="L1527" s="27" t="str">
        <f ca="1">IFERROR(__xludf.DUMMYFUNCTION("""COMPUTED_VALUE"""),"closed")</f>
        <v>closed</v>
      </c>
      <c r="M1527" s="27" t="str">
        <f ca="1">IFERROR(__xludf.DUMMYFUNCTION("""COMPUTED_VALUE"""),"photo")</f>
        <v>photo</v>
      </c>
      <c r="N1527" s="25" t="str">
        <f ca="1">IFERROR(__xludf.DUMMYFUNCTION("""COMPUTED_VALUE"""),"Accepted w/o circ")</f>
        <v>Accepted w/o circ</v>
      </c>
      <c r="O1527" s="28" t="str">
        <f ca="1">IFERROR(__xludf.DUMMYFUNCTION("""COMPUTED_VALUE"""),"trapped/photographs")</f>
        <v>trapped/photographs</v>
      </c>
      <c r="P1527" s="25"/>
      <c r="Q1527" s="25"/>
      <c r="R1527" s="25"/>
      <c r="S1527" s="25"/>
      <c r="T1527" s="25"/>
      <c r="U1527" s="25"/>
      <c r="V1527" s="25"/>
      <c r="W1527" s="25"/>
      <c r="X1527" s="25"/>
      <c r="Y1527" s="25"/>
      <c r="Z1527" s="25"/>
      <c r="AA1527" s="25"/>
      <c r="AB1527" s="25"/>
      <c r="AC1527" s="25"/>
      <c r="AD1527" s="25"/>
      <c r="AE1527" s="25"/>
      <c r="AF1527" s="25"/>
      <c r="AG1527" s="25"/>
      <c r="AH1527" s="25"/>
      <c r="AI1527" s="25"/>
      <c r="AJ1527" s="25"/>
      <c r="AK1527" s="25"/>
      <c r="AL1527" s="25"/>
      <c r="AM1527" s="25"/>
      <c r="AN1527" s="25"/>
      <c r="AO1527" s="25"/>
      <c r="AP1527" s="25"/>
      <c r="AQ1527" s="25"/>
      <c r="AR1527" s="25"/>
      <c r="AS1527" s="25"/>
      <c r="AT1527" s="25"/>
      <c r="AU1527" s="25"/>
      <c r="AV1527" s="25"/>
      <c r="AW1527" s="25"/>
      <c r="AX1527" s="25"/>
      <c r="AY1527" s="25"/>
      <c r="AZ1527" s="25"/>
      <c r="BA1527" s="25"/>
      <c r="BB1527" s="25"/>
      <c r="BC1527" s="25"/>
      <c r="BD1527" s="25"/>
      <c r="BE1527" s="25"/>
      <c r="BF1527" s="25"/>
      <c r="BG1527" s="25"/>
      <c r="BH1527" s="25"/>
      <c r="BI1527" s="25"/>
      <c r="BJ1527" s="25"/>
      <c r="BK1527" s="25"/>
      <c r="BL1527" s="25"/>
      <c r="BM1527" s="25"/>
      <c r="BN1527" s="25"/>
      <c r="BO1527" s="25"/>
      <c r="BP1527" s="25"/>
      <c r="BQ1527" s="25"/>
      <c r="BR1527" s="25"/>
      <c r="BS1527" s="25"/>
      <c r="BT1527" s="25"/>
      <c r="BU1527" s="25"/>
      <c r="BV1527" s="25"/>
      <c r="BW1527" s="25"/>
      <c r="BX1527" s="25"/>
      <c r="BY1527" s="25"/>
      <c r="BZ1527" s="25"/>
      <c r="CA1527" s="25"/>
      <c r="CB1527" s="25"/>
    </row>
    <row r="1528" spans="1:80" ht="12.75" hidden="1" customHeight="1">
      <c r="A1528" s="10">
        <f ca="1">IFERROR(__xludf.DUMMYFUNCTION("""COMPUTED_VALUE"""),2021)</f>
        <v>2021</v>
      </c>
      <c r="B1528" s="50">
        <f ca="1">IFERROR(__xludf.DUMMYFUNCTION("""COMPUTED_VALUE"""),44841)</f>
        <v>44841</v>
      </c>
      <c r="C1528" s="41">
        <f ca="1">IFERROR(__xludf.DUMMYFUNCTION("""COMPUTED_VALUE"""),44403)</f>
        <v>44403</v>
      </c>
      <c r="D1528" s="42" t="str">
        <f ca="1">IFERROR(__xludf.DUMMYFUNCTION("""COMPUTED_VALUE"""),"Subalpine Warbler spp")</f>
        <v>Subalpine Warbler spp</v>
      </c>
      <c r="E1528" s="53">
        <f ca="1">IFERROR(__xludf.DUMMYFUNCTION("""COMPUTED_VALUE"""),1)</f>
        <v>1</v>
      </c>
      <c r="F1528" s="15" t="str">
        <f ca="1">IFERROR(__xludf.DUMMYFUNCTION("""COMPUTED_VALUE"""),"2nd Cal male")</f>
        <v>2nd Cal male</v>
      </c>
      <c r="G1528" s="44" t="str">
        <f ca="1">IFERROR(__xludf.DUMMYFUNCTION("""COMPUTED_VALUE"""),"Burton Point")</f>
        <v>Burton Point</v>
      </c>
      <c r="H1528" s="12">
        <f ca="1">IFERROR(__xludf.DUMMYFUNCTION("""COMPUTED_VALUE"""),44305)</f>
        <v>44305</v>
      </c>
      <c r="I1528" s="13"/>
      <c r="J1528" s="14" t="str">
        <f ca="1">IFERROR(__xludf.DUMMYFUNCTION("""COMPUTED_VALUE"""),"Recorder")</f>
        <v>Recorder</v>
      </c>
      <c r="K1528" s="15" t="str">
        <f ca="1">IFERROR(__xludf.DUMMYFUNCTION("""COMPUTED_VALUE"""),"T.Hession")</f>
        <v>T.Hession</v>
      </c>
      <c r="L1528" s="17" t="str">
        <f ca="1">IFERROR(__xludf.DUMMYFUNCTION("""COMPUTED_VALUE"""),"closed")</f>
        <v>closed</v>
      </c>
      <c r="M1528" s="17"/>
      <c r="N1528" s="15" t="str">
        <f ca="1">IFERROR(__xludf.DUMMYFUNCTION("""COMPUTED_VALUE"""),"BBRC-OK")</f>
        <v>BBRC-OK</v>
      </c>
      <c r="O1528" s="18" t="str">
        <f ca="1">IFERROR(__xludf.DUMMYFUNCTION("""COMPUTED_VALUE"""),"photos only")</f>
        <v>photos only</v>
      </c>
      <c r="P1528" s="15"/>
      <c r="Q1528" s="15"/>
      <c r="R1528" s="15"/>
      <c r="S1528" s="15"/>
      <c r="T1528" s="15"/>
      <c r="U1528" s="15"/>
      <c r="V1528" s="15"/>
      <c r="W1528" s="15"/>
      <c r="X1528" s="15"/>
      <c r="Y1528" s="15"/>
      <c r="Z1528" s="15"/>
      <c r="AA1528" s="15"/>
      <c r="AB1528" s="15"/>
      <c r="AC1528" s="15"/>
      <c r="AD1528" s="15"/>
      <c r="AE1528" s="15"/>
      <c r="AF1528" s="15"/>
      <c r="AG1528" s="15"/>
      <c r="AH1528" s="15"/>
      <c r="AI1528" s="15"/>
      <c r="AJ1528" s="15"/>
      <c r="AK1528" s="15"/>
      <c r="AL1528" s="15"/>
      <c r="AM1528" s="15"/>
      <c r="AN1528" s="15"/>
      <c r="AO1528" s="15"/>
      <c r="AP1528" s="15"/>
      <c r="AQ1528" s="15"/>
      <c r="AR1528" s="15"/>
      <c r="AS1528" s="15"/>
      <c r="AT1528" s="15"/>
      <c r="AU1528" s="15"/>
      <c r="AV1528" s="15"/>
      <c r="AW1528" s="15"/>
      <c r="AX1528" s="15"/>
      <c r="AY1528" s="15"/>
      <c r="AZ1528" s="15"/>
      <c r="BA1528" s="15"/>
      <c r="BB1528" s="15"/>
      <c r="BC1528" s="15"/>
      <c r="BD1528" s="15"/>
      <c r="BE1528" s="15"/>
      <c r="BF1528" s="15"/>
      <c r="BG1528" s="15"/>
      <c r="BH1528" s="15"/>
      <c r="BI1528" s="15"/>
      <c r="BJ1528" s="15"/>
      <c r="BK1528" s="15"/>
      <c r="BL1528" s="15"/>
      <c r="BM1528" s="15"/>
      <c r="BN1528" s="15"/>
      <c r="BO1528" s="15"/>
      <c r="BP1528" s="15"/>
      <c r="BQ1528" s="15"/>
      <c r="BR1528" s="15"/>
      <c r="BS1528" s="15"/>
      <c r="BT1528" s="15"/>
      <c r="BU1528" s="15"/>
      <c r="BV1528" s="15"/>
      <c r="BW1528" s="15"/>
      <c r="BX1528" s="15"/>
      <c r="BY1528" s="15"/>
      <c r="BZ1528" s="15"/>
      <c r="CA1528" s="15"/>
      <c r="CB1528" s="15"/>
    </row>
    <row r="1529" spans="1:80" ht="12.75" hidden="1" customHeight="1">
      <c r="A1529" s="20">
        <f ca="1">IFERROR(__xludf.DUMMYFUNCTION("""COMPUTED_VALUE"""),2021)</f>
        <v>2021</v>
      </c>
      <c r="B1529" s="45"/>
      <c r="C1529" s="46"/>
      <c r="D1529" s="47" t="str">
        <f ca="1">IFERROR(__xludf.DUMMYFUNCTION("""COMPUTED_VALUE"""),"Black Redstart")</f>
        <v>Black Redstart</v>
      </c>
      <c r="E1529" s="52"/>
      <c r="F1529" s="25"/>
      <c r="G1529" s="48" t="str">
        <f ca="1">IFERROR(__xludf.DUMMYFUNCTION("""COMPUTED_VALUE"""),"Sandbach")</f>
        <v>Sandbach</v>
      </c>
      <c r="H1529" s="22">
        <f ca="1">IFERROR(__xludf.DUMMYFUNCTION("""COMPUTED_VALUE"""),44200)</f>
        <v>44200</v>
      </c>
      <c r="I1529" s="22">
        <f ca="1">IFERROR(__xludf.DUMMYFUNCTION("""COMPUTED_VALUE"""),44204)</f>
        <v>44204</v>
      </c>
      <c r="J1529" s="24"/>
      <c r="K1529" s="25"/>
      <c r="L1529" s="27" t="str">
        <f ca="1">IFERROR(__xludf.DUMMYFUNCTION("""COMPUTED_VALUE"""),"limbo")</f>
        <v>limbo</v>
      </c>
      <c r="M1529" s="27"/>
      <c r="N1529" s="25" t="str">
        <f ca="1">IFERROR(__xludf.DUMMYFUNCTION("""COMPUTED_VALUE"""),"not submitted")</f>
        <v>not submitted</v>
      </c>
      <c r="O1529" s="28"/>
      <c r="P1529" s="25"/>
      <c r="Q1529" s="25"/>
      <c r="R1529" s="25"/>
      <c r="S1529" s="25"/>
      <c r="T1529" s="25"/>
      <c r="U1529" s="25"/>
      <c r="V1529" s="25"/>
      <c r="W1529" s="25"/>
      <c r="X1529" s="25"/>
      <c r="Y1529" s="25"/>
      <c r="Z1529" s="25"/>
      <c r="AA1529" s="25"/>
      <c r="AB1529" s="25"/>
      <c r="AC1529" s="25"/>
      <c r="AD1529" s="25"/>
      <c r="AE1529" s="25"/>
      <c r="AF1529" s="25"/>
      <c r="AG1529" s="25"/>
      <c r="AH1529" s="25"/>
      <c r="AI1529" s="25"/>
      <c r="AJ1529" s="25"/>
      <c r="AK1529" s="25"/>
      <c r="AL1529" s="25"/>
      <c r="AM1529" s="25"/>
      <c r="AN1529" s="25"/>
      <c r="AO1529" s="25"/>
      <c r="AP1529" s="25"/>
      <c r="AQ1529" s="25"/>
      <c r="AR1529" s="25"/>
      <c r="AS1529" s="25"/>
      <c r="AT1529" s="25"/>
      <c r="AU1529" s="25"/>
      <c r="AV1529" s="25"/>
      <c r="AW1529" s="25"/>
      <c r="AX1529" s="25"/>
      <c r="AY1529" s="25"/>
      <c r="AZ1529" s="25"/>
      <c r="BA1529" s="25"/>
      <c r="BB1529" s="25"/>
      <c r="BC1529" s="25"/>
      <c r="BD1529" s="25"/>
      <c r="BE1529" s="25"/>
      <c r="BF1529" s="25"/>
      <c r="BG1529" s="25"/>
      <c r="BH1529" s="25"/>
      <c r="BI1529" s="25"/>
      <c r="BJ1529" s="25"/>
      <c r="BK1529" s="25"/>
      <c r="BL1529" s="25"/>
      <c r="BM1529" s="25"/>
      <c r="BN1529" s="25"/>
      <c r="BO1529" s="25"/>
      <c r="BP1529" s="25"/>
      <c r="BQ1529" s="25"/>
      <c r="BR1529" s="25"/>
      <c r="BS1529" s="25"/>
      <c r="BT1529" s="25"/>
      <c r="BU1529" s="25"/>
      <c r="BV1529" s="25"/>
      <c r="BW1529" s="25"/>
      <c r="BX1529" s="25"/>
      <c r="BY1529" s="25"/>
      <c r="BZ1529" s="25"/>
      <c r="CA1529" s="25"/>
      <c r="CB1529" s="25"/>
    </row>
    <row r="1530" spans="1:80" ht="12.75" hidden="1" customHeight="1">
      <c r="A1530" s="10">
        <f ca="1">IFERROR(__xludf.DUMMYFUNCTION("""COMPUTED_VALUE"""),2021)</f>
        <v>2021</v>
      </c>
      <c r="B1530" s="50">
        <f ca="1">IFERROR(__xludf.DUMMYFUNCTION("""COMPUTED_VALUE"""),44685)</f>
        <v>44685</v>
      </c>
      <c r="C1530" s="41">
        <f ca="1">IFERROR(__xludf.DUMMYFUNCTION("""COMPUTED_VALUE"""),44587)</f>
        <v>44587</v>
      </c>
      <c r="D1530" s="42" t="str">
        <f ca="1">IFERROR(__xludf.DUMMYFUNCTION("""COMPUTED_VALUE"""),"Black Redstart")</f>
        <v>Black Redstart</v>
      </c>
      <c r="E1530" s="53">
        <f ca="1">IFERROR(__xludf.DUMMYFUNCTION("""COMPUTED_VALUE"""),1)</f>
        <v>1</v>
      </c>
      <c r="F1530" s="15"/>
      <c r="G1530" s="44" t="str">
        <f ca="1">IFERROR(__xludf.DUMMYFUNCTION("""COMPUTED_VALUE"""),"Wildboarclough")</f>
        <v>Wildboarclough</v>
      </c>
      <c r="H1530" s="12">
        <f ca="1">IFERROR(__xludf.DUMMYFUNCTION("""COMPUTED_VALUE"""),44449)</f>
        <v>44449</v>
      </c>
      <c r="I1530" s="12">
        <f ca="1">IFERROR(__xludf.DUMMYFUNCTION("""COMPUTED_VALUE"""),44451)</f>
        <v>44451</v>
      </c>
      <c r="J1530" s="14" t="str">
        <f ca="1">IFERROR(__xludf.DUMMYFUNCTION("""COMPUTED_VALUE"""),"Emmerson, A")</f>
        <v>Emmerson, A</v>
      </c>
      <c r="K1530" s="15" t="str">
        <f ca="1">IFERROR(__xludf.DUMMYFUNCTION("""COMPUTED_VALUE"""),"Shutt, J")</f>
        <v>Shutt, J</v>
      </c>
      <c r="L1530" s="17" t="str">
        <f ca="1">IFERROR(__xludf.DUMMYFUNCTION("""COMPUTED_VALUE"""),"closed")</f>
        <v>closed</v>
      </c>
      <c r="M1530" s="17" t="str">
        <f ca="1">IFERROR(__xludf.DUMMYFUNCTION("""COMPUTED_VALUE"""),"1st U")</f>
        <v>1st U</v>
      </c>
      <c r="N1530" s="15" t="str">
        <f ca="1">IFERROR(__xludf.DUMMYFUNCTION("""COMPUTED_VALUE"""),"Accepted")</f>
        <v>Accepted</v>
      </c>
      <c r="O1530" s="18" t="str">
        <f ca="1">IFERROR(__xludf.DUMMYFUNCTION("""COMPUTED_VALUE"""),"also reported 4th August, but no suppport as yet")</f>
        <v>also reported 4th August, but no suppport as yet</v>
      </c>
      <c r="P1530" s="15"/>
      <c r="Q1530" s="15"/>
      <c r="R1530" s="15"/>
      <c r="S1530" s="15"/>
      <c r="T1530" s="15"/>
      <c r="U1530" s="15"/>
      <c r="V1530" s="15"/>
      <c r="W1530" s="15"/>
      <c r="X1530" s="15"/>
      <c r="Y1530" s="15"/>
      <c r="Z1530" s="15"/>
      <c r="AA1530" s="15"/>
      <c r="AB1530" s="15"/>
      <c r="AC1530" s="15"/>
      <c r="AD1530" s="15"/>
      <c r="AE1530" s="15"/>
      <c r="AF1530" s="15"/>
      <c r="AG1530" s="15"/>
      <c r="AH1530" s="15"/>
      <c r="AI1530" s="15"/>
      <c r="AJ1530" s="15"/>
      <c r="AK1530" s="15"/>
      <c r="AL1530" s="15"/>
      <c r="AM1530" s="15"/>
      <c r="AN1530" s="15"/>
      <c r="AO1530" s="15"/>
      <c r="AP1530" s="15"/>
      <c r="AQ1530" s="15"/>
      <c r="AR1530" s="15"/>
      <c r="AS1530" s="15"/>
      <c r="AT1530" s="15"/>
      <c r="AU1530" s="15"/>
      <c r="AV1530" s="15"/>
      <c r="AW1530" s="15"/>
      <c r="AX1530" s="15"/>
      <c r="AY1530" s="15"/>
      <c r="AZ1530" s="15"/>
      <c r="BA1530" s="15"/>
      <c r="BB1530" s="15"/>
      <c r="BC1530" s="15"/>
      <c r="BD1530" s="15"/>
      <c r="BE1530" s="15"/>
      <c r="BF1530" s="15"/>
      <c r="BG1530" s="15"/>
      <c r="BH1530" s="15"/>
      <c r="BI1530" s="15"/>
      <c r="BJ1530" s="15"/>
      <c r="BK1530" s="15"/>
      <c r="BL1530" s="15"/>
      <c r="BM1530" s="15"/>
      <c r="BN1530" s="15"/>
      <c r="BO1530" s="15"/>
      <c r="BP1530" s="15"/>
      <c r="BQ1530" s="15"/>
      <c r="BR1530" s="15"/>
      <c r="BS1530" s="15"/>
      <c r="BT1530" s="15"/>
      <c r="BU1530" s="15"/>
      <c r="BV1530" s="15"/>
      <c r="BW1530" s="15"/>
      <c r="BX1530" s="15"/>
      <c r="BY1530" s="15"/>
      <c r="BZ1530" s="15"/>
      <c r="CA1530" s="15"/>
      <c r="CB1530" s="15"/>
    </row>
    <row r="1531" spans="1:80" ht="12.75" hidden="1" customHeight="1">
      <c r="A1531" s="20">
        <f ca="1">IFERROR(__xludf.DUMMYFUNCTION("""COMPUTED_VALUE"""),2021)</f>
        <v>2021</v>
      </c>
      <c r="B1531" s="45">
        <f ca="1">IFERROR(__xludf.DUMMYFUNCTION("""COMPUTED_VALUE"""),44587)</f>
        <v>44587</v>
      </c>
      <c r="C1531" s="46"/>
      <c r="D1531" s="47" t="str">
        <f ca="1">IFERROR(__xludf.DUMMYFUNCTION("""COMPUTED_VALUE"""),"Black Redstart")</f>
        <v>Black Redstart</v>
      </c>
      <c r="E1531" s="52">
        <f ca="1">IFERROR(__xludf.DUMMYFUNCTION("""COMPUTED_VALUE"""),1)</f>
        <v>1</v>
      </c>
      <c r="F1531" s="25"/>
      <c r="G1531" s="48" t="str">
        <f ca="1">IFERROR(__xludf.DUMMYFUNCTION("""COMPUTED_VALUE"""),"Cat and Fiddle")</f>
        <v>Cat and Fiddle</v>
      </c>
      <c r="H1531" s="22">
        <f ca="1">IFERROR(__xludf.DUMMYFUNCTION("""COMPUTED_VALUE"""),44475)</f>
        <v>44475</v>
      </c>
      <c r="I1531" s="22">
        <f ca="1">IFERROR(__xludf.DUMMYFUNCTION("""COMPUTED_VALUE"""),44490)</f>
        <v>44490</v>
      </c>
      <c r="J1531" s="24" t="str">
        <f ca="1">IFERROR(__xludf.DUMMYFUNCTION("""COMPUTED_VALUE"""),"County Recorder")</f>
        <v>County Recorder</v>
      </c>
      <c r="K1531" s="25" t="str">
        <f ca="1">IFERROR(__xludf.DUMMYFUNCTION("""COMPUTED_VALUE"""),"tbd")</f>
        <v>tbd</v>
      </c>
      <c r="L1531" s="27" t="str">
        <f ca="1">IFERROR(__xludf.DUMMYFUNCTION("""COMPUTED_VALUE"""),"closed")</f>
        <v>closed</v>
      </c>
      <c r="M1531" s="27" t="str">
        <f ca="1">IFERROR(__xludf.DUMMYFUNCTION("""COMPUTED_VALUE"""),"Photo")</f>
        <v>Photo</v>
      </c>
      <c r="N1531" s="25" t="str">
        <f ca="1">IFERROR(__xludf.DUMMYFUNCTION("""COMPUTED_VALUE"""),"Accepted w/o circ")</f>
        <v>Accepted w/o circ</v>
      </c>
      <c r="O1531" s="28"/>
      <c r="P1531" s="25"/>
      <c r="Q1531" s="25"/>
      <c r="R1531" s="25"/>
      <c r="S1531" s="25"/>
      <c r="T1531" s="25"/>
      <c r="U1531" s="25"/>
      <c r="V1531" s="25"/>
      <c r="W1531" s="25"/>
      <c r="X1531" s="25"/>
      <c r="Y1531" s="25"/>
      <c r="Z1531" s="25"/>
      <c r="AA1531" s="25"/>
      <c r="AB1531" s="25"/>
      <c r="AC1531" s="25"/>
      <c r="AD1531" s="25"/>
      <c r="AE1531" s="25"/>
      <c r="AF1531" s="25"/>
      <c r="AG1531" s="25"/>
      <c r="AH1531" s="25"/>
      <c r="AI1531" s="25"/>
      <c r="AJ1531" s="25"/>
      <c r="AK1531" s="25"/>
      <c r="AL1531" s="25"/>
      <c r="AM1531" s="25"/>
      <c r="AN1531" s="25"/>
      <c r="AO1531" s="25"/>
      <c r="AP1531" s="25"/>
      <c r="AQ1531" s="25"/>
      <c r="AR1531" s="25"/>
      <c r="AS1531" s="25"/>
      <c r="AT1531" s="25"/>
      <c r="AU1531" s="25"/>
      <c r="AV1531" s="25"/>
      <c r="AW1531" s="25"/>
      <c r="AX1531" s="25"/>
      <c r="AY1531" s="25"/>
      <c r="AZ1531" s="25"/>
      <c r="BA1531" s="25"/>
      <c r="BB1531" s="25"/>
      <c r="BC1531" s="25"/>
      <c r="BD1531" s="25"/>
      <c r="BE1531" s="25"/>
      <c r="BF1531" s="25"/>
      <c r="BG1531" s="25"/>
      <c r="BH1531" s="25"/>
      <c r="BI1531" s="25"/>
      <c r="BJ1531" s="25"/>
      <c r="BK1531" s="25"/>
      <c r="BL1531" s="25"/>
      <c r="BM1531" s="25"/>
      <c r="BN1531" s="25"/>
      <c r="BO1531" s="25"/>
      <c r="BP1531" s="25"/>
      <c r="BQ1531" s="25"/>
      <c r="BR1531" s="25"/>
      <c r="BS1531" s="25"/>
      <c r="BT1531" s="25"/>
      <c r="BU1531" s="25"/>
      <c r="BV1531" s="25"/>
      <c r="BW1531" s="25"/>
      <c r="BX1531" s="25"/>
      <c r="BY1531" s="25"/>
      <c r="BZ1531" s="25"/>
      <c r="CA1531" s="25"/>
      <c r="CB1531" s="25"/>
    </row>
    <row r="1532" spans="1:80" ht="12.75" hidden="1" customHeight="1">
      <c r="A1532" s="10">
        <f ca="1">IFERROR(__xludf.DUMMYFUNCTION("""COMPUTED_VALUE"""),2021)</f>
        <v>2021</v>
      </c>
      <c r="B1532" s="50">
        <f ca="1">IFERROR(__xludf.DUMMYFUNCTION("""COMPUTED_VALUE"""),44403)</f>
        <v>44403</v>
      </c>
      <c r="C1532" s="41">
        <f ca="1">IFERROR(__xludf.DUMMYFUNCTION("""COMPUTED_VALUE"""),44403)</f>
        <v>44403</v>
      </c>
      <c r="D1532" s="42" t="str">
        <f ca="1">IFERROR(__xludf.DUMMYFUNCTION("""COMPUTED_VALUE"""),"Black Redstart")</f>
        <v>Black Redstart</v>
      </c>
      <c r="E1532" s="53">
        <f ca="1">IFERROR(__xludf.DUMMYFUNCTION("""COMPUTED_VALUE"""),1)</f>
        <v>1</v>
      </c>
      <c r="F1532" s="15" t="str">
        <f ca="1">IFERROR(__xludf.DUMMYFUNCTION("""COMPUTED_VALUE"""),"1st W M")</f>
        <v>1st W M</v>
      </c>
      <c r="G1532" s="44" t="str">
        <f ca="1">IFERROR(__xludf.DUMMYFUNCTION("""COMPUTED_VALUE"""),"Astbury Church")</f>
        <v>Astbury Church</v>
      </c>
      <c r="H1532" s="12">
        <f ca="1">IFERROR(__xludf.DUMMYFUNCTION("""COMPUTED_VALUE"""),44508)</f>
        <v>44508</v>
      </c>
      <c r="I1532" s="12">
        <f ca="1">IFERROR(__xludf.DUMMYFUNCTION("""COMPUTED_VALUE"""),44513)</f>
        <v>44513</v>
      </c>
      <c r="J1532" s="14" t="str">
        <f ca="1">IFERROR(__xludf.DUMMYFUNCTION("""COMPUTED_VALUE"""),"Stubbs, M")</f>
        <v>Stubbs, M</v>
      </c>
      <c r="K1532" s="15"/>
      <c r="L1532" s="17" t="str">
        <f ca="1">IFERROR(__xludf.DUMMYFUNCTION("""COMPUTED_VALUE"""),"closed")</f>
        <v>closed</v>
      </c>
      <c r="M1532" s="17" t="str">
        <f ca="1">IFERROR(__xludf.DUMMYFUNCTION("""COMPUTED_VALUE"""),"1st U")</f>
        <v>1st U</v>
      </c>
      <c r="N1532" s="15" t="str">
        <f ca="1">IFERROR(__xludf.DUMMYFUNCTION("""COMPUTED_VALUE"""),"accepted")</f>
        <v>accepted</v>
      </c>
      <c r="O1532" s="18"/>
      <c r="P1532" s="15"/>
      <c r="Q1532" s="15"/>
      <c r="R1532" s="15"/>
      <c r="S1532" s="15"/>
      <c r="T1532" s="15"/>
      <c r="U1532" s="15"/>
      <c r="V1532" s="15"/>
      <c r="W1532" s="15"/>
      <c r="X1532" s="15"/>
      <c r="Y1532" s="15"/>
      <c r="Z1532" s="15"/>
      <c r="AA1532" s="15"/>
      <c r="AB1532" s="15"/>
      <c r="AC1532" s="15"/>
      <c r="AD1532" s="15"/>
      <c r="AE1532" s="15"/>
      <c r="AF1532" s="15"/>
      <c r="AG1532" s="15"/>
      <c r="AH1532" s="15"/>
      <c r="AI1532" s="15"/>
      <c r="AJ1532" s="15"/>
      <c r="AK1532" s="15"/>
      <c r="AL1532" s="15"/>
      <c r="AM1532" s="15"/>
      <c r="AN1532" s="15"/>
      <c r="AO1532" s="15"/>
      <c r="AP1532" s="15"/>
      <c r="AQ1532" s="15"/>
      <c r="AR1532" s="15"/>
      <c r="AS1532" s="15"/>
      <c r="AT1532" s="15"/>
      <c r="AU1532" s="15"/>
      <c r="AV1532" s="15"/>
      <c r="AW1532" s="15"/>
      <c r="AX1532" s="15"/>
      <c r="AY1532" s="15"/>
      <c r="AZ1532" s="15"/>
      <c r="BA1532" s="15"/>
      <c r="BB1532" s="15"/>
      <c r="BC1532" s="15"/>
      <c r="BD1532" s="15"/>
      <c r="BE1532" s="15"/>
      <c r="BF1532" s="15"/>
      <c r="BG1532" s="15"/>
      <c r="BH1532" s="15"/>
      <c r="BI1532" s="15"/>
      <c r="BJ1532" s="15"/>
      <c r="BK1532" s="15"/>
      <c r="BL1532" s="15"/>
      <c r="BM1532" s="15"/>
      <c r="BN1532" s="15"/>
      <c r="BO1532" s="15"/>
      <c r="BP1532" s="15"/>
      <c r="BQ1532" s="15"/>
      <c r="BR1532" s="15"/>
      <c r="BS1532" s="15"/>
      <c r="BT1532" s="15"/>
      <c r="BU1532" s="15"/>
      <c r="BV1532" s="15"/>
      <c r="BW1532" s="15"/>
      <c r="BX1532" s="15"/>
      <c r="BY1532" s="15"/>
      <c r="BZ1532" s="15"/>
      <c r="CA1532" s="15"/>
      <c r="CB1532" s="15"/>
    </row>
    <row r="1533" spans="1:80" ht="12.75" hidden="1" customHeight="1">
      <c r="A1533" s="20">
        <f ca="1">IFERROR(__xludf.DUMMYFUNCTION("""COMPUTED_VALUE"""),2021)</f>
        <v>2021</v>
      </c>
      <c r="B1533" s="45">
        <f ca="1">IFERROR(__xludf.DUMMYFUNCTION("""COMPUTED_VALUE"""),44572)</f>
        <v>44572</v>
      </c>
      <c r="C1533" s="46"/>
      <c r="D1533" s="47" t="str">
        <f ca="1">IFERROR(__xludf.DUMMYFUNCTION("""COMPUTED_VALUE"""),"Yellow Wagtail")</f>
        <v>Yellow Wagtail</v>
      </c>
      <c r="E1533" s="52">
        <f ca="1">IFERROR(__xludf.DUMMYFUNCTION("""COMPUTED_VALUE"""),1)</f>
        <v>1</v>
      </c>
      <c r="F1533" s="25" t="str">
        <f ca="1">IFERROR(__xludf.DUMMYFUNCTION("""COMPUTED_VALUE"""),"1sw M?")</f>
        <v>1sw M?</v>
      </c>
      <c r="G1533" s="48" t="str">
        <f ca="1">IFERROR(__xludf.DUMMYFUNCTION("""COMPUTED_VALUE"""),"Mere Farm Qaurry, Chelford")</f>
        <v>Mere Farm Qaurry, Chelford</v>
      </c>
      <c r="H1533" s="22">
        <f ca="1">IFERROR(__xludf.DUMMYFUNCTION("""COMPUTED_VALUE"""),44520)</f>
        <v>44520</v>
      </c>
      <c r="I1533" s="22">
        <f ca="1">IFERROR(__xludf.DUMMYFUNCTION("""COMPUTED_VALUE"""),44532)</f>
        <v>44532</v>
      </c>
      <c r="J1533" s="24" t="str">
        <f ca="1">IFERROR(__xludf.DUMMYFUNCTION("""COMPUTED_VALUE"""),"Barber, S&amp;G")</f>
        <v>Barber, S&amp;G</v>
      </c>
      <c r="K1533" s="25" t="str">
        <f ca="1">IFERROR(__xludf.DUMMYFUNCTION("""COMPUTED_VALUE"""),"Barber, S&amp;G")</f>
        <v>Barber, S&amp;G</v>
      </c>
      <c r="L1533" s="27" t="str">
        <f ca="1">IFERROR(__xludf.DUMMYFUNCTION("""COMPUTED_VALUE"""),"closed")</f>
        <v>closed</v>
      </c>
      <c r="M1533" s="27" t="str">
        <f ca="1">IFERROR(__xludf.DUMMYFUNCTION("""COMPUTED_VALUE"""),"photo")</f>
        <v>photo</v>
      </c>
      <c r="N1533" s="25" t="str">
        <f ca="1">IFERROR(__xludf.DUMMYFUNCTION("""COMPUTED_VALUE"""),"Accepted w/o circ")</f>
        <v>Accepted w/o circ</v>
      </c>
      <c r="O1533" s="28"/>
      <c r="P1533" s="25"/>
      <c r="Q1533" s="25"/>
      <c r="R1533" s="40"/>
      <c r="S1533" s="25"/>
      <c r="T1533" s="25"/>
      <c r="U1533" s="25"/>
      <c r="V1533" s="25"/>
      <c r="W1533" s="25"/>
      <c r="X1533" s="25"/>
      <c r="Y1533" s="25"/>
      <c r="Z1533" s="25"/>
      <c r="AA1533" s="25"/>
      <c r="AB1533" s="25"/>
      <c r="AC1533" s="25"/>
      <c r="AD1533" s="25"/>
      <c r="AE1533" s="25"/>
      <c r="AF1533" s="25"/>
      <c r="AG1533" s="25"/>
      <c r="AH1533" s="25"/>
      <c r="AI1533" s="25"/>
      <c r="AJ1533" s="25"/>
      <c r="AK1533" s="25"/>
      <c r="AL1533" s="25"/>
      <c r="AM1533" s="25"/>
      <c r="AN1533" s="25"/>
      <c r="AO1533" s="25"/>
      <c r="AP1533" s="25"/>
      <c r="AQ1533" s="25"/>
      <c r="AR1533" s="25"/>
      <c r="AS1533" s="25"/>
      <c r="AT1533" s="25"/>
      <c r="AU1533" s="25"/>
      <c r="AV1533" s="25"/>
      <c r="AW1533" s="25"/>
      <c r="AX1533" s="25"/>
      <c r="AY1533" s="25"/>
      <c r="AZ1533" s="25"/>
      <c r="BA1533" s="25"/>
      <c r="BB1533" s="25"/>
      <c r="BC1533" s="25"/>
      <c r="BD1533" s="25"/>
      <c r="BE1533" s="25"/>
      <c r="BF1533" s="25"/>
      <c r="BG1533" s="25"/>
      <c r="BH1533" s="25"/>
      <c r="BI1533" s="25"/>
      <c r="BJ1533" s="25"/>
      <c r="BK1533" s="25"/>
      <c r="BL1533" s="25"/>
      <c r="BM1533" s="25"/>
      <c r="BN1533" s="25"/>
      <c r="BO1533" s="25"/>
      <c r="BP1533" s="25"/>
      <c r="BQ1533" s="25"/>
      <c r="BR1533" s="25"/>
      <c r="BS1533" s="25"/>
      <c r="BT1533" s="25"/>
      <c r="BU1533" s="25"/>
      <c r="BV1533" s="25"/>
      <c r="BW1533" s="25"/>
      <c r="BX1533" s="25"/>
      <c r="BY1533" s="25"/>
      <c r="BZ1533" s="25"/>
      <c r="CA1533" s="25"/>
      <c r="CB1533" s="25"/>
    </row>
    <row r="1534" spans="1:80" ht="12.75" hidden="1" customHeight="1">
      <c r="A1534" s="10">
        <f ca="1">IFERROR(__xludf.DUMMYFUNCTION("""COMPUTED_VALUE"""),2021)</f>
        <v>2021</v>
      </c>
      <c r="B1534" s="50">
        <f ca="1">IFERROR(__xludf.DUMMYFUNCTION("""COMPUTED_VALUE"""),44618)</f>
        <v>44618</v>
      </c>
      <c r="C1534" s="41">
        <f ca="1">IFERROR(__xludf.DUMMYFUNCTION("""COMPUTED_VALUE"""),44581)</f>
        <v>44581</v>
      </c>
      <c r="D1534" s="42" t="str">
        <f ca="1">IFERROR(__xludf.DUMMYFUNCTION("""COMPUTED_VALUE"""),"Yellow Wagtail [Blue-headed]")</f>
        <v>Yellow Wagtail [Blue-headed]</v>
      </c>
      <c r="E1534" s="53">
        <f ca="1">IFERROR(__xludf.DUMMYFUNCTION("""COMPUTED_VALUE"""),1)</f>
        <v>1</v>
      </c>
      <c r="F1534" s="15" t="str">
        <f ca="1">IFERROR(__xludf.DUMMYFUNCTION("""COMPUTED_VALUE"""),"m")</f>
        <v>m</v>
      </c>
      <c r="G1534" s="44" t="str">
        <f ca="1">IFERROR(__xludf.DUMMYFUNCTION("""COMPUTED_VALUE"""),"Hale")</f>
        <v>Hale</v>
      </c>
      <c r="H1534" s="12">
        <f ca="1">IFERROR(__xludf.DUMMYFUNCTION("""COMPUTED_VALUE"""),44309)</f>
        <v>44309</v>
      </c>
      <c r="I1534" s="13"/>
      <c r="J1534" s="14"/>
      <c r="K1534" s="15"/>
      <c r="L1534" s="17" t="str">
        <f ca="1">IFERROR(__xludf.DUMMYFUNCTION("""COMPUTED_VALUE"""),"closed")</f>
        <v>closed</v>
      </c>
      <c r="M1534" s="17" t="str">
        <f ca="1">IFERROR(__xludf.DUMMYFUNCTION("""COMPUTED_VALUE"""),"1st U")</f>
        <v>1st U</v>
      </c>
      <c r="N1534" s="15" t="str">
        <f ca="1">IFERROR(__xludf.DUMMYFUNCTION("""COMPUTED_VALUE"""),"unproven")</f>
        <v>unproven</v>
      </c>
      <c r="O1534" s="18" t="str">
        <f ca="1">IFERROR(__xludf.DUMMYFUNCTION("""COMPUTED_VALUE"""),"accepted as Channel/BHW")</f>
        <v>accepted as Channel/BHW</v>
      </c>
      <c r="P1534" s="15"/>
      <c r="Q1534" s="15"/>
      <c r="R1534" s="15"/>
      <c r="S1534" s="15"/>
      <c r="T1534" s="15"/>
      <c r="U1534" s="15"/>
      <c r="V1534" s="15"/>
      <c r="W1534" s="58"/>
      <c r="X1534" s="15"/>
      <c r="Y1534" s="15"/>
      <c r="Z1534" s="15"/>
      <c r="AA1534" s="15"/>
      <c r="AB1534" s="15"/>
      <c r="AC1534" s="15"/>
      <c r="AD1534" s="15"/>
      <c r="AE1534" s="15"/>
      <c r="AF1534" s="15"/>
      <c r="AG1534" s="15"/>
      <c r="AH1534" s="15"/>
      <c r="AI1534" s="15"/>
      <c r="AJ1534" s="15"/>
      <c r="AK1534" s="15"/>
      <c r="AL1534" s="15"/>
      <c r="AM1534" s="15"/>
      <c r="AN1534" s="15"/>
      <c r="AO1534" s="15"/>
      <c r="AP1534" s="15"/>
      <c r="AQ1534" s="15"/>
      <c r="AR1534" s="15"/>
      <c r="AS1534" s="15"/>
      <c r="AT1534" s="15"/>
      <c r="AU1534" s="15"/>
      <c r="AV1534" s="15"/>
      <c r="AW1534" s="15"/>
      <c r="AX1534" s="15"/>
      <c r="AY1534" s="15"/>
      <c r="AZ1534" s="15"/>
      <c r="BA1534" s="15"/>
      <c r="BB1534" s="15"/>
      <c r="BC1534" s="15"/>
      <c r="BD1534" s="15"/>
      <c r="BE1534" s="15"/>
      <c r="BF1534" s="15"/>
      <c r="BG1534" s="15"/>
      <c r="BH1534" s="15"/>
      <c r="BI1534" s="15"/>
      <c r="BJ1534" s="15"/>
      <c r="BK1534" s="15"/>
      <c r="BL1534" s="15"/>
      <c r="BM1534" s="15"/>
      <c r="BN1534" s="15"/>
      <c r="BO1534" s="15"/>
      <c r="BP1534" s="15"/>
      <c r="BQ1534" s="15"/>
      <c r="BR1534" s="15"/>
      <c r="BS1534" s="15"/>
      <c r="BT1534" s="15"/>
      <c r="BU1534" s="15"/>
      <c r="BV1534" s="15"/>
      <c r="BW1534" s="15"/>
      <c r="BX1534" s="15"/>
      <c r="BY1534" s="15"/>
      <c r="BZ1534" s="15"/>
      <c r="CA1534" s="15"/>
      <c r="CB1534" s="15"/>
    </row>
    <row r="1535" spans="1:80" ht="12.75" hidden="1" customHeight="1">
      <c r="A1535" s="20">
        <f ca="1">IFERROR(__xludf.DUMMYFUNCTION("""COMPUTED_VALUE"""),2021)</f>
        <v>2021</v>
      </c>
      <c r="B1535" s="45">
        <f ca="1">IFERROR(__xludf.DUMMYFUNCTION("""COMPUTED_VALUE"""),44721)</f>
        <v>44721</v>
      </c>
      <c r="C1535" s="46"/>
      <c r="D1535" s="47" t="str">
        <f ca="1">IFERROR(__xludf.DUMMYFUNCTION("""COMPUTED_VALUE"""),"Yellow Wagtail [Blue-headed]")</f>
        <v>Yellow Wagtail [Blue-headed]</v>
      </c>
      <c r="E1535" s="52">
        <f ca="1">IFERROR(__xludf.DUMMYFUNCTION("""COMPUTED_VALUE"""),1)</f>
        <v>1</v>
      </c>
      <c r="F1535" s="25"/>
      <c r="G1535" s="48" t="str">
        <f ca="1">IFERROR(__xludf.DUMMYFUNCTION("""COMPUTED_VALUE"""),"Antrobus")</f>
        <v>Antrobus</v>
      </c>
      <c r="H1535" s="22">
        <f ca="1">IFERROR(__xludf.DUMMYFUNCTION("""COMPUTED_VALUE"""),44310)</f>
        <v>44310</v>
      </c>
      <c r="I1535" s="23"/>
      <c r="J1535" s="24"/>
      <c r="K1535" s="25"/>
      <c r="L1535" s="27" t="str">
        <f ca="1">IFERROR(__xludf.DUMMYFUNCTION("""COMPUTED_VALUE"""),"limbo")</f>
        <v>limbo</v>
      </c>
      <c r="M1535" s="27"/>
      <c r="N1535" s="25" t="str">
        <f ca="1">IFERROR(__xludf.DUMMYFUNCTION("""COMPUTED_VALUE"""),"not submitted")</f>
        <v>not submitted</v>
      </c>
      <c r="O1535" s="28"/>
      <c r="P1535" s="25"/>
      <c r="Q1535" s="25"/>
      <c r="R1535" s="25"/>
      <c r="S1535" s="25"/>
      <c r="T1535" s="25"/>
      <c r="U1535" s="25"/>
      <c r="V1535" s="25"/>
      <c r="W1535" s="25"/>
      <c r="X1535" s="25"/>
      <c r="Y1535" s="25"/>
      <c r="Z1535" s="25"/>
      <c r="AA1535" s="25"/>
      <c r="AB1535" s="25"/>
      <c r="AC1535" s="25"/>
      <c r="AD1535" s="25"/>
      <c r="AE1535" s="25"/>
      <c r="AF1535" s="25"/>
      <c r="AG1535" s="25"/>
      <c r="AH1535" s="25"/>
      <c r="AI1535" s="25"/>
      <c r="AJ1535" s="25"/>
      <c r="AK1535" s="25"/>
      <c r="AL1535" s="25"/>
      <c r="AM1535" s="25"/>
      <c r="AN1535" s="25"/>
      <c r="AO1535" s="25"/>
      <c r="AP1535" s="25"/>
      <c r="AQ1535" s="25"/>
      <c r="AR1535" s="25"/>
      <c r="AS1535" s="25"/>
      <c r="AT1535" s="25"/>
      <c r="AU1535" s="25"/>
      <c r="AV1535" s="25"/>
      <c r="AW1535" s="25"/>
      <c r="AX1535" s="25"/>
      <c r="AY1535" s="25"/>
      <c r="AZ1535" s="25"/>
      <c r="BA1535" s="25"/>
      <c r="BB1535" s="25"/>
      <c r="BC1535" s="25"/>
      <c r="BD1535" s="25"/>
      <c r="BE1535" s="25"/>
      <c r="BF1535" s="25"/>
      <c r="BG1535" s="25"/>
      <c r="BH1535" s="25"/>
      <c r="BI1535" s="25"/>
      <c r="BJ1535" s="25"/>
      <c r="BK1535" s="25"/>
      <c r="BL1535" s="25"/>
      <c r="BM1535" s="25"/>
      <c r="BN1535" s="25"/>
      <c r="BO1535" s="25"/>
      <c r="BP1535" s="25"/>
      <c r="BQ1535" s="25"/>
      <c r="BR1535" s="25"/>
      <c r="BS1535" s="25"/>
      <c r="BT1535" s="25"/>
      <c r="BU1535" s="25"/>
      <c r="BV1535" s="25"/>
      <c r="BW1535" s="25"/>
      <c r="BX1535" s="25"/>
      <c r="BY1535" s="25"/>
      <c r="BZ1535" s="25"/>
      <c r="CA1535" s="25"/>
      <c r="CB1535" s="25"/>
    </row>
    <row r="1536" spans="1:80" ht="12.75" hidden="1" customHeight="1">
      <c r="A1536" s="10">
        <f ca="1">IFERROR(__xludf.DUMMYFUNCTION("""COMPUTED_VALUE"""),2021)</f>
        <v>2021</v>
      </c>
      <c r="B1536" s="50">
        <f ca="1">IFERROR(__xludf.DUMMYFUNCTION("""COMPUTED_VALUE"""),44581)</f>
        <v>44581</v>
      </c>
      <c r="C1536" s="41">
        <f ca="1">IFERROR(__xludf.DUMMYFUNCTION("""COMPUTED_VALUE"""),44581)</f>
        <v>44581</v>
      </c>
      <c r="D1536" s="42" t="str">
        <f ca="1">IFERROR(__xludf.DUMMYFUNCTION("""COMPUTED_VALUE"""),"Richard's Pipit")</f>
        <v>Richard's Pipit</v>
      </c>
      <c r="E1536" s="53">
        <f ca="1">IFERROR(__xludf.DUMMYFUNCTION("""COMPUTED_VALUE"""),1)</f>
        <v>1</v>
      </c>
      <c r="F1536" s="15"/>
      <c r="G1536" s="44" t="str">
        <f ca="1">IFERROR(__xludf.DUMMYFUNCTION("""COMPUTED_VALUE"""),"Wardle")</f>
        <v>Wardle</v>
      </c>
      <c r="H1536" s="12">
        <f ca="1">IFERROR(__xludf.DUMMYFUNCTION("""COMPUTED_VALUE"""),44293)</f>
        <v>44293</v>
      </c>
      <c r="I1536" s="13"/>
      <c r="J1536" s="14" t="str">
        <f ca="1">IFERROR(__xludf.DUMMYFUNCTION("""COMPUTED_VALUE"""),"Breaks, M")</f>
        <v>Breaks, M</v>
      </c>
      <c r="K1536" s="15" t="str">
        <f ca="1">IFERROR(__xludf.DUMMYFUNCTION("""COMPUTED_VALUE"""),"Breaks, M")</f>
        <v>Breaks, M</v>
      </c>
      <c r="L1536" s="17" t="str">
        <f ca="1">IFERROR(__xludf.DUMMYFUNCTION("""COMPUTED_VALUE"""),"closed")</f>
        <v>closed</v>
      </c>
      <c r="M1536" s="17" t="str">
        <f ca="1">IFERROR(__xludf.DUMMYFUNCTION("""COMPUTED_VALUE"""),"1st U")</f>
        <v>1st U</v>
      </c>
      <c r="N1536" s="15" t="str">
        <f ca="1">IFERROR(__xludf.DUMMYFUNCTION("""COMPUTED_VALUE"""),"accepted")</f>
        <v>accepted</v>
      </c>
      <c r="O1536" s="18" t="str">
        <f ca="1">IFERROR(__xludf.DUMMYFUNCTION("""COMPUTED_VALUE"""),"photo, sound recording")</f>
        <v>photo, sound recording</v>
      </c>
      <c r="P1536" s="15"/>
      <c r="Q1536" s="15"/>
      <c r="R1536" s="15"/>
      <c r="S1536" s="15"/>
      <c r="T1536" s="15"/>
      <c r="U1536" s="15"/>
      <c r="V1536" s="15"/>
      <c r="W1536" s="15"/>
      <c r="X1536" s="15"/>
      <c r="Y1536" s="15"/>
      <c r="Z1536" s="15"/>
      <c r="AA1536" s="15"/>
      <c r="AB1536" s="15"/>
      <c r="AC1536" s="15"/>
      <c r="AD1536" s="15"/>
      <c r="AE1536" s="15"/>
      <c r="AF1536" s="15"/>
      <c r="AG1536" s="15"/>
      <c r="AH1536" s="15"/>
      <c r="AI1536" s="15"/>
      <c r="AJ1536" s="15"/>
      <c r="AK1536" s="15"/>
      <c r="AL1536" s="15"/>
      <c r="AM1536" s="15"/>
      <c r="AN1536" s="15"/>
      <c r="AO1536" s="15"/>
      <c r="AP1536" s="15"/>
      <c r="AQ1536" s="15"/>
      <c r="AR1536" s="15"/>
      <c r="AS1536" s="15"/>
      <c r="AT1536" s="15"/>
      <c r="AU1536" s="15"/>
      <c r="AV1536" s="15"/>
      <c r="AW1536" s="15"/>
      <c r="AX1536" s="15"/>
      <c r="AY1536" s="15"/>
      <c r="AZ1536" s="15"/>
      <c r="BA1536" s="15"/>
      <c r="BB1536" s="15"/>
      <c r="BC1536" s="15"/>
      <c r="BD1536" s="15"/>
      <c r="BE1536" s="15"/>
      <c r="BF1536" s="15"/>
      <c r="BG1536" s="15"/>
      <c r="BH1536" s="15"/>
      <c r="BI1536" s="15"/>
      <c r="BJ1536" s="15"/>
      <c r="BK1536" s="15"/>
      <c r="BL1536" s="15"/>
      <c r="BM1536" s="15"/>
      <c r="BN1536" s="15"/>
      <c r="BO1536" s="15"/>
      <c r="BP1536" s="15"/>
      <c r="BQ1536" s="15"/>
      <c r="BR1536" s="15"/>
      <c r="BS1536" s="15"/>
      <c r="BT1536" s="15"/>
      <c r="BU1536" s="15"/>
      <c r="BV1536" s="15"/>
      <c r="BW1536" s="15"/>
      <c r="BX1536" s="15"/>
      <c r="BY1536" s="15"/>
      <c r="BZ1536" s="15"/>
      <c r="CA1536" s="15"/>
      <c r="CB1536" s="15"/>
    </row>
    <row r="1537" spans="1:80" ht="12.75" hidden="1" customHeight="1">
      <c r="A1537" s="20">
        <f ca="1">IFERROR(__xludf.DUMMYFUNCTION("""COMPUTED_VALUE"""),2021)</f>
        <v>2021</v>
      </c>
      <c r="B1537" s="45">
        <f ca="1">IFERROR(__xludf.DUMMYFUNCTION("""COMPUTED_VALUE"""),44572)</f>
        <v>44572</v>
      </c>
      <c r="C1537" s="46"/>
      <c r="D1537" s="47" t="str">
        <f ca="1">IFERROR(__xludf.DUMMYFUNCTION("""COMPUTED_VALUE"""),"Hawfinch")</f>
        <v>Hawfinch</v>
      </c>
      <c r="E1537" s="52">
        <f ca="1">IFERROR(__xludf.DUMMYFUNCTION("""COMPUTED_VALUE"""),1)</f>
        <v>1</v>
      </c>
      <c r="F1537" s="25"/>
      <c r="G1537" s="48" t="str">
        <f ca="1">IFERROR(__xludf.DUMMYFUNCTION("""COMPUTED_VALUE"""),"Swettenham")</f>
        <v>Swettenham</v>
      </c>
      <c r="H1537" s="22">
        <f ca="1">IFERROR(__xludf.DUMMYFUNCTION("""COMPUTED_VALUE"""),44357)</f>
        <v>44357</v>
      </c>
      <c r="I1537" s="23"/>
      <c r="J1537" s="24"/>
      <c r="K1537" s="25"/>
      <c r="L1537" s="27" t="str">
        <f ca="1">IFERROR(__xludf.DUMMYFUNCTION("""COMPUTED_VALUE"""),"limbo")</f>
        <v>limbo</v>
      </c>
      <c r="M1537" s="27"/>
      <c r="N1537" s="25" t="str">
        <f ca="1">IFERROR(__xludf.DUMMYFUNCTION("""COMPUTED_VALUE"""),"not submitted")</f>
        <v>not submitted</v>
      </c>
      <c r="O1537" s="28"/>
      <c r="P1537" s="25"/>
      <c r="Q1537" s="25"/>
      <c r="R1537" s="25"/>
      <c r="S1537" s="25"/>
      <c r="T1537" s="25"/>
      <c r="U1537" s="25"/>
      <c r="V1537" s="25"/>
      <c r="W1537" s="25"/>
      <c r="X1537" s="25"/>
      <c r="Y1537" s="25"/>
      <c r="Z1537" s="25"/>
      <c r="AA1537" s="25"/>
      <c r="AB1537" s="25"/>
      <c r="AC1537" s="25"/>
      <c r="AD1537" s="25"/>
      <c r="AE1537" s="25"/>
      <c r="AF1537" s="25"/>
      <c r="AG1537" s="25"/>
      <c r="AH1537" s="25"/>
      <c r="AI1537" s="25"/>
      <c r="AJ1537" s="25"/>
      <c r="AK1537" s="25"/>
      <c r="AL1537" s="25"/>
      <c r="AM1537" s="25"/>
      <c r="AN1537" s="25"/>
      <c r="AO1537" s="25"/>
      <c r="AP1537" s="25"/>
      <c r="AQ1537" s="25"/>
      <c r="AR1537" s="25"/>
      <c r="AS1537" s="25"/>
      <c r="AT1537" s="25"/>
      <c r="AU1537" s="25"/>
      <c r="AV1537" s="25"/>
      <c r="AW1537" s="25"/>
      <c r="AX1537" s="25"/>
      <c r="AY1537" s="25"/>
      <c r="AZ1537" s="25"/>
      <c r="BA1537" s="25"/>
      <c r="BB1537" s="25"/>
      <c r="BC1537" s="25"/>
      <c r="BD1537" s="25"/>
      <c r="BE1537" s="25"/>
      <c r="BF1537" s="25"/>
      <c r="BG1537" s="25"/>
      <c r="BH1537" s="25"/>
      <c r="BI1537" s="25"/>
      <c r="BJ1537" s="25"/>
      <c r="BK1537" s="25"/>
      <c r="BL1537" s="25"/>
      <c r="BM1537" s="25"/>
      <c r="BN1537" s="25"/>
      <c r="BO1537" s="25"/>
      <c r="BP1537" s="25"/>
      <c r="BQ1537" s="25"/>
      <c r="BR1537" s="25"/>
      <c r="BS1537" s="25"/>
      <c r="BT1537" s="25"/>
      <c r="BU1537" s="25"/>
      <c r="BV1537" s="25"/>
      <c r="BW1537" s="25"/>
      <c r="BX1537" s="25"/>
      <c r="BY1537" s="25"/>
      <c r="BZ1537" s="25"/>
      <c r="CA1537" s="25"/>
      <c r="CB1537" s="25"/>
    </row>
    <row r="1538" spans="1:80" ht="12.75" hidden="1" customHeight="1">
      <c r="A1538" s="10">
        <f ca="1">IFERROR(__xludf.DUMMYFUNCTION("""COMPUTED_VALUE"""),2021)</f>
        <v>2021</v>
      </c>
      <c r="B1538" s="50">
        <f ca="1">IFERROR(__xludf.DUMMYFUNCTION("""COMPUTED_VALUE"""),44572)</f>
        <v>44572</v>
      </c>
      <c r="C1538" s="41"/>
      <c r="D1538" s="42" t="str">
        <f ca="1">IFERROR(__xludf.DUMMYFUNCTION("""COMPUTED_VALUE"""),"Hawfinch")</f>
        <v>Hawfinch</v>
      </c>
      <c r="E1538" s="53">
        <f ca="1">IFERROR(__xludf.DUMMYFUNCTION("""COMPUTED_VALUE"""),1)</f>
        <v>1</v>
      </c>
      <c r="F1538" s="15"/>
      <c r="G1538" s="44" t="str">
        <f ca="1">IFERROR(__xludf.DUMMYFUNCTION("""COMPUTED_VALUE"""),"Woolston Eyes")</f>
        <v>Woolston Eyes</v>
      </c>
      <c r="H1538" s="12">
        <f ca="1">IFERROR(__xludf.DUMMYFUNCTION("""COMPUTED_VALUE"""),44483)</f>
        <v>44483</v>
      </c>
      <c r="I1538" s="13"/>
      <c r="J1538" s="14" t="str">
        <f ca="1">IFERROR(__xludf.DUMMYFUNCTION("""COMPUTED_VALUE"""),"Birdguides")</f>
        <v>Birdguides</v>
      </c>
      <c r="K1538" s="15"/>
      <c r="L1538" s="17" t="str">
        <f ca="1">IFERROR(__xludf.DUMMYFUNCTION("""COMPUTED_VALUE"""),"limbo")</f>
        <v>limbo</v>
      </c>
      <c r="M1538" s="17"/>
      <c r="N1538" s="15" t="str">
        <f ca="1">IFERROR(__xludf.DUMMYFUNCTION("""COMPUTED_VALUE"""),"not submitted")</f>
        <v>not submitted</v>
      </c>
      <c r="O1538" s="18"/>
      <c r="P1538" s="15"/>
      <c r="Q1538" s="15"/>
      <c r="R1538" s="15"/>
      <c r="S1538" s="15"/>
      <c r="T1538" s="15"/>
      <c r="U1538" s="15"/>
      <c r="V1538" s="15"/>
      <c r="W1538" s="15"/>
      <c r="X1538" s="15"/>
      <c r="Y1538" s="15"/>
      <c r="Z1538" s="15"/>
      <c r="AA1538" s="15"/>
      <c r="AB1538" s="15"/>
      <c r="AC1538" s="15"/>
      <c r="AD1538" s="15"/>
      <c r="AE1538" s="15"/>
      <c r="AF1538" s="15"/>
      <c r="AG1538" s="15"/>
      <c r="AH1538" s="15"/>
      <c r="AI1538" s="15"/>
      <c r="AJ1538" s="15"/>
      <c r="AK1538" s="15"/>
      <c r="AL1538" s="15"/>
      <c r="AM1538" s="15"/>
      <c r="AN1538" s="15"/>
      <c r="AO1538" s="15"/>
      <c r="AP1538" s="15"/>
      <c r="AQ1538" s="15"/>
      <c r="AR1538" s="15"/>
      <c r="AS1538" s="15"/>
      <c r="AT1538" s="15"/>
      <c r="AU1538" s="15"/>
      <c r="AV1538" s="15"/>
      <c r="AW1538" s="15"/>
      <c r="AX1538" s="15"/>
      <c r="AY1538" s="15"/>
      <c r="AZ1538" s="15"/>
      <c r="BA1538" s="15"/>
      <c r="BB1538" s="15"/>
      <c r="BC1538" s="15"/>
      <c r="BD1538" s="15"/>
      <c r="BE1538" s="15"/>
      <c r="BF1538" s="15"/>
      <c r="BG1538" s="15"/>
      <c r="BH1538" s="15"/>
      <c r="BI1538" s="15"/>
      <c r="BJ1538" s="15"/>
      <c r="BK1538" s="15"/>
      <c r="BL1538" s="15"/>
      <c r="BM1538" s="15"/>
      <c r="BN1538" s="15"/>
      <c r="BO1538" s="15"/>
      <c r="BP1538" s="15"/>
      <c r="BQ1538" s="15"/>
      <c r="BR1538" s="15"/>
      <c r="BS1538" s="15"/>
      <c r="BT1538" s="15"/>
      <c r="BU1538" s="15"/>
      <c r="BV1538" s="15"/>
      <c r="BW1538" s="15"/>
      <c r="BX1538" s="15"/>
      <c r="BY1538" s="15"/>
      <c r="BZ1538" s="15"/>
      <c r="CA1538" s="15"/>
      <c r="CB1538" s="15"/>
    </row>
    <row r="1539" spans="1:80" ht="12.75" hidden="1" customHeight="1">
      <c r="A1539" s="20">
        <f ca="1">IFERROR(__xludf.DUMMYFUNCTION("""COMPUTED_VALUE"""),2021)</f>
        <v>2021</v>
      </c>
      <c r="B1539" s="45">
        <f ca="1">IFERROR(__xludf.DUMMYFUNCTION("""COMPUTED_VALUE"""),44572)</f>
        <v>44572</v>
      </c>
      <c r="C1539" s="46"/>
      <c r="D1539" s="47" t="str">
        <f ca="1">IFERROR(__xludf.DUMMYFUNCTION("""COMPUTED_VALUE"""),"Hawfinch")</f>
        <v>Hawfinch</v>
      </c>
      <c r="E1539" s="52">
        <f ca="1">IFERROR(__xludf.DUMMYFUNCTION("""COMPUTED_VALUE"""),3)</f>
        <v>3</v>
      </c>
      <c r="F1539" s="25"/>
      <c r="G1539" s="48" t="str">
        <f ca="1">IFERROR(__xludf.DUMMYFUNCTION("""COMPUTED_VALUE"""),"Burton")</f>
        <v>Burton</v>
      </c>
      <c r="H1539" s="22">
        <f ca="1">IFERROR(__xludf.DUMMYFUNCTION("""COMPUTED_VALUE"""),44484)</f>
        <v>44484</v>
      </c>
      <c r="I1539" s="23"/>
      <c r="J1539" s="24"/>
      <c r="K1539" s="25"/>
      <c r="L1539" s="27" t="str">
        <f ca="1">IFERROR(__xludf.DUMMYFUNCTION("""COMPUTED_VALUE"""),"limbo")</f>
        <v>limbo</v>
      </c>
      <c r="M1539" s="27"/>
      <c r="N1539" s="25" t="str">
        <f ca="1">IFERROR(__xludf.DUMMYFUNCTION("""COMPUTED_VALUE"""),"not submitted")</f>
        <v>not submitted</v>
      </c>
      <c r="O1539" s="28" t="str">
        <f ca="1">IFERROR(__xludf.DUMMYFUNCTION("""COMPUTED_VALUE"""),"Description requested")</f>
        <v>Description requested</v>
      </c>
      <c r="P1539" s="25"/>
      <c r="Q1539" s="25"/>
      <c r="R1539" s="40"/>
      <c r="S1539" s="25"/>
      <c r="T1539" s="25"/>
      <c r="U1539" s="25"/>
      <c r="V1539" s="25"/>
      <c r="W1539" s="25"/>
      <c r="X1539" s="25"/>
      <c r="Y1539" s="25"/>
      <c r="Z1539" s="25"/>
      <c r="AA1539" s="25"/>
      <c r="AB1539" s="25"/>
      <c r="AC1539" s="25"/>
      <c r="AD1539" s="25"/>
      <c r="AE1539" s="25"/>
      <c r="AF1539" s="25"/>
      <c r="AG1539" s="25"/>
      <c r="AH1539" s="25"/>
      <c r="AI1539" s="25"/>
      <c r="AJ1539" s="25"/>
      <c r="AK1539" s="25"/>
      <c r="AL1539" s="25"/>
      <c r="AM1539" s="25"/>
      <c r="AN1539" s="25"/>
      <c r="AO1539" s="25"/>
      <c r="AP1539" s="25"/>
      <c r="AQ1539" s="25"/>
      <c r="AR1539" s="25"/>
      <c r="AS1539" s="25"/>
      <c r="AT1539" s="25"/>
      <c r="AU1539" s="25"/>
      <c r="AV1539" s="25"/>
      <c r="AW1539" s="25"/>
      <c r="AX1539" s="25"/>
      <c r="AY1539" s="25"/>
      <c r="AZ1539" s="25"/>
      <c r="BA1539" s="25"/>
      <c r="BB1539" s="25"/>
      <c r="BC1539" s="25"/>
      <c r="BD1539" s="25"/>
      <c r="BE1539" s="25"/>
      <c r="BF1539" s="25"/>
      <c r="BG1539" s="25"/>
      <c r="BH1539" s="25"/>
      <c r="BI1539" s="25"/>
      <c r="BJ1539" s="25"/>
      <c r="BK1539" s="25"/>
      <c r="BL1539" s="25"/>
      <c r="BM1539" s="25"/>
      <c r="BN1539" s="25"/>
      <c r="BO1539" s="25"/>
      <c r="BP1539" s="25"/>
      <c r="BQ1539" s="25"/>
      <c r="BR1539" s="25"/>
      <c r="BS1539" s="25"/>
      <c r="BT1539" s="25"/>
      <c r="BU1539" s="25"/>
      <c r="BV1539" s="25"/>
      <c r="BW1539" s="25"/>
      <c r="BX1539" s="25"/>
      <c r="BY1539" s="25"/>
      <c r="BZ1539" s="25"/>
      <c r="CA1539" s="25"/>
      <c r="CB1539" s="25"/>
    </row>
    <row r="1540" spans="1:80" ht="12.75" hidden="1" customHeight="1">
      <c r="A1540" s="10">
        <f ca="1">IFERROR(__xludf.DUMMYFUNCTION("""COMPUTED_VALUE"""),2021)</f>
        <v>2021</v>
      </c>
      <c r="B1540" s="50">
        <f ca="1">IFERROR(__xludf.DUMMYFUNCTION("""COMPUTED_VALUE"""),44572)</f>
        <v>44572</v>
      </c>
      <c r="C1540" s="41"/>
      <c r="D1540" s="42" t="str">
        <f ca="1">IFERROR(__xludf.DUMMYFUNCTION("""COMPUTED_VALUE"""),"Hawfinch")</f>
        <v>Hawfinch</v>
      </c>
      <c r="E1540" s="53">
        <f ca="1">IFERROR(__xludf.DUMMYFUNCTION("""COMPUTED_VALUE"""),1)</f>
        <v>1</v>
      </c>
      <c r="F1540" s="15"/>
      <c r="G1540" s="44" t="str">
        <f ca="1">IFERROR(__xludf.DUMMYFUNCTION("""COMPUTED_VALUE"""),"Wynbunbry")</f>
        <v>Wynbunbry</v>
      </c>
      <c r="H1540" s="12">
        <f ca="1">IFERROR(__xludf.DUMMYFUNCTION("""COMPUTED_VALUE"""),44513)</f>
        <v>44513</v>
      </c>
      <c r="I1540" s="13"/>
      <c r="J1540" s="14"/>
      <c r="K1540" s="15"/>
      <c r="L1540" s="17" t="str">
        <f ca="1">IFERROR(__xludf.DUMMYFUNCTION("""COMPUTED_VALUE"""),"limbo")</f>
        <v>limbo</v>
      </c>
      <c r="M1540" s="17"/>
      <c r="N1540" s="15" t="str">
        <f ca="1">IFERROR(__xludf.DUMMYFUNCTION("""COMPUTED_VALUE"""),"not submitted")</f>
        <v>not submitted</v>
      </c>
      <c r="O1540" s="18" t="str">
        <f ca="1">IFERROR(__xludf.DUMMYFUNCTION("""COMPUTED_VALUE"""),"Description requested")</f>
        <v>Description requested</v>
      </c>
      <c r="P1540" s="15"/>
      <c r="Q1540" s="15"/>
      <c r="R1540" s="58"/>
      <c r="S1540" s="15"/>
      <c r="T1540" s="15"/>
      <c r="U1540" s="15"/>
      <c r="V1540" s="15"/>
      <c r="W1540" s="15"/>
      <c r="X1540" s="15"/>
      <c r="Y1540" s="15"/>
      <c r="Z1540" s="15"/>
      <c r="AA1540" s="15"/>
      <c r="AB1540" s="15"/>
      <c r="AC1540" s="15"/>
      <c r="AD1540" s="15"/>
      <c r="AE1540" s="15"/>
      <c r="AF1540" s="15"/>
      <c r="AG1540" s="15"/>
      <c r="AH1540" s="15"/>
      <c r="AI1540" s="15"/>
      <c r="AJ1540" s="15"/>
      <c r="AK1540" s="15"/>
      <c r="AL1540" s="15"/>
      <c r="AM1540" s="15"/>
      <c r="AN1540" s="15"/>
      <c r="AO1540" s="15"/>
      <c r="AP1540" s="15"/>
      <c r="AQ1540" s="15"/>
      <c r="AR1540" s="15"/>
      <c r="AS1540" s="15"/>
      <c r="AT1540" s="15"/>
      <c r="AU1540" s="15"/>
      <c r="AV1540" s="15"/>
      <c r="AW1540" s="15"/>
      <c r="AX1540" s="15"/>
      <c r="AY1540" s="15"/>
      <c r="AZ1540" s="15"/>
      <c r="BA1540" s="15"/>
      <c r="BB1540" s="15"/>
      <c r="BC1540" s="15"/>
      <c r="BD1540" s="15"/>
      <c r="BE1540" s="15"/>
      <c r="BF1540" s="15"/>
      <c r="BG1540" s="15"/>
      <c r="BH1540" s="15"/>
      <c r="BI1540" s="15"/>
      <c r="BJ1540" s="15"/>
      <c r="BK1540" s="15"/>
      <c r="BL1540" s="15"/>
      <c r="BM1540" s="15"/>
      <c r="BN1540" s="15"/>
      <c r="BO1540" s="15"/>
      <c r="BP1540" s="15"/>
      <c r="BQ1540" s="15"/>
      <c r="BR1540" s="15"/>
      <c r="BS1540" s="15"/>
      <c r="BT1540" s="15"/>
      <c r="BU1540" s="15"/>
      <c r="BV1540" s="15"/>
      <c r="BW1540" s="15"/>
      <c r="BX1540" s="15"/>
      <c r="BY1540" s="15"/>
      <c r="BZ1540" s="15"/>
      <c r="CA1540" s="15"/>
      <c r="CB1540" s="15"/>
    </row>
    <row r="1541" spans="1:80" ht="12.75" hidden="1" customHeight="1">
      <c r="A1541" s="20">
        <f ca="1">IFERROR(__xludf.DUMMYFUNCTION("""COMPUTED_VALUE"""),2021)</f>
        <v>2021</v>
      </c>
      <c r="B1541" s="45">
        <f ca="1">IFERROR(__xludf.DUMMYFUNCTION("""COMPUTED_VALUE"""),44572)</f>
        <v>44572</v>
      </c>
      <c r="C1541" s="46"/>
      <c r="D1541" s="47" t="str">
        <f ca="1">IFERROR(__xludf.DUMMYFUNCTION("""COMPUTED_VALUE"""),"Hawfinch")</f>
        <v>Hawfinch</v>
      </c>
      <c r="E1541" s="52">
        <f ca="1">IFERROR(__xludf.DUMMYFUNCTION("""COMPUTED_VALUE"""),1)</f>
        <v>1</v>
      </c>
      <c r="F1541" s="25"/>
      <c r="G1541" s="48" t="str">
        <f ca="1">IFERROR(__xludf.DUMMYFUNCTION("""COMPUTED_VALUE"""),"Hale Head, Hale")</f>
        <v>Hale Head, Hale</v>
      </c>
      <c r="H1541" s="22">
        <f ca="1">IFERROR(__xludf.DUMMYFUNCTION("""COMPUTED_VALUE"""),44530)</f>
        <v>44530</v>
      </c>
      <c r="I1541" s="23"/>
      <c r="J1541" s="24"/>
      <c r="K1541" s="25"/>
      <c r="L1541" s="27" t="str">
        <f ca="1">IFERROR(__xludf.DUMMYFUNCTION("""COMPUTED_VALUE"""),"closed")</f>
        <v>closed</v>
      </c>
      <c r="M1541" s="27"/>
      <c r="N1541" s="25" t="str">
        <f ca="1">IFERROR(__xludf.DUMMYFUNCTION("""COMPUTED_VALUE"""),"exemption")</f>
        <v>exemption</v>
      </c>
      <c r="O1541" s="28"/>
      <c r="P1541" s="25"/>
      <c r="Q1541" s="25"/>
      <c r="R1541" s="25"/>
      <c r="S1541" s="25"/>
      <c r="T1541" s="25"/>
      <c r="U1541" s="25"/>
      <c r="V1541" s="25"/>
      <c r="W1541" s="25"/>
      <c r="X1541" s="25"/>
      <c r="Y1541" s="25"/>
      <c r="Z1541" s="25"/>
      <c r="AA1541" s="25"/>
      <c r="AB1541" s="25"/>
      <c r="AC1541" s="25"/>
      <c r="AD1541" s="25"/>
      <c r="AE1541" s="25"/>
      <c r="AF1541" s="25"/>
      <c r="AG1541" s="25"/>
      <c r="AH1541" s="25"/>
      <c r="AI1541" s="25"/>
      <c r="AJ1541" s="25"/>
      <c r="AK1541" s="25"/>
      <c r="AL1541" s="25"/>
      <c r="AM1541" s="25"/>
      <c r="AN1541" s="25"/>
      <c r="AO1541" s="25"/>
      <c r="AP1541" s="25"/>
      <c r="AQ1541" s="25"/>
      <c r="AR1541" s="25"/>
      <c r="AS1541" s="25"/>
      <c r="AT1541" s="25"/>
      <c r="AU1541" s="25"/>
      <c r="AV1541" s="25"/>
      <c r="AW1541" s="25"/>
      <c r="AX1541" s="25"/>
      <c r="AY1541" s="25"/>
      <c r="AZ1541" s="25"/>
      <c r="BA1541" s="25"/>
      <c r="BB1541" s="25"/>
      <c r="BC1541" s="25"/>
      <c r="BD1541" s="25"/>
      <c r="BE1541" s="25"/>
      <c r="BF1541" s="25"/>
      <c r="BG1541" s="25"/>
      <c r="BH1541" s="25"/>
      <c r="BI1541" s="25"/>
      <c r="BJ1541" s="25"/>
      <c r="BK1541" s="25"/>
      <c r="BL1541" s="25"/>
      <c r="BM1541" s="25"/>
      <c r="BN1541" s="25"/>
      <c r="BO1541" s="25"/>
      <c r="BP1541" s="25"/>
      <c r="BQ1541" s="25"/>
      <c r="BR1541" s="25"/>
      <c r="BS1541" s="25"/>
      <c r="BT1541" s="25"/>
      <c r="BU1541" s="25"/>
      <c r="BV1541" s="25"/>
      <c r="BW1541" s="25"/>
      <c r="BX1541" s="25"/>
      <c r="BY1541" s="25"/>
      <c r="BZ1541" s="25"/>
      <c r="CA1541" s="25"/>
      <c r="CB1541" s="25"/>
    </row>
    <row r="1542" spans="1:80" ht="12.75" hidden="1" customHeight="1">
      <c r="A1542" s="10">
        <f ca="1">IFERROR(__xludf.DUMMYFUNCTION("""COMPUTED_VALUE"""),2021)</f>
        <v>2021</v>
      </c>
      <c r="B1542" s="50">
        <f ca="1">IFERROR(__xludf.DUMMYFUNCTION("""COMPUTED_VALUE"""),44572)</f>
        <v>44572</v>
      </c>
      <c r="C1542" s="41"/>
      <c r="D1542" s="42" t="str">
        <f ca="1">IFERROR(__xludf.DUMMYFUNCTION("""COMPUTED_VALUE"""),"Hawfinch")</f>
        <v>Hawfinch</v>
      </c>
      <c r="E1542" s="53">
        <f ca="1">IFERROR(__xludf.DUMMYFUNCTION("""COMPUTED_VALUE"""),1)</f>
        <v>1</v>
      </c>
      <c r="F1542" s="15"/>
      <c r="G1542" s="44" t="str">
        <f ca="1">IFERROR(__xludf.DUMMYFUNCTION("""COMPUTED_VALUE"""),"Sandbach Flashes")</f>
        <v>Sandbach Flashes</v>
      </c>
      <c r="H1542" s="12">
        <f ca="1">IFERROR(__xludf.DUMMYFUNCTION("""COMPUTED_VALUE"""),44530)</f>
        <v>44530</v>
      </c>
      <c r="I1542" s="13"/>
      <c r="J1542" s="14" t="str">
        <f ca="1">IFERROR(__xludf.DUMMYFUNCTION("""COMPUTED_VALUE"""),"Birdguides")</f>
        <v>Birdguides</v>
      </c>
      <c r="K1542" s="15"/>
      <c r="L1542" s="17" t="str">
        <f ca="1">IFERROR(__xludf.DUMMYFUNCTION("""COMPUTED_VALUE"""),"limbo")</f>
        <v>limbo</v>
      </c>
      <c r="M1542" s="17"/>
      <c r="N1542" s="15" t="str">
        <f ca="1">IFERROR(__xludf.DUMMYFUNCTION("""COMPUTED_VALUE"""),"not submitted")</f>
        <v>not submitted</v>
      </c>
      <c r="O1542" s="18" t="str">
        <f ca="1">IFERROR(__xludf.DUMMYFUNCTION("""COMPUTED_VALUE"""),"Description requested")</f>
        <v>Description requested</v>
      </c>
      <c r="P1542" s="15"/>
      <c r="Q1542" s="15"/>
      <c r="R1542" s="15"/>
      <c r="S1542" s="15"/>
      <c r="T1542" s="15"/>
      <c r="U1542" s="15"/>
      <c r="V1542" s="15"/>
      <c r="W1542" s="15"/>
      <c r="X1542" s="15"/>
      <c r="Y1542" s="15"/>
      <c r="Z1542" s="15"/>
      <c r="AA1542" s="15"/>
      <c r="AB1542" s="15"/>
      <c r="AC1542" s="15"/>
      <c r="AD1542" s="15"/>
      <c r="AE1542" s="15"/>
      <c r="AF1542" s="15"/>
      <c r="AG1542" s="15"/>
      <c r="AH1542" s="15"/>
      <c r="AI1542" s="15"/>
      <c r="AJ1542" s="15"/>
      <c r="AK1542" s="15"/>
      <c r="AL1542" s="15"/>
      <c r="AM1542" s="15"/>
      <c r="AN1542" s="15"/>
      <c r="AO1542" s="15"/>
      <c r="AP1542" s="15"/>
      <c r="AQ1542" s="15"/>
      <c r="AR1542" s="15"/>
      <c r="AS1542" s="15"/>
      <c r="AT1542" s="15"/>
      <c r="AU1542" s="15"/>
      <c r="AV1542" s="15"/>
      <c r="AW1542" s="15"/>
      <c r="AX1542" s="15"/>
      <c r="AY1542" s="15"/>
      <c r="AZ1542" s="15"/>
      <c r="BA1542" s="15"/>
      <c r="BB1542" s="15"/>
      <c r="BC1542" s="15"/>
      <c r="BD1542" s="15"/>
      <c r="BE1542" s="15"/>
      <c r="BF1542" s="15"/>
      <c r="BG1542" s="15"/>
      <c r="BH1542" s="15"/>
      <c r="BI1542" s="15"/>
      <c r="BJ1542" s="15"/>
      <c r="BK1542" s="15"/>
      <c r="BL1542" s="15"/>
      <c r="BM1542" s="15"/>
      <c r="BN1542" s="15"/>
      <c r="BO1542" s="15"/>
      <c r="BP1542" s="15"/>
      <c r="BQ1542" s="15"/>
      <c r="BR1542" s="15"/>
      <c r="BS1542" s="15"/>
      <c r="BT1542" s="15"/>
      <c r="BU1542" s="15"/>
      <c r="BV1542" s="15"/>
      <c r="BW1542" s="15"/>
      <c r="BX1542" s="15"/>
      <c r="BY1542" s="15"/>
      <c r="BZ1542" s="15"/>
      <c r="CA1542" s="15"/>
      <c r="CB1542" s="15"/>
    </row>
    <row r="1543" spans="1:80" ht="12.75" hidden="1" customHeight="1">
      <c r="A1543" s="20">
        <f ca="1">IFERROR(__xludf.DUMMYFUNCTION("""COMPUTED_VALUE"""),2021)</f>
        <v>2021</v>
      </c>
      <c r="B1543" s="45">
        <f ca="1">IFERROR(__xludf.DUMMYFUNCTION("""COMPUTED_VALUE"""),44572)</f>
        <v>44572</v>
      </c>
      <c r="C1543" s="46"/>
      <c r="D1543" s="47" t="str">
        <f ca="1">IFERROR(__xludf.DUMMYFUNCTION("""COMPUTED_VALUE"""),"Hawfinch")</f>
        <v>Hawfinch</v>
      </c>
      <c r="E1543" s="52">
        <f ca="1">IFERROR(__xludf.DUMMYFUNCTION("""COMPUTED_VALUE"""),1)</f>
        <v>1</v>
      </c>
      <c r="F1543" s="25"/>
      <c r="G1543" s="48" t="str">
        <f ca="1">IFERROR(__xludf.DUMMYFUNCTION("""COMPUTED_VALUE"""),"Sandbach Flashes")</f>
        <v>Sandbach Flashes</v>
      </c>
      <c r="H1543" s="22">
        <f ca="1">IFERROR(__xludf.DUMMYFUNCTION("""COMPUTED_VALUE"""),44531)</f>
        <v>44531</v>
      </c>
      <c r="I1543" s="23"/>
      <c r="J1543" s="24" t="str">
        <f ca="1">IFERROR(__xludf.DUMMYFUNCTION("""COMPUTED_VALUE"""),"Birdguides")</f>
        <v>Birdguides</v>
      </c>
      <c r="K1543" s="25"/>
      <c r="L1543" s="27" t="str">
        <f ca="1">IFERROR(__xludf.DUMMYFUNCTION("""COMPUTED_VALUE"""),"limbo")</f>
        <v>limbo</v>
      </c>
      <c r="M1543" s="27"/>
      <c r="N1543" s="25" t="str">
        <f ca="1">IFERROR(__xludf.DUMMYFUNCTION("""COMPUTED_VALUE"""),"not submitted")</f>
        <v>not submitted</v>
      </c>
      <c r="O1543" s="28" t="str">
        <f ca="1">IFERROR(__xludf.DUMMYFUNCTION("""COMPUTED_VALUE"""),"Description requested")</f>
        <v>Description requested</v>
      </c>
      <c r="P1543" s="25"/>
      <c r="Q1543" s="25"/>
      <c r="R1543" s="25"/>
      <c r="S1543" s="25"/>
      <c r="T1543" s="25"/>
      <c r="U1543" s="25"/>
      <c r="V1543" s="25"/>
      <c r="W1543" s="25"/>
      <c r="X1543" s="25"/>
      <c r="Y1543" s="25"/>
      <c r="Z1543" s="25"/>
      <c r="AA1543" s="25"/>
      <c r="AB1543" s="25"/>
      <c r="AC1543" s="25"/>
      <c r="AD1543" s="25"/>
      <c r="AE1543" s="25"/>
      <c r="AF1543" s="25"/>
      <c r="AG1543" s="25"/>
      <c r="AH1543" s="25"/>
      <c r="AI1543" s="25"/>
      <c r="AJ1543" s="25"/>
      <c r="AK1543" s="25"/>
      <c r="AL1543" s="25"/>
      <c r="AM1543" s="25"/>
      <c r="AN1543" s="25"/>
      <c r="AO1543" s="25"/>
      <c r="AP1543" s="25"/>
      <c r="AQ1543" s="25"/>
      <c r="AR1543" s="25"/>
      <c r="AS1543" s="25"/>
      <c r="AT1543" s="25"/>
      <c r="AU1543" s="25"/>
      <c r="AV1543" s="25"/>
      <c r="AW1543" s="25"/>
      <c r="AX1543" s="25"/>
      <c r="AY1543" s="25"/>
      <c r="AZ1543" s="25"/>
      <c r="BA1543" s="25"/>
      <c r="BB1543" s="25"/>
      <c r="BC1543" s="25"/>
      <c r="BD1543" s="25"/>
      <c r="BE1543" s="25"/>
      <c r="BF1543" s="25"/>
      <c r="BG1543" s="25"/>
      <c r="BH1543" s="25"/>
      <c r="BI1543" s="25"/>
      <c r="BJ1543" s="25"/>
      <c r="BK1543" s="25"/>
      <c r="BL1543" s="25"/>
      <c r="BM1543" s="25"/>
      <c r="BN1543" s="25"/>
      <c r="BO1543" s="25"/>
      <c r="BP1543" s="25"/>
      <c r="BQ1543" s="25"/>
      <c r="BR1543" s="25"/>
      <c r="BS1543" s="25"/>
      <c r="BT1543" s="25"/>
      <c r="BU1543" s="25"/>
      <c r="BV1543" s="25"/>
      <c r="BW1543" s="25"/>
      <c r="BX1543" s="25"/>
      <c r="BY1543" s="25"/>
      <c r="BZ1543" s="25"/>
      <c r="CA1543" s="25"/>
      <c r="CB1543" s="25"/>
    </row>
    <row r="1544" spans="1:80" ht="12.75" hidden="1" customHeight="1">
      <c r="A1544" s="10">
        <f ca="1">IFERROR(__xludf.DUMMYFUNCTION("""COMPUTED_VALUE"""),2021)</f>
        <v>2021</v>
      </c>
      <c r="B1544" s="50">
        <f ca="1">IFERROR(__xludf.DUMMYFUNCTION("""COMPUTED_VALUE"""),44876)</f>
        <v>44876</v>
      </c>
      <c r="C1544" s="41">
        <f ca="1">IFERROR(__xludf.DUMMYFUNCTION("""COMPUTED_VALUE"""),44563)</f>
        <v>44563</v>
      </c>
      <c r="D1544" s="42" t="str">
        <f ca="1">IFERROR(__xludf.DUMMYFUNCTION("""COMPUTED_VALUE"""),"Serin")</f>
        <v>Serin</v>
      </c>
      <c r="E1544" s="53">
        <f ca="1">IFERROR(__xludf.DUMMYFUNCTION("""COMPUTED_VALUE"""),1)</f>
        <v>1</v>
      </c>
      <c r="F1544" s="15"/>
      <c r="G1544" s="44" t="str">
        <f ca="1">IFERROR(__xludf.DUMMYFUNCTION("""COMPUTED_VALUE"""),"Hoylake")</f>
        <v>Hoylake</v>
      </c>
      <c r="H1544" s="12">
        <f ca="1">IFERROR(__xludf.DUMMYFUNCTION("""COMPUTED_VALUE"""),44308)</f>
        <v>44308</v>
      </c>
      <c r="I1544" s="13"/>
      <c r="J1544" s="14" t="str">
        <f ca="1">IFERROR(__xludf.DUMMYFUNCTION("""COMPUTED_VALUE"""),"Turner, JE")</f>
        <v>Turner, JE</v>
      </c>
      <c r="K1544" s="15" t="str">
        <f ca="1">IFERROR(__xludf.DUMMYFUNCTION("""COMPUTED_VALUE"""),"Turner, JE")</f>
        <v>Turner, JE</v>
      </c>
      <c r="L1544" s="17" t="str">
        <f ca="1">IFERROR(__xludf.DUMMYFUNCTION("""COMPUTED_VALUE"""),"closed")</f>
        <v>closed</v>
      </c>
      <c r="M1544" s="17" t="str">
        <f ca="1">IFERROR(__xludf.DUMMYFUNCTION("""COMPUTED_VALUE"""),"1st U")</f>
        <v>1st U</v>
      </c>
      <c r="N1544" s="15" t="str">
        <f ca="1">IFERROR(__xludf.DUMMYFUNCTION("""COMPUTED_VALUE"""),"accepted")</f>
        <v>accepted</v>
      </c>
      <c r="O1544" s="18" t="str">
        <f ca="1">IFERROR(__xludf.DUMMYFUNCTION("""COMPUTED_VALUE"""),"sound recorded")</f>
        <v>sound recorded</v>
      </c>
      <c r="P1544" s="15"/>
      <c r="Q1544" s="15"/>
      <c r="R1544" s="15"/>
      <c r="S1544" s="15"/>
      <c r="T1544" s="15"/>
      <c r="U1544" s="15"/>
      <c r="V1544" s="15"/>
      <c r="W1544" s="15"/>
      <c r="X1544" s="15"/>
      <c r="Y1544" s="15"/>
      <c r="Z1544" s="15"/>
      <c r="AA1544" s="15"/>
      <c r="AB1544" s="15"/>
      <c r="AC1544" s="15"/>
      <c r="AD1544" s="15"/>
      <c r="AE1544" s="15"/>
      <c r="AF1544" s="15"/>
      <c r="AG1544" s="15"/>
      <c r="AH1544" s="15"/>
      <c r="AI1544" s="15"/>
      <c r="AJ1544" s="15"/>
      <c r="AK1544" s="15"/>
      <c r="AL1544" s="15"/>
      <c r="AM1544" s="15"/>
      <c r="AN1544" s="15"/>
      <c r="AO1544" s="15"/>
      <c r="AP1544" s="15"/>
      <c r="AQ1544" s="15"/>
      <c r="AR1544" s="15"/>
      <c r="AS1544" s="15"/>
      <c r="AT1544" s="15"/>
      <c r="AU1544" s="15"/>
      <c r="AV1544" s="15"/>
      <c r="AW1544" s="15"/>
      <c r="AX1544" s="15"/>
      <c r="AY1544" s="15"/>
      <c r="AZ1544" s="15"/>
      <c r="BA1544" s="15"/>
      <c r="BB1544" s="15"/>
      <c r="BC1544" s="15"/>
      <c r="BD1544" s="15"/>
      <c r="BE1544" s="15"/>
      <c r="BF1544" s="15"/>
      <c r="BG1544" s="15"/>
      <c r="BH1544" s="15"/>
      <c r="BI1544" s="15"/>
      <c r="BJ1544" s="15"/>
      <c r="BK1544" s="15"/>
      <c r="BL1544" s="15"/>
      <c r="BM1544" s="15"/>
      <c r="BN1544" s="15"/>
      <c r="BO1544" s="15"/>
      <c r="BP1544" s="15"/>
      <c r="BQ1544" s="15"/>
      <c r="BR1544" s="15"/>
      <c r="BS1544" s="15"/>
      <c r="BT1544" s="15"/>
      <c r="BU1544" s="15"/>
      <c r="BV1544" s="15"/>
      <c r="BW1544" s="15"/>
      <c r="BX1544" s="15"/>
      <c r="BY1544" s="15"/>
      <c r="BZ1544" s="15"/>
      <c r="CA1544" s="15"/>
      <c r="CB1544" s="15"/>
    </row>
    <row r="1545" spans="1:80" ht="12.75" hidden="1" customHeight="1">
      <c r="A1545" s="20">
        <f ca="1">IFERROR(__xludf.DUMMYFUNCTION("""COMPUTED_VALUE"""),2021)</f>
        <v>2021</v>
      </c>
      <c r="B1545" s="45">
        <f ca="1">IFERROR(__xludf.DUMMYFUNCTION("""COMPUTED_VALUE"""),44735)</f>
        <v>44735</v>
      </c>
      <c r="C1545" s="46"/>
      <c r="D1545" s="47" t="str">
        <f ca="1">IFERROR(__xludf.DUMMYFUNCTION("""COMPUTED_VALUE"""),"Lapland Bunting")</f>
        <v>Lapland Bunting</v>
      </c>
      <c r="E1545" s="52">
        <f ca="1">IFERROR(__xludf.DUMMYFUNCTION("""COMPUTED_VALUE"""),1)</f>
        <v>1</v>
      </c>
      <c r="F1545" s="25"/>
      <c r="G1545" s="48" t="str">
        <f ca="1">IFERROR(__xludf.DUMMYFUNCTION("""COMPUTED_VALUE"""),"Hilbre")</f>
        <v>Hilbre</v>
      </c>
      <c r="H1545" s="22">
        <f ca="1">IFERROR(__xludf.DUMMYFUNCTION("""COMPUTED_VALUE"""),44203)</f>
        <v>44203</v>
      </c>
      <c r="I1545" s="23"/>
      <c r="J1545" s="24" t="str">
        <f ca="1">IFERROR(__xludf.DUMMYFUNCTION("""COMPUTED_VALUE"""),"HIBO")</f>
        <v>HIBO</v>
      </c>
      <c r="K1545" s="25"/>
      <c r="L1545" s="27" t="str">
        <f ca="1">IFERROR(__xludf.DUMMYFUNCTION("""COMPUTED_VALUE"""),"closed")</f>
        <v>closed</v>
      </c>
      <c r="M1545" s="27"/>
      <c r="N1545" s="25" t="str">
        <f ca="1">IFERROR(__xludf.DUMMYFUNCTION("""COMPUTED_VALUE"""),"exemption")</f>
        <v>exemption</v>
      </c>
      <c r="O1545" s="28" t="str">
        <f ca="1">IFERROR(__xludf.DUMMYFUNCTION("""COMPUTED_VALUE"""),"on Middle Hilbre early")</f>
        <v>on Middle Hilbre early</v>
      </c>
      <c r="P1545" s="25"/>
      <c r="Q1545" s="25"/>
      <c r="R1545" s="25"/>
      <c r="S1545" s="25"/>
      <c r="T1545" s="25"/>
      <c r="U1545" s="25"/>
      <c r="V1545" s="25"/>
      <c r="W1545" s="25"/>
      <c r="X1545" s="25"/>
      <c r="Y1545" s="25"/>
      <c r="Z1545" s="25"/>
      <c r="AA1545" s="25"/>
      <c r="AB1545" s="25"/>
      <c r="AC1545" s="25"/>
      <c r="AD1545" s="25"/>
      <c r="AE1545" s="25"/>
      <c r="AF1545" s="25"/>
      <c r="AG1545" s="25"/>
      <c r="AH1545" s="25"/>
      <c r="AI1545" s="25"/>
      <c r="AJ1545" s="25"/>
      <c r="AK1545" s="25"/>
      <c r="AL1545" s="25"/>
      <c r="AM1545" s="25"/>
      <c r="AN1545" s="25"/>
      <c r="AO1545" s="25"/>
      <c r="AP1545" s="25"/>
      <c r="AQ1545" s="25"/>
      <c r="AR1545" s="25"/>
      <c r="AS1545" s="25"/>
      <c r="AT1545" s="25"/>
      <c r="AU1545" s="25"/>
      <c r="AV1545" s="25"/>
      <c r="AW1545" s="25"/>
      <c r="AX1545" s="25"/>
      <c r="AY1545" s="25"/>
      <c r="AZ1545" s="25"/>
      <c r="BA1545" s="25"/>
      <c r="BB1545" s="25"/>
      <c r="BC1545" s="25"/>
      <c r="BD1545" s="25"/>
      <c r="BE1545" s="25"/>
      <c r="BF1545" s="25"/>
      <c r="BG1545" s="25"/>
      <c r="BH1545" s="25"/>
      <c r="BI1545" s="25"/>
      <c r="BJ1545" s="25"/>
      <c r="BK1545" s="25"/>
      <c r="BL1545" s="25"/>
      <c r="BM1545" s="25"/>
      <c r="BN1545" s="25"/>
      <c r="BO1545" s="25"/>
      <c r="BP1545" s="25"/>
      <c r="BQ1545" s="25"/>
      <c r="BR1545" s="25"/>
      <c r="BS1545" s="25"/>
      <c r="BT1545" s="25"/>
      <c r="BU1545" s="25"/>
      <c r="BV1545" s="25"/>
      <c r="BW1545" s="25"/>
      <c r="BX1545" s="25"/>
      <c r="BY1545" s="25"/>
      <c r="BZ1545" s="25"/>
      <c r="CA1545" s="25"/>
      <c r="CB1545" s="25"/>
    </row>
    <row r="1546" spans="1:80" ht="12.75" hidden="1" customHeight="1">
      <c r="A1546" s="10">
        <f ca="1">IFERROR(__xludf.DUMMYFUNCTION("""COMPUTED_VALUE"""),2021)</f>
        <v>2021</v>
      </c>
      <c r="B1546" s="50">
        <f ca="1">IFERROR(__xludf.DUMMYFUNCTION("""COMPUTED_VALUE"""),44574)</f>
        <v>44574</v>
      </c>
      <c r="C1546" s="41"/>
      <c r="D1546" s="42" t="str">
        <f ca="1">IFERROR(__xludf.DUMMYFUNCTION("""COMPUTED_VALUE"""),"Lapland Bunting")</f>
        <v>Lapland Bunting</v>
      </c>
      <c r="E1546" s="53">
        <f ca="1">IFERROR(__xludf.DUMMYFUNCTION("""COMPUTED_VALUE"""),1)</f>
        <v>1</v>
      </c>
      <c r="F1546" s="15"/>
      <c r="G1546" s="44" t="str">
        <f ca="1">IFERROR(__xludf.DUMMYFUNCTION("""COMPUTED_VALUE"""),"Frodsham Marsh")</f>
        <v>Frodsham Marsh</v>
      </c>
      <c r="H1546" s="12">
        <f ca="1">IFERROR(__xludf.DUMMYFUNCTION("""COMPUTED_VALUE"""),44272)</f>
        <v>44272</v>
      </c>
      <c r="I1546" s="12">
        <f ca="1">IFERROR(__xludf.DUMMYFUNCTION("""COMPUTED_VALUE"""),44273)</f>
        <v>44273</v>
      </c>
      <c r="J1546" s="14"/>
      <c r="K1546" s="15"/>
      <c r="L1546" s="17" t="str">
        <f ca="1">IFERROR(__xludf.DUMMYFUNCTION("""COMPUTED_VALUE"""),"closed")</f>
        <v>closed</v>
      </c>
      <c r="M1546" s="17"/>
      <c r="N1546" s="15" t="str">
        <f ca="1">IFERROR(__xludf.DUMMYFUNCTION("""COMPUTED_VALUE"""),"exemption")</f>
        <v>exemption</v>
      </c>
      <c r="O1546" s="18"/>
      <c r="P1546" s="15"/>
      <c r="Q1546" s="15"/>
      <c r="R1546" s="15"/>
      <c r="S1546" s="15"/>
      <c r="T1546" s="15"/>
      <c r="U1546" s="15"/>
      <c r="V1546" s="15"/>
      <c r="W1546" s="15"/>
      <c r="X1546" s="15"/>
      <c r="Y1546" s="15"/>
      <c r="Z1546" s="15"/>
      <c r="AA1546" s="15"/>
      <c r="AB1546" s="15"/>
      <c r="AC1546" s="15"/>
      <c r="AD1546" s="15"/>
      <c r="AE1546" s="15"/>
      <c r="AF1546" s="15"/>
      <c r="AG1546" s="15"/>
      <c r="AH1546" s="15"/>
      <c r="AI1546" s="15"/>
      <c r="AJ1546" s="15"/>
      <c r="AK1546" s="15"/>
      <c r="AL1546" s="15"/>
      <c r="AM1546" s="15"/>
      <c r="AN1546" s="15"/>
      <c r="AO1546" s="15"/>
      <c r="AP1546" s="15"/>
      <c r="AQ1546" s="15"/>
      <c r="AR1546" s="15"/>
      <c r="AS1546" s="15"/>
      <c r="AT1546" s="15"/>
      <c r="AU1546" s="15"/>
      <c r="AV1546" s="15"/>
      <c r="AW1546" s="15"/>
      <c r="AX1546" s="15"/>
      <c r="AY1546" s="15"/>
      <c r="AZ1546" s="15"/>
      <c r="BA1546" s="15"/>
      <c r="BB1546" s="15"/>
      <c r="BC1546" s="15"/>
      <c r="BD1546" s="15"/>
      <c r="BE1546" s="15"/>
      <c r="BF1546" s="15"/>
      <c r="BG1546" s="15"/>
      <c r="BH1546" s="15"/>
      <c r="BI1546" s="15"/>
      <c r="BJ1546" s="15"/>
      <c r="BK1546" s="15"/>
      <c r="BL1546" s="15"/>
      <c r="BM1546" s="15"/>
      <c r="BN1546" s="15"/>
      <c r="BO1546" s="15"/>
      <c r="BP1546" s="15"/>
      <c r="BQ1546" s="15"/>
      <c r="BR1546" s="15"/>
      <c r="BS1546" s="15"/>
      <c r="BT1546" s="15"/>
      <c r="BU1546" s="15"/>
      <c r="BV1546" s="15"/>
      <c r="BW1546" s="15"/>
      <c r="BX1546" s="15"/>
      <c r="BY1546" s="15"/>
      <c r="BZ1546" s="15"/>
      <c r="CA1546" s="15"/>
      <c r="CB1546" s="15"/>
    </row>
    <row r="1547" spans="1:80" ht="12.75" hidden="1" customHeight="1">
      <c r="A1547" s="20">
        <f ca="1">IFERROR(__xludf.DUMMYFUNCTION("""COMPUTED_VALUE"""),2021)</f>
        <v>2021</v>
      </c>
      <c r="B1547" s="45">
        <f ca="1">IFERROR(__xludf.DUMMYFUNCTION("""COMPUTED_VALUE"""),44726)</f>
        <v>44726</v>
      </c>
      <c r="C1547" s="46"/>
      <c r="D1547" s="47" t="str">
        <f ca="1">IFERROR(__xludf.DUMMYFUNCTION("""COMPUTED_VALUE"""),"Snow Bunting")</f>
        <v>Snow Bunting</v>
      </c>
      <c r="E1547" s="52">
        <f ca="1">IFERROR(__xludf.DUMMYFUNCTION("""COMPUTED_VALUE"""),1)</f>
        <v>1</v>
      </c>
      <c r="F1547" s="25"/>
      <c r="G1547" s="48" t="str">
        <f ca="1">IFERROR(__xludf.DUMMYFUNCTION("""COMPUTED_VALUE"""),"Shining Tor")</f>
        <v>Shining Tor</v>
      </c>
      <c r="H1547" s="22">
        <f ca="1">IFERROR(__xludf.DUMMYFUNCTION("""COMPUTED_VALUE"""),44517)</f>
        <v>44517</v>
      </c>
      <c r="I1547" s="22">
        <f ca="1">IFERROR(__xludf.DUMMYFUNCTION("""COMPUTED_VALUE"""),44518)</f>
        <v>44518</v>
      </c>
      <c r="J1547" s="24" t="str">
        <f ca="1">IFERROR(__xludf.DUMMYFUNCTION("""COMPUTED_VALUE"""),"county recorder")</f>
        <v>county recorder</v>
      </c>
      <c r="K1547" s="25" t="str">
        <f ca="1">IFERROR(__xludf.DUMMYFUNCTION("""COMPUTED_VALUE"""),"Dean, M")</f>
        <v>Dean, M</v>
      </c>
      <c r="L1547" s="27" t="str">
        <f ca="1">IFERROR(__xludf.DUMMYFUNCTION("""COMPUTED_VALUE"""),"closed")</f>
        <v>closed</v>
      </c>
      <c r="M1547" s="27"/>
      <c r="N1547" s="25" t="str">
        <f ca="1">IFERROR(__xludf.DUMMYFUNCTION("""COMPUTED_VALUE"""),"Accepted w/o circ")</f>
        <v>Accepted w/o circ</v>
      </c>
      <c r="O1547" s="28" t="str">
        <f ca="1">IFERROR(__xludf.DUMMYFUNCTION("""COMPUTED_VALUE"""),"multi observed and photographewd")</f>
        <v>multi observed and photographewd</v>
      </c>
      <c r="P1547" s="25"/>
      <c r="Q1547" s="25"/>
      <c r="R1547" s="25"/>
      <c r="S1547" s="25"/>
      <c r="T1547" s="25"/>
      <c r="U1547" s="25"/>
      <c r="V1547" s="25"/>
      <c r="W1547" s="25"/>
      <c r="X1547" s="25"/>
      <c r="Y1547" s="25"/>
      <c r="Z1547" s="25"/>
      <c r="AA1547" s="25"/>
      <c r="AB1547" s="25"/>
      <c r="AC1547" s="25"/>
      <c r="AD1547" s="25"/>
      <c r="AE1547" s="25"/>
      <c r="AF1547" s="25"/>
      <c r="AG1547" s="25"/>
      <c r="AH1547" s="25"/>
      <c r="AI1547" s="25"/>
      <c r="AJ1547" s="25"/>
      <c r="AK1547" s="25"/>
      <c r="AL1547" s="25"/>
      <c r="AM1547" s="25"/>
      <c r="AN1547" s="25"/>
      <c r="AO1547" s="25"/>
      <c r="AP1547" s="25"/>
      <c r="AQ1547" s="25"/>
      <c r="AR1547" s="25"/>
      <c r="AS1547" s="25"/>
      <c r="AT1547" s="25"/>
      <c r="AU1547" s="25"/>
      <c r="AV1547" s="25"/>
      <c r="AW1547" s="25"/>
      <c r="AX1547" s="25"/>
      <c r="AY1547" s="25"/>
      <c r="AZ1547" s="25"/>
      <c r="BA1547" s="25"/>
      <c r="BB1547" s="25"/>
      <c r="BC1547" s="25"/>
      <c r="BD1547" s="25"/>
      <c r="BE1547" s="25"/>
      <c r="BF1547" s="25"/>
      <c r="BG1547" s="25"/>
      <c r="BH1547" s="25"/>
      <c r="BI1547" s="25"/>
      <c r="BJ1547" s="25"/>
      <c r="BK1547" s="25"/>
      <c r="BL1547" s="25"/>
      <c r="BM1547" s="25"/>
      <c r="BN1547" s="25"/>
      <c r="BO1547" s="25"/>
      <c r="BP1547" s="25"/>
      <c r="BQ1547" s="25"/>
      <c r="BR1547" s="25"/>
      <c r="BS1547" s="25"/>
      <c r="BT1547" s="25"/>
      <c r="BU1547" s="25"/>
      <c r="BV1547" s="25"/>
      <c r="BW1547" s="25"/>
      <c r="BX1547" s="25"/>
      <c r="BY1547" s="25"/>
      <c r="BZ1547" s="25"/>
      <c r="CA1547" s="25"/>
      <c r="CB1547" s="25"/>
    </row>
    <row r="1548" spans="1:80" ht="12.75" hidden="1" customHeight="1">
      <c r="A1548" s="10">
        <f ca="1">IFERROR(__xludf.DUMMYFUNCTION("""COMPUTED_VALUE"""),2022)</f>
        <v>2022</v>
      </c>
      <c r="B1548" s="50">
        <f ca="1">IFERROR(__xludf.DUMMYFUNCTION("""COMPUTED_VALUE"""),44598)</f>
        <v>44598</v>
      </c>
      <c r="C1548" s="41"/>
      <c r="D1548" s="42" t="str">
        <f ca="1">IFERROR(__xludf.DUMMYFUNCTION("""COMPUTED_VALUE"""),"Snow Goose")</f>
        <v>Snow Goose</v>
      </c>
      <c r="E1548" s="53">
        <f ca="1">IFERROR(__xludf.DUMMYFUNCTION("""COMPUTED_VALUE"""),1)</f>
        <v>1</v>
      </c>
      <c r="F1548" s="15" t="str">
        <f ca="1">IFERROR(__xludf.DUMMYFUNCTION("""COMPUTED_VALUE"""),"ad")</f>
        <v>ad</v>
      </c>
      <c r="G1548" s="44" t="str">
        <f ca="1">IFERROR(__xludf.DUMMYFUNCTION("""COMPUTED_VALUE"""),"Burton Marsh/BMW/Shottwick")</f>
        <v>Burton Marsh/BMW/Shottwick</v>
      </c>
      <c r="H1548" s="12">
        <f ca="1">IFERROR(__xludf.DUMMYFUNCTION("""COMPUTED_VALUE"""),44592)</f>
        <v>44592</v>
      </c>
      <c r="I1548" s="12">
        <f ca="1">IFERROR(__xludf.DUMMYFUNCTION("""COMPUTED_VALUE"""),44594)</f>
        <v>44594</v>
      </c>
      <c r="J1548" s="14" t="str">
        <f ca="1">IFERROR(__xludf.DUMMYFUNCTION("""COMPUTED_VALUE"""),"County recorder")</f>
        <v>County recorder</v>
      </c>
      <c r="K1548" s="15" t="str">
        <f ca="1">IFERROR(__xludf.DUMMYFUNCTION("""COMPUTED_VALUE"""),"Andrew Wallbank")</f>
        <v>Andrew Wallbank</v>
      </c>
      <c r="L1548" s="17" t="str">
        <f ca="1">IFERROR(__xludf.DUMMYFUNCTION("""COMPUTED_VALUE"""),"closed")</f>
        <v>closed</v>
      </c>
      <c r="M1548" s="17"/>
      <c r="N1548" s="15" t="str">
        <f ca="1">IFERROR(__xludf.DUMMYFUNCTION("""COMPUTED_VALUE"""),"Accepted w/o circ")</f>
        <v>Accepted w/o circ</v>
      </c>
      <c r="O1548" s="18" t="str">
        <f ca="1">IFERROR(__xludf.DUMMYFUNCTION("""COMPUTED_VALUE"""),"ID accepted, potentially a wild bird - in discssion")</f>
        <v>ID accepted, potentially a wild bird - in discssion</v>
      </c>
      <c r="P1548" s="15"/>
      <c r="Q1548" s="15"/>
      <c r="R1548" s="15"/>
      <c r="S1548" s="15"/>
      <c r="T1548" s="15"/>
      <c r="U1548" s="15"/>
      <c r="V1548" s="15"/>
      <c r="W1548" s="15"/>
      <c r="X1548" s="15"/>
      <c r="Y1548" s="15"/>
      <c r="Z1548" s="15"/>
      <c r="AA1548" s="15"/>
      <c r="AB1548" s="15"/>
      <c r="AC1548" s="15"/>
      <c r="AD1548" s="15"/>
      <c r="AE1548" s="15"/>
      <c r="AF1548" s="15"/>
      <c r="AG1548" s="15"/>
      <c r="AH1548" s="15"/>
      <c r="AI1548" s="15"/>
      <c r="AJ1548" s="15"/>
      <c r="AK1548" s="15"/>
      <c r="AL1548" s="15"/>
      <c r="AM1548" s="15"/>
      <c r="AN1548" s="15"/>
      <c r="AO1548" s="15"/>
      <c r="AP1548" s="15"/>
      <c r="AQ1548" s="15"/>
      <c r="AR1548" s="15"/>
      <c r="AS1548" s="15"/>
      <c r="AT1548" s="15"/>
      <c r="AU1548" s="15"/>
      <c r="AV1548" s="15"/>
      <c r="AW1548" s="15"/>
      <c r="AX1548" s="15"/>
      <c r="AY1548" s="15"/>
      <c r="AZ1548" s="15"/>
      <c r="BA1548" s="15"/>
      <c r="BB1548" s="15"/>
      <c r="BC1548" s="15"/>
      <c r="BD1548" s="15"/>
      <c r="BE1548" s="15"/>
      <c r="BF1548" s="15"/>
      <c r="BG1548" s="15"/>
      <c r="BH1548" s="15"/>
      <c r="BI1548" s="15"/>
      <c r="BJ1548" s="15"/>
      <c r="BK1548" s="15"/>
      <c r="BL1548" s="15"/>
      <c r="BM1548" s="15"/>
      <c r="BN1548" s="15"/>
      <c r="BO1548" s="15"/>
      <c r="BP1548" s="15"/>
      <c r="BQ1548" s="15"/>
      <c r="BR1548" s="15"/>
      <c r="BS1548" s="15"/>
      <c r="BT1548" s="15"/>
      <c r="BU1548" s="15"/>
      <c r="BV1548" s="15"/>
      <c r="BW1548" s="15"/>
      <c r="BX1548" s="15"/>
      <c r="BY1548" s="15"/>
      <c r="BZ1548" s="15"/>
      <c r="CA1548" s="15"/>
      <c r="CB1548" s="15"/>
    </row>
    <row r="1549" spans="1:80" ht="12.75" hidden="1" customHeight="1">
      <c r="A1549" s="20">
        <f ca="1">IFERROR(__xludf.DUMMYFUNCTION("""COMPUTED_VALUE"""),2022)</f>
        <v>2022</v>
      </c>
      <c r="B1549" s="45">
        <f ca="1">IFERROR(__xludf.DUMMYFUNCTION("""COMPUTED_VALUE"""),44576)</f>
        <v>44576</v>
      </c>
      <c r="C1549" s="46"/>
      <c r="D1549" s="47" t="str">
        <f ca="1">IFERROR(__xludf.DUMMYFUNCTION("""COMPUTED_VALUE"""),"Bean Goose [Tundra]")</f>
        <v>Bean Goose [Tundra]</v>
      </c>
      <c r="E1549" s="52">
        <f ca="1">IFERROR(__xludf.DUMMYFUNCTION("""COMPUTED_VALUE"""),2)</f>
        <v>2</v>
      </c>
      <c r="F1549" s="25"/>
      <c r="G1549" s="48" t="str">
        <f ca="1">IFERROR(__xludf.DUMMYFUNCTION("""COMPUTED_VALUE"""),"Ince Marsh")</f>
        <v>Ince Marsh</v>
      </c>
      <c r="H1549" s="22">
        <f ca="1">IFERROR(__xludf.DUMMYFUNCTION("""COMPUTED_VALUE"""),44576)</f>
        <v>44576</v>
      </c>
      <c r="I1549" s="23"/>
      <c r="J1549" s="24"/>
      <c r="K1549" s="25"/>
      <c r="L1549" s="27" t="str">
        <f ca="1">IFERROR(__xludf.DUMMYFUNCTION("""COMPUTED_VALUE"""),"limbo")</f>
        <v>limbo</v>
      </c>
      <c r="M1549" s="27"/>
      <c r="N1549" s="25" t="str">
        <f ca="1">IFERROR(__xludf.DUMMYFUNCTION("""COMPUTED_VALUE"""),"not submitted")</f>
        <v>not submitted</v>
      </c>
      <c r="O1549" s="28" t="str">
        <f ca="1">IFERROR(__xludf.DUMMYFUNCTION("""COMPUTED_VALUE"""),"Finder known")</f>
        <v>Finder known</v>
      </c>
      <c r="P1549" s="25"/>
      <c r="Q1549" s="25"/>
      <c r="R1549" s="25"/>
      <c r="S1549" s="25"/>
      <c r="T1549" s="25"/>
      <c r="U1549" s="25"/>
      <c r="V1549" s="25"/>
      <c r="W1549" s="25"/>
      <c r="X1549" s="25"/>
      <c r="Y1549" s="25"/>
      <c r="Z1549" s="25"/>
      <c r="AA1549" s="25"/>
      <c r="AB1549" s="25"/>
      <c r="AC1549" s="25"/>
      <c r="AD1549" s="25"/>
      <c r="AE1549" s="25"/>
      <c r="AF1549" s="25"/>
      <c r="AG1549" s="25"/>
      <c r="AH1549" s="25"/>
      <c r="AI1549" s="25"/>
      <c r="AJ1549" s="25"/>
      <c r="AK1549" s="25"/>
      <c r="AL1549" s="25"/>
      <c r="AM1549" s="25"/>
      <c r="AN1549" s="25"/>
      <c r="AO1549" s="25"/>
      <c r="AP1549" s="25"/>
      <c r="AQ1549" s="25"/>
      <c r="AR1549" s="25"/>
      <c r="AS1549" s="25"/>
      <c r="AT1549" s="25"/>
      <c r="AU1549" s="25"/>
      <c r="AV1549" s="25"/>
      <c r="AW1549" s="25"/>
      <c r="AX1549" s="25"/>
      <c r="AY1549" s="25"/>
      <c r="AZ1549" s="25"/>
      <c r="BA1549" s="25"/>
      <c r="BB1549" s="25"/>
      <c r="BC1549" s="25"/>
      <c r="BD1549" s="25"/>
      <c r="BE1549" s="25"/>
      <c r="BF1549" s="25"/>
      <c r="BG1549" s="25"/>
      <c r="BH1549" s="25"/>
      <c r="BI1549" s="25"/>
      <c r="BJ1549" s="25"/>
      <c r="BK1549" s="25"/>
      <c r="BL1549" s="25"/>
      <c r="BM1549" s="25"/>
      <c r="BN1549" s="25"/>
      <c r="BO1549" s="25"/>
      <c r="BP1549" s="25"/>
      <c r="BQ1549" s="25"/>
      <c r="BR1549" s="25"/>
      <c r="BS1549" s="25"/>
      <c r="BT1549" s="25"/>
      <c r="BU1549" s="25"/>
      <c r="BV1549" s="25"/>
      <c r="BW1549" s="25"/>
      <c r="BX1549" s="25"/>
      <c r="BY1549" s="25"/>
      <c r="BZ1549" s="25"/>
      <c r="CA1549" s="25"/>
      <c r="CB1549" s="25"/>
    </row>
    <row r="1550" spans="1:80" ht="12.75" hidden="1" customHeight="1">
      <c r="A1550" s="10">
        <f ca="1">IFERROR(__xludf.DUMMYFUNCTION("""COMPUTED_VALUE"""),2022)</f>
        <v>2022</v>
      </c>
      <c r="B1550" s="50">
        <f ca="1">IFERROR(__xludf.DUMMYFUNCTION("""COMPUTED_VALUE"""),44576)</f>
        <v>44576</v>
      </c>
      <c r="C1550" s="41"/>
      <c r="D1550" s="42" t="str">
        <f ca="1">IFERROR(__xludf.DUMMYFUNCTION("""COMPUTED_VALUE"""),"Bean Goose [Tundra]")</f>
        <v>Bean Goose [Tundra]</v>
      </c>
      <c r="E1550" s="53">
        <f ca="1">IFERROR(__xludf.DUMMYFUNCTION("""COMPUTED_VALUE"""),1)</f>
        <v>1</v>
      </c>
      <c r="F1550" s="15"/>
      <c r="G1550" s="44" t="str">
        <f ca="1">IFERROR(__xludf.DUMMYFUNCTION("""COMPUTED_VALUE"""),"Hale")</f>
        <v>Hale</v>
      </c>
      <c r="H1550" s="12">
        <f ca="1">IFERROR(__xludf.DUMMYFUNCTION("""COMPUTED_VALUE"""),44907)</f>
        <v>44907</v>
      </c>
      <c r="I1550" s="13"/>
      <c r="J1550" s="14"/>
      <c r="K1550" s="15"/>
      <c r="L1550" s="17" t="str">
        <f ca="1">IFERROR(__xludf.DUMMYFUNCTION("""COMPUTED_VALUE"""),"limbo")</f>
        <v>limbo</v>
      </c>
      <c r="M1550" s="17"/>
      <c r="N1550" s="15" t="str">
        <f ca="1">IFERROR(__xludf.DUMMYFUNCTION("""COMPUTED_VALUE"""),"not submitted")</f>
        <v>not submitted</v>
      </c>
      <c r="O1550" s="18" t="str">
        <f ca="1">IFERROR(__xludf.DUMMYFUNCTION("""COMPUTED_VALUE"""),"Finder known")</f>
        <v>Finder known</v>
      </c>
      <c r="P1550" s="15"/>
      <c r="Q1550" s="15"/>
      <c r="R1550" s="15"/>
      <c r="S1550" s="15"/>
      <c r="T1550" s="15"/>
      <c r="U1550" s="15"/>
      <c r="V1550" s="15"/>
      <c r="W1550" s="15"/>
      <c r="X1550" s="15"/>
      <c r="Y1550" s="15"/>
      <c r="Z1550" s="15"/>
      <c r="AA1550" s="15"/>
      <c r="AB1550" s="15"/>
      <c r="AC1550" s="15"/>
      <c r="AD1550" s="15"/>
      <c r="AE1550" s="15"/>
      <c r="AF1550" s="15"/>
      <c r="AG1550" s="15"/>
      <c r="AH1550" s="15"/>
      <c r="AI1550" s="15"/>
      <c r="AJ1550" s="15"/>
      <c r="AK1550" s="15"/>
      <c r="AL1550" s="15"/>
      <c r="AM1550" s="15"/>
      <c r="AN1550" s="15"/>
      <c r="AO1550" s="15"/>
      <c r="AP1550" s="15"/>
      <c r="AQ1550" s="15"/>
      <c r="AR1550" s="15"/>
      <c r="AS1550" s="15"/>
      <c r="AT1550" s="15"/>
      <c r="AU1550" s="15"/>
      <c r="AV1550" s="15"/>
      <c r="AW1550" s="15"/>
      <c r="AX1550" s="15"/>
      <c r="AY1550" s="15"/>
      <c r="AZ1550" s="15"/>
      <c r="BA1550" s="15"/>
      <c r="BB1550" s="15"/>
      <c r="BC1550" s="15"/>
      <c r="BD1550" s="15"/>
      <c r="BE1550" s="15"/>
      <c r="BF1550" s="15"/>
      <c r="BG1550" s="15"/>
      <c r="BH1550" s="15"/>
      <c r="BI1550" s="15"/>
      <c r="BJ1550" s="15"/>
      <c r="BK1550" s="15"/>
      <c r="BL1550" s="15"/>
      <c r="BM1550" s="15"/>
      <c r="BN1550" s="15"/>
      <c r="BO1550" s="15"/>
      <c r="BP1550" s="15"/>
      <c r="BQ1550" s="15"/>
      <c r="BR1550" s="15"/>
      <c r="BS1550" s="15"/>
      <c r="BT1550" s="15"/>
      <c r="BU1550" s="15"/>
      <c r="BV1550" s="15"/>
      <c r="BW1550" s="15"/>
      <c r="BX1550" s="15"/>
      <c r="BY1550" s="15"/>
      <c r="BZ1550" s="15"/>
      <c r="CA1550" s="15"/>
      <c r="CB1550" s="15"/>
    </row>
    <row r="1551" spans="1:80" ht="12.75" hidden="1" customHeight="1">
      <c r="A1551" s="20">
        <f ca="1">IFERROR(__xludf.DUMMYFUNCTION("""COMPUTED_VALUE"""),2022)</f>
        <v>2022</v>
      </c>
      <c r="B1551" s="45"/>
      <c r="C1551" s="46"/>
      <c r="D1551" s="47" t="str">
        <f ca="1">IFERROR(__xludf.DUMMYFUNCTION("""COMPUTED_VALUE"""),"American Wigeon")</f>
        <v>American Wigeon</v>
      </c>
      <c r="E1551" s="52"/>
      <c r="F1551" s="25"/>
      <c r="G1551" s="48"/>
      <c r="H1551" s="22">
        <f ca="1">IFERROR(__xludf.DUMMYFUNCTION("""COMPUTED_VALUE"""),44683)</f>
        <v>44683</v>
      </c>
      <c r="I1551" s="23"/>
      <c r="J1551" s="24"/>
      <c r="K1551" s="25"/>
      <c r="L1551" s="27" t="str">
        <f ca="1">IFERROR(__xludf.DUMMYFUNCTION("""COMPUTED_VALUE"""),"limbo")</f>
        <v>limbo</v>
      </c>
      <c r="M1551" s="27"/>
      <c r="N1551" s="25" t="str">
        <f ca="1">IFERROR(__xludf.DUMMYFUNCTION("""COMPUTED_VALUE"""),"not submitted")</f>
        <v>not submitted</v>
      </c>
      <c r="O1551" s="28"/>
      <c r="P1551" s="25"/>
      <c r="Q1551" s="25"/>
      <c r="R1551" s="25"/>
      <c r="S1551" s="25"/>
      <c r="T1551" s="25"/>
      <c r="U1551" s="25"/>
      <c r="V1551" s="25"/>
      <c r="W1551" s="25"/>
      <c r="X1551" s="25"/>
      <c r="Y1551" s="25"/>
      <c r="Z1551" s="25"/>
      <c r="AA1551" s="25"/>
      <c r="AB1551" s="25"/>
      <c r="AC1551" s="25"/>
      <c r="AD1551" s="25"/>
      <c r="AE1551" s="25"/>
      <c r="AF1551" s="25"/>
      <c r="AG1551" s="25"/>
      <c r="AH1551" s="25"/>
      <c r="AI1551" s="25"/>
      <c r="AJ1551" s="25"/>
      <c r="AK1551" s="25"/>
      <c r="AL1551" s="25"/>
      <c r="AM1551" s="25"/>
      <c r="AN1551" s="25"/>
      <c r="AO1551" s="25"/>
      <c r="AP1551" s="25"/>
      <c r="AQ1551" s="25"/>
      <c r="AR1551" s="25"/>
      <c r="AS1551" s="25"/>
      <c r="AT1551" s="25"/>
      <c r="AU1551" s="25"/>
      <c r="AV1551" s="25"/>
      <c r="AW1551" s="25"/>
      <c r="AX1551" s="25"/>
      <c r="AY1551" s="25"/>
      <c r="AZ1551" s="25"/>
      <c r="BA1551" s="25"/>
      <c r="BB1551" s="25"/>
      <c r="BC1551" s="25"/>
      <c r="BD1551" s="25"/>
      <c r="BE1551" s="25"/>
      <c r="BF1551" s="25"/>
      <c r="BG1551" s="25"/>
      <c r="BH1551" s="25"/>
      <c r="BI1551" s="25"/>
      <c r="BJ1551" s="25"/>
      <c r="BK1551" s="25"/>
      <c r="BL1551" s="25"/>
      <c r="BM1551" s="25"/>
      <c r="BN1551" s="25"/>
      <c r="BO1551" s="25"/>
      <c r="BP1551" s="25"/>
      <c r="BQ1551" s="25"/>
      <c r="BR1551" s="25"/>
      <c r="BS1551" s="25"/>
      <c r="BT1551" s="25"/>
      <c r="BU1551" s="25"/>
      <c r="BV1551" s="25"/>
      <c r="BW1551" s="25"/>
      <c r="BX1551" s="25"/>
      <c r="BY1551" s="25"/>
      <c r="BZ1551" s="25"/>
      <c r="CA1551" s="25"/>
      <c r="CB1551" s="25"/>
    </row>
    <row r="1552" spans="1:80" ht="12.75" hidden="1" customHeight="1">
      <c r="A1552" s="10">
        <f ca="1">IFERROR(__xludf.DUMMYFUNCTION("""COMPUTED_VALUE"""),2022)</f>
        <v>2022</v>
      </c>
      <c r="B1552" s="50">
        <f ca="1">IFERROR(__xludf.DUMMYFUNCTION("""COMPUTED_VALUE"""),44685)</f>
        <v>44685</v>
      </c>
      <c r="C1552" s="41"/>
      <c r="D1552" s="42" t="str">
        <f ca="1">IFERROR(__xludf.DUMMYFUNCTION("""COMPUTED_VALUE"""),"Ferruginous Duck")</f>
        <v>Ferruginous Duck</v>
      </c>
      <c r="E1552" s="53">
        <f ca="1">IFERROR(__xludf.DUMMYFUNCTION("""COMPUTED_VALUE"""),1)</f>
        <v>1</v>
      </c>
      <c r="F1552" s="15" t="str">
        <f ca="1">IFERROR(__xludf.DUMMYFUNCTION("""COMPUTED_VALUE"""),"fem")</f>
        <v>fem</v>
      </c>
      <c r="G1552" s="44" t="str">
        <f ca="1">IFERROR(__xludf.DUMMYFUNCTION("""COMPUTED_VALUE"""),"Woolston Eyes")</f>
        <v>Woolston Eyes</v>
      </c>
      <c r="H1552" s="12">
        <f ca="1">IFERROR(__xludf.DUMMYFUNCTION("""COMPUTED_VALUE"""),44681)</f>
        <v>44681</v>
      </c>
      <c r="I1552" s="12">
        <f ca="1">IFERROR(__xludf.DUMMYFUNCTION("""COMPUTED_VALUE"""),44681)</f>
        <v>44681</v>
      </c>
      <c r="J1552" s="14"/>
      <c r="K1552" s="15"/>
      <c r="L1552" s="17" t="str">
        <f ca="1">IFERROR(__xludf.DUMMYFUNCTION("""COMPUTED_VALUE"""),"open")</f>
        <v>open</v>
      </c>
      <c r="M1552" s="17"/>
      <c r="N1552" s="15" t="str">
        <f ca="1">IFERROR(__xludf.DUMMYFUNCTION("""COMPUTED_VALUE"""),"BBRC ")</f>
        <v xml:space="preserve">BBRC </v>
      </c>
      <c r="O1552" s="18" t="str">
        <f ca="1">IFERROR(__xludf.DUMMYFUNCTION("""COMPUTED_VALUE"""),"Finder will submit to BBRC")</f>
        <v>Finder will submit to BBRC</v>
      </c>
      <c r="P1552" s="15"/>
      <c r="Q1552" s="15"/>
      <c r="R1552" s="15"/>
      <c r="S1552" s="15"/>
      <c r="T1552" s="15"/>
      <c r="U1552" s="15"/>
      <c r="V1552" s="15"/>
      <c r="W1552" s="15"/>
      <c r="X1552" s="15"/>
      <c r="Y1552" s="15"/>
      <c r="Z1552" s="15"/>
      <c r="AA1552" s="15"/>
      <c r="AB1552" s="15"/>
      <c r="AC1552" s="15"/>
      <c r="AD1552" s="15"/>
      <c r="AE1552" s="15"/>
      <c r="AF1552" s="15"/>
      <c r="AG1552" s="15"/>
      <c r="AH1552" s="15"/>
      <c r="AI1552" s="15"/>
      <c r="AJ1552" s="15"/>
      <c r="AK1552" s="15"/>
      <c r="AL1552" s="15"/>
      <c r="AM1552" s="15"/>
      <c r="AN1552" s="15"/>
      <c r="AO1552" s="15"/>
      <c r="AP1552" s="15"/>
      <c r="AQ1552" s="15"/>
      <c r="AR1552" s="15"/>
      <c r="AS1552" s="15"/>
      <c r="AT1552" s="15"/>
      <c r="AU1552" s="15"/>
      <c r="AV1552" s="15"/>
      <c r="AW1552" s="15"/>
      <c r="AX1552" s="15"/>
      <c r="AY1552" s="15"/>
      <c r="AZ1552" s="15"/>
      <c r="BA1552" s="15"/>
      <c r="BB1552" s="15"/>
      <c r="BC1552" s="15"/>
      <c r="BD1552" s="15"/>
      <c r="BE1552" s="15"/>
      <c r="BF1552" s="15"/>
      <c r="BG1552" s="15"/>
      <c r="BH1552" s="15"/>
      <c r="BI1552" s="15"/>
      <c r="BJ1552" s="15"/>
      <c r="BK1552" s="15"/>
      <c r="BL1552" s="15"/>
      <c r="BM1552" s="15"/>
      <c r="BN1552" s="15"/>
      <c r="BO1552" s="15"/>
      <c r="BP1552" s="15"/>
      <c r="BQ1552" s="15"/>
      <c r="BR1552" s="15"/>
      <c r="BS1552" s="15"/>
      <c r="BT1552" s="15"/>
      <c r="BU1552" s="15"/>
      <c r="BV1552" s="15"/>
      <c r="BW1552" s="15"/>
      <c r="BX1552" s="15"/>
      <c r="BY1552" s="15"/>
      <c r="BZ1552" s="15"/>
      <c r="CA1552" s="15"/>
      <c r="CB1552" s="15"/>
    </row>
    <row r="1553" spans="1:80" ht="12.75" hidden="1" customHeight="1">
      <c r="A1553" s="20">
        <f ca="1">IFERROR(__xludf.DUMMYFUNCTION("""COMPUTED_VALUE"""),2022)</f>
        <v>2022</v>
      </c>
      <c r="B1553" s="45">
        <f ca="1">IFERROR(__xludf.DUMMYFUNCTION("""COMPUTED_VALUE"""),44685)</f>
        <v>44685</v>
      </c>
      <c r="C1553" s="46"/>
      <c r="D1553" s="47" t="str">
        <f ca="1">IFERROR(__xludf.DUMMYFUNCTION("""COMPUTED_VALUE"""),"Ring-necked Duck")</f>
        <v>Ring-necked Duck</v>
      </c>
      <c r="E1553" s="52" t="str">
        <f ca="1">IFERROR(__xludf.DUMMYFUNCTION("""COMPUTED_VALUE"""),"1-2")</f>
        <v>1-2</v>
      </c>
      <c r="F1553" s="25" t="str">
        <f ca="1">IFERROR(__xludf.DUMMYFUNCTION("""COMPUTED_VALUE"""),"f &amp; m")</f>
        <v>f &amp; m</v>
      </c>
      <c r="G1553" s="48" t="str">
        <f ca="1">IFERROR(__xludf.DUMMYFUNCTION("""COMPUTED_VALUE"""),"Acre Nook Sand Quarry")</f>
        <v>Acre Nook Sand Quarry</v>
      </c>
      <c r="H1553" s="22">
        <f ca="1">IFERROR(__xludf.DUMMYFUNCTION("""COMPUTED_VALUE"""),44648)</f>
        <v>44648</v>
      </c>
      <c r="I1553" s="22">
        <f ca="1">IFERROR(__xludf.DUMMYFUNCTION("""COMPUTED_VALUE"""),44678)</f>
        <v>44678</v>
      </c>
      <c r="J1553" s="24" t="str">
        <f ca="1">IFERROR(__xludf.DUMMYFUNCTION("""COMPUTED_VALUE"""),"Barber, S&amp;G")</f>
        <v>Barber, S&amp;G</v>
      </c>
      <c r="K1553" s="25" t="str">
        <f ca="1">IFERROR(__xludf.DUMMYFUNCTION("""COMPUTED_VALUE"""),"Barber, S&amp;G")</f>
        <v>Barber, S&amp;G</v>
      </c>
      <c r="L1553" s="27" t="str">
        <f ca="1">IFERROR(__xludf.DUMMYFUNCTION("""COMPUTED_VALUE"""),"closed")</f>
        <v>closed</v>
      </c>
      <c r="M1553" s="27" t="str">
        <f ca="1">IFERROR(__xludf.DUMMYFUNCTION("""COMPUTED_VALUE"""),"photo")</f>
        <v>photo</v>
      </c>
      <c r="N1553" s="25" t="str">
        <f ca="1">IFERROR(__xludf.DUMMYFUNCTION("""COMPUTED_VALUE"""),"Accepted w/o circ")</f>
        <v>Accepted w/o circ</v>
      </c>
      <c r="O1553" s="28" t="str">
        <f ca="1">IFERROR(__xludf.DUMMYFUNCTION("""COMPUTED_VALUE"""),"Multi-observed, photos male joined April 14th")</f>
        <v>Multi-observed, photos male joined April 14th</v>
      </c>
      <c r="P1553" s="25"/>
      <c r="Q1553" s="25"/>
      <c r="R1553" s="25"/>
      <c r="S1553" s="25"/>
      <c r="T1553" s="25"/>
      <c r="U1553" s="25"/>
      <c r="V1553" s="25"/>
      <c r="W1553" s="25"/>
      <c r="X1553" s="25"/>
      <c r="Y1553" s="25"/>
      <c r="Z1553" s="25"/>
      <c r="AA1553" s="25"/>
      <c r="AB1553" s="25"/>
      <c r="AC1553" s="25"/>
      <c r="AD1553" s="25"/>
      <c r="AE1553" s="25"/>
      <c r="AF1553" s="25"/>
      <c r="AG1553" s="25"/>
      <c r="AH1553" s="25"/>
      <c r="AI1553" s="25"/>
      <c r="AJ1553" s="25"/>
      <c r="AK1553" s="25"/>
      <c r="AL1553" s="25"/>
      <c r="AM1553" s="25"/>
      <c r="AN1553" s="25"/>
      <c r="AO1553" s="25"/>
      <c r="AP1553" s="25"/>
      <c r="AQ1553" s="25"/>
      <c r="AR1553" s="25"/>
      <c r="AS1553" s="25"/>
      <c r="AT1553" s="25"/>
      <c r="AU1553" s="25"/>
      <c r="AV1553" s="25"/>
      <c r="AW1553" s="25"/>
      <c r="AX1553" s="25"/>
      <c r="AY1553" s="25"/>
      <c r="AZ1553" s="25"/>
      <c r="BA1553" s="25"/>
      <c r="BB1553" s="25"/>
      <c r="BC1553" s="25"/>
      <c r="BD1553" s="25"/>
      <c r="BE1553" s="25"/>
      <c r="BF1553" s="25"/>
      <c r="BG1553" s="25"/>
      <c r="BH1553" s="25"/>
      <c r="BI1553" s="25"/>
      <c r="BJ1553" s="25"/>
      <c r="BK1553" s="25"/>
      <c r="BL1553" s="25"/>
      <c r="BM1553" s="25"/>
      <c r="BN1553" s="25"/>
      <c r="BO1553" s="25"/>
      <c r="BP1553" s="25"/>
      <c r="BQ1553" s="25"/>
      <c r="BR1553" s="25"/>
      <c r="BS1553" s="25"/>
      <c r="BT1553" s="25"/>
      <c r="BU1553" s="25"/>
      <c r="BV1553" s="25"/>
      <c r="BW1553" s="25"/>
      <c r="BX1553" s="25"/>
      <c r="BY1553" s="25"/>
      <c r="BZ1553" s="25"/>
      <c r="CA1553" s="25"/>
      <c r="CB1553" s="25"/>
    </row>
    <row r="1554" spans="1:80" ht="12.75" hidden="1" customHeight="1">
      <c r="A1554" s="10">
        <f ca="1">IFERROR(__xludf.DUMMYFUNCTION("""COMPUTED_VALUE"""),2022)</f>
        <v>2022</v>
      </c>
      <c r="B1554" s="50">
        <f ca="1">IFERROR(__xludf.DUMMYFUNCTION("""COMPUTED_VALUE"""),44685)</f>
        <v>44685</v>
      </c>
      <c r="C1554" s="41"/>
      <c r="D1554" s="42" t="str">
        <f ca="1">IFERROR(__xludf.DUMMYFUNCTION("""COMPUTED_VALUE"""),"Purple Heron")</f>
        <v>Purple Heron</v>
      </c>
      <c r="E1554" s="53">
        <f ca="1">IFERROR(__xludf.DUMMYFUNCTION("""COMPUTED_VALUE"""),1)</f>
        <v>1</v>
      </c>
      <c r="F1554" s="15"/>
      <c r="G1554" s="44" t="str">
        <f ca="1">IFERROR(__xludf.DUMMYFUNCTION("""COMPUTED_VALUE"""),"Gowy Meadows")</f>
        <v>Gowy Meadows</v>
      </c>
      <c r="H1554" s="12">
        <f ca="1">IFERROR(__xludf.DUMMYFUNCTION("""COMPUTED_VALUE"""),44677)</f>
        <v>44677</v>
      </c>
      <c r="I1554" s="13"/>
      <c r="J1554" s="14"/>
      <c r="K1554" s="15"/>
      <c r="L1554" s="17" t="str">
        <f ca="1">IFERROR(__xludf.DUMMYFUNCTION("""COMPUTED_VALUE"""),"limbo")</f>
        <v>limbo</v>
      </c>
      <c r="M1554" s="17"/>
      <c r="N1554" s="15" t="str">
        <f ca="1">IFERROR(__xludf.DUMMYFUNCTION("""COMPUTED_VALUE"""),"not submitted")</f>
        <v>not submitted</v>
      </c>
      <c r="O1554" s="18" t="str">
        <f ca="1">IFERROR(__xludf.DUMMYFUNCTION("""COMPUTED_VALUE"""),"Finder known, fly over")</f>
        <v>Finder known, fly over</v>
      </c>
      <c r="P1554" s="15"/>
      <c r="Q1554" s="15"/>
      <c r="R1554" s="15"/>
      <c r="S1554" s="15"/>
      <c r="T1554" s="15"/>
      <c r="U1554" s="15"/>
      <c r="V1554" s="15"/>
      <c r="W1554" s="15"/>
      <c r="X1554" s="15"/>
      <c r="Y1554" s="15"/>
      <c r="Z1554" s="15"/>
      <c r="AA1554" s="15"/>
      <c r="AB1554" s="15"/>
      <c r="AC1554" s="15"/>
      <c r="AD1554" s="15"/>
      <c r="AE1554" s="15"/>
      <c r="AF1554" s="15"/>
      <c r="AG1554" s="15"/>
      <c r="AH1554" s="15"/>
      <c r="AI1554" s="15"/>
      <c r="AJ1554" s="15"/>
      <c r="AK1554" s="15"/>
      <c r="AL1554" s="15"/>
      <c r="AM1554" s="15"/>
      <c r="AN1554" s="15"/>
      <c r="AO1554" s="15"/>
      <c r="AP1554" s="15"/>
      <c r="AQ1554" s="15"/>
      <c r="AR1554" s="15"/>
      <c r="AS1554" s="15"/>
      <c r="AT1554" s="15"/>
      <c r="AU1554" s="15"/>
      <c r="AV1554" s="15"/>
      <c r="AW1554" s="15"/>
      <c r="AX1554" s="15"/>
      <c r="AY1554" s="15"/>
      <c r="AZ1554" s="15"/>
      <c r="BA1554" s="15"/>
      <c r="BB1554" s="15"/>
      <c r="BC1554" s="15"/>
      <c r="BD1554" s="15"/>
      <c r="BE1554" s="15"/>
      <c r="BF1554" s="15"/>
      <c r="BG1554" s="15"/>
      <c r="BH1554" s="15"/>
      <c r="BI1554" s="15"/>
      <c r="BJ1554" s="15"/>
      <c r="BK1554" s="15"/>
      <c r="BL1554" s="15"/>
      <c r="BM1554" s="15"/>
      <c r="BN1554" s="15"/>
      <c r="BO1554" s="15"/>
      <c r="BP1554" s="15"/>
      <c r="BQ1554" s="15"/>
      <c r="BR1554" s="15"/>
      <c r="BS1554" s="15"/>
      <c r="BT1554" s="15"/>
      <c r="BU1554" s="15"/>
      <c r="BV1554" s="15"/>
      <c r="BW1554" s="15"/>
      <c r="BX1554" s="15"/>
      <c r="BY1554" s="15"/>
      <c r="BZ1554" s="15"/>
      <c r="CA1554" s="15"/>
      <c r="CB1554" s="15"/>
    </row>
    <row r="1555" spans="1:80" ht="12.75" hidden="1" customHeight="1">
      <c r="A1555" s="20">
        <f ca="1">IFERROR(__xludf.DUMMYFUNCTION("""COMPUTED_VALUE"""),2022)</f>
        <v>2022</v>
      </c>
      <c r="B1555" s="45">
        <f ca="1">IFERROR(__xludf.DUMMYFUNCTION("""COMPUTED_VALUE"""),44727)</f>
        <v>44727</v>
      </c>
      <c r="C1555" s="46"/>
      <c r="D1555" s="47" t="str">
        <f ca="1">IFERROR(__xludf.DUMMYFUNCTION("""COMPUTED_VALUE"""),"White Stork")</f>
        <v>White Stork</v>
      </c>
      <c r="E1555" s="52">
        <f ca="1">IFERROR(__xludf.DUMMYFUNCTION("""COMPUTED_VALUE"""),3)</f>
        <v>3</v>
      </c>
      <c r="F1555" s="25"/>
      <c r="G1555" s="48" t="str">
        <f ca="1">IFERROR(__xludf.DUMMYFUNCTION("""COMPUTED_VALUE"""),"Arley")</f>
        <v>Arley</v>
      </c>
      <c r="H1555" s="22">
        <f ca="1">IFERROR(__xludf.DUMMYFUNCTION("""COMPUTED_VALUE"""),44754)</f>
        <v>44754</v>
      </c>
      <c r="I1555" s="23"/>
      <c r="J1555" s="24"/>
      <c r="K1555" s="25"/>
      <c r="L1555" s="27" t="str">
        <f ca="1">IFERROR(__xludf.DUMMYFUNCTION("""COMPUTED_VALUE"""),"limbo")</f>
        <v>limbo</v>
      </c>
      <c r="M1555" s="27"/>
      <c r="N1555" s="25" t="str">
        <f ca="1">IFERROR(__xludf.DUMMYFUNCTION("""COMPUTED_VALUE"""),"not submitted")</f>
        <v>not submitted</v>
      </c>
      <c r="O1555" s="28"/>
      <c r="P1555" s="25"/>
      <c r="Q1555" s="25"/>
      <c r="R1555" s="25"/>
      <c r="S1555" s="25"/>
      <c r="T1555" s="25"/>
      <c r="U1555" s="25"/>
      <c r="V1555" s="25"/>
      <c r="W1555" s="25"/>
      <c r="X1555" s="25"/>
      <c r="Y1555" s="25"/>
      <c r="Z1555" s="25"/>
      <c r="AA1555" s="25"/>
      <c r="AB1555" s="25"/>
      <c r="AC1555" s="25"/>
      <c r="AD1555" s="25"/>
      <c r="AE1555" s="25"/>
      <c r="AF1555" s="25"/>
      <c r="AG1555" s="25"/>
      <c r="AH1555" s="25"/>
      <c r="AI1555" s="25"/>
      <c r="AJ1555" s="25"/>
      <c r="AK1555" s="25"/>
      <c r="AL1555" s="25"/>
      <c r="AM1555" s="25"/>
      <c r="AN1555" s="25"/>
      <c r="AO1555" s="25"/>
      <c r="AP1555" s="25"/>
      <c r="AQ1555" s="25"/>
      <c r="AR1555" s="25"/>
      <c r="AS1555" s="25"/>
      <c r="AT1555" s="25"/>
      <c r="AU1555" s="25"/>
      <c r="AV1555" s="25"/>
      <c r="AW1555" s="25"/>
      <c r="AX1555" s="25"/>
      <c r="AY1555" s="25"/>
      <c r="AZ1555" s="25"/>
      <c r="BA1555" s="25"/>
      <c r="BB1555" s="25"/>
      <c r="BC1555" s="25"/>
      <c r="BD1555" s="25"/>
      <c r="BE1555" s="25"/>
      <c r="BF1555" s="25"/>
      <c r="BG1555" s="25"/>
      <c r="BH1555" s="25"/>
      <c r="BI1555" s="25"/>
      <c r="BJ1555" s="25"/>
      <c r="BK1555" s="25"/>
      <c r="BL1555" s="25"/>
      <c r="BM1555" s="25"/>
      <c r="BN1555" s="25"/>
      <c r="BO1555" s="25"/>
      <c r="BP1555" s="25"/>
      <c r="BQ1555" s="25"/>
      <c r="BR1555" s="25"/>
      <c r="BS1555" s="25"/>
      <c r="BT1555" s="25"/>
      <c r="BU1555" s="25"/>
      <c r="BV1555" s="25"/>
      <c r="BW1555" s="25"/>
      <c r="BX1555" s="25"/>
      <c r="BY1555" s="25"/>
      <c r="BZ1555" s="25"/>
      <c r="CA1555" s="25"/>
      <c r="CB1555" s="25"/>
    </row>
    <row r="1556" spans="1:80" ht="12.75" hidden="1" customHeight="1">
      <c r="A1556" s="10">
        <f ca="1">IFERROR(__xludf.DUMMYFUNCTION("""COMPUTED_VALUE"""),2022)</f>
        <v>2022</v>
      </c>
      <c r="B1556" s="50">
        <f ca="1">IFERROR(__xludf.DUMMYFUNCTION("""COMPUTED_VALUE"""),44727)</f>
        <v>44727</v>
      </c>
      <c r="C1556" s="41"/>
      <c r="D1556" s="42" t="str">
        <f ca="1">IFERROR(__xludf.DUMMYFUNCTION("""COMPUTED_VALUE"""),"White Stork")</f>
        <v>White Stork</v>
      </c>
      <c r="E1556" s="53">
        <f ca="1">IFERROR(__xludf.DUMMYFUNCTION("""COMPUTED_VALUE"""),1)</f>
        <v>1</v>
      </c>
      <c r="F1556" s="15"/>
      <c r="G1556" s="44" t="str">
        <f ca="1">IFERROR(__xludf.DUMMYFUNCTION("""COMPUTED_VALUE"""),"Rixton")</f>
        <v>Rixton</v>
      </c>
      <c r="H1556" s="12">
        <f ca="1">IFERROR(__xludf.DUMMYFUNCTION("""COMPUTED_VALUE"""),44754)</f>
        <v>44754</v>
      </c>
      <c r="I1556" s="13"/>
      <c r="J1556" s="14"/>
      <c r="K1556" s="15"/>
      <c r="L1556" s="17" t="str">
        <f ca="1">IFERROR(__xludf.DUMMYFUNCTION("""COMPUTED_VALUE"""),"closed")</f>
        <v>closed</v>
      </c>
      <c r="M1556" s="17"/>
      <c r="N1556" s="15" t="str">
        <f ca="1">IFERROR(__xludf.DUMMYFUNCTION("""COMPUTED_VALUE"""),"description not needed")</f>
        <v>description not needed</v>
      </c>
      <c r="O1556" s="18" t="str">
        <f ca="1">IFERROR(__xludf.DUMMYFUNCTION("""COMPUTED_VALUE"""),"presumed Feral")</f>
        <v>presumed Feral</v>
      </c>
      <c r="P1556" s="15"/>
      <c r="Q1556" s="15"/>
      <c r="R1556" s="15"/>
      <c r="S1556" s="15"/>
      <c r="T1556" s="15"/>
      <c r="U1556" s="15"/>
      <c r="V1556" s="15"/>
      <c r="W1556" s="15"/>
      <c r="X1556" s="15"/>
      <c r="Y1556" s="15"/>
      <c r="Z1556" s="15"/>
      <c r="AA1556" s="15"/>
      <c r="AB1556" s="15"/>
      <c r="AC1556" s="15"/>
      <c r="AD1556" s="15"/>
      <c r="AE1556" s="15"/>
      <c r="AF1556" s="15"/>
      <c r="AG1556" s="15"/>
      <c r="AH1556" s="15"/>
      <c r="AI1556" s="15"/>
      <c r="AJ1556" s="15"/>
      <c r="AK1556" s="15"/>
      <c r="AL1556" s="15"/>
      <c r="AM1556" s="15"/>
      <c r="AN1556" s="15"/>
      <c r="AO1556" s="15"/>
      <c r="AP1556" s="15"/>
      <c r="AQ1556" s="15"/>
      <c r="AR1556" s="15"/>
      <c r="AS1556" s="15"/>
      <c r="AT1556" s="15"/>
      <c r="AU1556" s="15"/>
      <c r="AV1556" s="15"/>
      <c r="AW1556" s="15"/>
      <c r="AX1556" s="15"/>
      <c r="AY1556" s="15"/>
      <c r="AZ1556" s="15"/>
      <c r="BA1556" s="15"/>
      <c r="BB1556" s="15"/>
      <c r="BC1556" s="15"/>
      <c r="BD1556" s="15"/>
      <c r="BE1556" s="15"/>
      <c r="BF1556" s="15"/>
      <c r="BG1556" s="15"/>
      <c r="BH1556" s="15"/>
      <c r="BI1556" s="15"/>
      <c r="BJ1556" s="15"/>
      <c r="BK1556" s="15"/>
      <c r="BL1556" s="15"/>
      <c r="BM1556" s="15"/>
      <c r="BN1556" s="15"/>
      <c r="BO1556" s="15"/>
      <c r="BP1556" s="15"/>
      <c r="BQ1556" s="15"/>
      <c r="BR1556" s="15"/>
      <c r="BS1556" s="15"/>
      <c r="BT1556" s="15"/>
      <c r="BU1556" s="15"/>
      <c r="BV1556" s="15"/>
      <c r="BW1556" s="15"/>
      <c r="BX1556" s="15"/>
      <c r="BY1556" s="15"/>
      <c r="BZ1556" s="15"/>
      <c r="CA1556" s="15"/>
      <c r="CB1556" s="15"/>
    </row>
    <row r="1557" spans="1:80" ht="12.75" hidden="1" customHeight="1">
      <c r="A1557" s="20">
        <f ca="1">IFERROR(__xludf.DUMMYFUNCTION("""COMPUTED_VALUE"""),2022)</f>
        <v>2022</v>
      </c>
      <c r="B1557" s="45">
        <f ca="1">IFERROR(__xludf.DUMMYFUNCTION("""COMPUTED_VALUE"""),44685)</f>
        <v>44685</v>
      </c>
      <c r="C1557" s="46">
        <f ca="1">IFERROR(__xludf.DUMMYFUNCTION("""COMPUTED_VALUE"""),44816)</f>
        <v>44816</v>
      </c>
      <c r="D1557" s="47" t="str">
        <f ca="1">IFERROR(__xludf.DUMMYFUNCTION("""COMPUTED_VALUE"""),"Black Kite")</f>
        <v>Black Kite</v>
      </c>
      <c r="E1557" s="52">
        <f ca="1">IFERROR(__xludf.DUMMYFUNCTION("""COMPUTED_VALUE"""),1)</f>
        <v>1</v>
      </c>
      <c r="F1557" s="25"/>
      <c r="G1557" s="48" t="str">
        <f ca="1">IFERROR(__xludf.DUMMYFUNCTION("""COMPUTED_VALUE"""),"Sandbach")</f>
        <v>Sandbach</v>
      </c>
      <c r="H1557" s="22">
        <f ca="1">IFERROR(__xludf.DUMMYFUNCTION("""COMPUTED_VALUE"""),44672)</f>
        <v>44672</v>
      </c>
      <c r="I1557" s="23"/>
      <c r="J1557" s="24" t="str">
        <f ca="1">IFERROR(__xludf.DUMMYFUNCTION("""COMPUTED_VALUE"""),"Goodwin, A")</f>
        <v>Goodwin, A</v>
      </c>
      <c r="K1557" s="25" t="str">
        <f ca="1">IFERROR(__xludf.DUMMYFUNCTION("""COMPUTED_VALUE"""),"Goodwin, A")</f>
        <v>Goodwin, A</v>
      </c>
      <c r="L1557" s="27" t="str">
        <f ca="1">IFERROR(__xludf.DUMMYFUNCTION("""COMPUTED_VALUE"""),"closed")</f>
        <v>closed</v>
      </c>
      <c r="M1557" s="27" t="str">
        <f ca="1">IFERROR(__xludf.DUMMYFUNCTION("""COMPUTED_VALUE"""),"1st U")</f>
        <v>1st U</v>
      </c>
      <c r="N1557" s="25" t="str">
        <f ca="1">IFERROR(__xludf.DUMMYFUNCTION("""COMPUTED_VALUE"""),"Accepted ")</f>
        <v xml:space="preserve">Accepted </v>
      </c>
      <c r="O1557" s="28"/>
      <c r="P1557" s="25"/>
      <c r="Q1557" s="25"/>
      <c r="R1557" s="25"/>
      <c r="S1557" s="25"/>
      <c r="T1557" s="25"/>
      <c r="U1557" s="25"/>
      <c r="V1557" s="25"/>
      <c r="W1557" s="25"/>
      <c r="X1557" s="25"/>
      <c r="Y1557" s="25"/>
      <c r="Z1557" s="25"/>
      <c r="AA1557" s="25"/>
      <c r="AB1557" s="25"/>
      <c r="AC1557" s="25"/>
      <c r="AD1557" s="25"/>
      <c r="AE1557" s="25"/>
      <c r="AF1557" s="25"/>
      <c r="AG1557" s="25"/>
      <c r="AH1557" s="25"/>
      <c r="AI1557" s="25"/>
      <c r="AJ1557" s="25"/>
      <c r="AK1557" s="25"/>
      <c r="AL1557" s="25"/>
      <c r="AM1557" s="25"/>
      <c r="AN1557" s="25"/>
      <c r="AO1557" s="25"/>
      <c r="AP1557" s="25"/>
      <c r="AQ1557" s="25"/>
      <c r="AR1557" s="25"/>
      <c r="AS1557" s="25"/>
      <c r="AT1557" s="25"/>
      <c r="AU1557" s="25"/>
      <c r="AV1557" s="25"/>
      <c r="AW1557" s="25"/>
      <c r="AX1557" s="25"/>
      <c r="AY1557" s="25"/>
      <c r="AZ1557" s="25"/>
      <c r="BA1557" s="25"/>
      <c r="BB1557" s="25"/>
      <c r="BC1557" s="25"/>
      <c r="BD1557" s="25"/>
      <c r="BE1557" s="25"/>
      <c r="BF1557" s="25"/>
      <c r="BG1557" s="25"/>
      <c r="BH1557" s="25"/>
      <c r="BI1557" s="25"/>
      <c r="BJ1557" s="25"/>
      <c r="BK1557" s="25"/>
      <c r="BL1557" s="25"/>
      <c r="BM1557" s="25"/>
      <c r="BN1557" s="25"/>
      <c r="BO1557" s="25"/>
      <c r="BP1557" s="25"/>
      <c r="BQ1557" s="25"/>
      <c r="BR1557" s="25"/>
      <c r="BS1557" s="25"/>
      <c r="BT1557" s="25"/>
      <c r="BU1557" s="25"/>
      <c r="BV1557" s="25"/>
      <c r="BW1557" s="25"/>
      <c r="BX1557" s="25"/>
      <c r="BY1557" s="25"/>
      <c r="BZ1557" s="25"/>
      <c r="CA1557" s="25"/>
      <c r="CB1557" s="25"/>
    </row>
    <row r="1558" spans="1:80" ht="12.75" hidden="1" customHeight="1">
      <c r="A1558" s="10">
        <f ca="1">IFERROR(__xludf.DUMMYFUNCTION("""COMPUTED_VALUE"""),2022)</f>
        <v>2022</v>
      </c>
      <c r="B1558" s="50"/>
      <c r="C1558" s="41"/>
      <c r="D1558" s="42" t="str">
        <f ca="1">IFERROR(__xludf.DUMMYFUNCTION("""COMPUTED_VALUE"""),"Black Kite")</f>
        <v>Black Kite</v>
      </c>
      <c r="E1558" s="53">
        <f ca="1">IFERROR(__xludf.DUMMYFUNCTION("""COMPUTED_VALUE"""),1)</f>
        <v>1</v>
      </c>
      <c r="F1558" s="15"/>
      <c r="G1558" s="44" t="str">
        <f ca="1">IFERROR(__xludf.DUMMYFUNCTION("""COMPUTED_VALUE"""),"Burton Mere Wetlands")</f>
        <v>Burton Mere Wetlands</v>
      </c>
      <c r="H1558" s="12">
        <f ca="1">IFERROR(__xludf.DUMMYFUNCTION("""COMPUTED_VALUE"""),44681)</f>
        <v>44681</v>
      </c>
      <c r="I1558" s="13"/>
      <c r="J1558" s="14"/>
      <c r="K1558" s="15"/>
      <c r="L1558" s="17" t="str">
        <f ca="1">IFERROR(__xludf.DUMMYFUNCTION("""COMPUTED_VALUE"""),"limbo")</f>
        <v>limbo</v>
      </c>
      <c r="M1558" s="17"/>
      <c r="N1558" s="15" t="str">
        <f ca="1">IFERROR(__xludf.DUMMYFUNCTION("""COMPUTED_VALUE"""),"not submitted")</f>
        <v>not submitted</v>
      </c>
      <c r="O1558" s="18"/>
      <c r="P1558" s="15"/>
      <c r="Q1558" s="15"/>
      <c r="R1558" s="15"/>
      <c r="S1558" s="15"/>
      <c r="T1558" s="15"/>
      <c r="U1558" s="15"/>
      <c r="V1558" s="15"/>
      <c r="W1558" s="15"/>
      <c r="X1558" s="15"/>
      <c r="Y1558" s="15"/>
      <c r="Z1558" s="15"/>
      <c r="AA1558" s="15"/>
      <c r="AB1558" s="15"/>
      <c r="AC1558" s="15"/>
      <c r="AD1558" s="15"/>
      <c r="AE1558" s="15"/>
      <c r="AF1558" s="15"/>
      <c r="AG1558" s="15"/>
      <c r="AH1558" s="15"/>
      <c r="AI1558" s="15"/>
      <c r="AJ1558" s="15"/>
      <c r="AK1558" s="15"/>
      <c r="AL1558" s="15"/>
      <c r="AM1558" s="15"/>
      <c r="AN1558" s="15"/>
      <c r="AO1558" s="15"/>
      <c r="AP1558" s="15"/>
      <c r="AQ1558" s="15"/>
      <c r="AR1558" s="15"/>
      <c r="AS1558" s="15"/>
      <c r="AT1558" s="15"/>
      <c r="AU1558" s="15"/>
      <c r="AV1558" s="15"/>
      <c r="AW1558" s="15"/>
      <c r="AX1558" s="15"/>
      <c r="AY1558" s="15"/>
      <c r="AZ1558" s="15"/>
      <c r="BA1558" s="15"/>
      <c r="BB1558" s="15"/>
      <c r="BC1558" s="15"/>
      <c r="BD1558" s="15"/>
      <c r="BE1558" s="15"/>
      <c r="BF1558" s="15"/>
      <c r="BG1558" s="15"/>
      <c r="BH1558" s="15"/>
      <c r="BI1558" s="15"/>
      <c r="BJ1558" s="15"/>
      <c r="BK1558" s="15"/>
      <c r="BL1558" s="15"/>
      <c r="BM1558" s="15"/>
      <c r="BN1558" s="15"/>
      <c r="BO1558" s="15"/>
      <c r="BP1558" s="15"/>
      <c r="BQ1558" s="15"/>
      <c r="BR1558" s="15"/>
      <c r="BS1558" s="15"/>
      <c r="BT1558" s="15"/>
      <c r="BU1558" s="15"/>
      <c r="BV1558" s="15"/>
      <c r="BW1558" s="15"/>
      <c r="BX1558" s="15"/>
      <c r="BY1558" s="15"/>
      <c r="BZ1558" s="15"/>
      <c r="CA1558" s="15"/>
      <c r="CB1558" s="15"/>
    </row>
    <row r="1559" spans="1:80" ht="12.75" hidden="1" customHeight="1">
      <c r="A1559" s="20">
        <f ca="1">IFERROR(__xludf.DUMMYFUNCTION("""COMPUTED_VALUE"""),2022)</f>
        <v>2022</v>
      </c>
      <c r="B1559" s="45">
        <f ca="1">IFERROR(__xludf.DUMMYFUNCTION("""COMPUTED_VALUE"""),44710)</f>
        <v>44710</v>
      </c>
      <c r="C1559" s="46">
        <f ca="1">IFERROR(__xludf.DUMMYFUNCTION("""COMPUTED_VALUE"""),44710)</f>
        <v>44710</v>
      </c>
      <c r="D1559" s="47" t="str">
        <f ca="1">IFERROR(__xludf.DUMMYFUNCTION("""COMPUTED_VALUE"""),"Nightjar")</f>
        <v>Nightjar</v>
      </c>
      <c r="E1559" s="52">
        <f ca="1">IFERROR(__xludf.DUMMYFUNCTION("""COMPUTED_VALUE"""),1)</f>
        <v>1</v>
      </c>
      <c r="F1559" s="25" t="str">
        <f ca="1">IFERROR(__xludf.DUMMYFUNCTION("""COMPUTED_VALUE"""),"m")</f>
        <v>m</v>
      </c>
      <c r="G1559" s="48" t="str">
        <f ca="1">IFERROR(__xludf.DUMMYFUNCTION("""COMPUTED_VALUE"""),"Wirral [location witheld]")</f>
        <v>Wirral [location witheld]</v>
      </c>
      <c r="H1559" s="22">
        <f ca="1">IFERROR(__xludf.DUMMYFUNCTION("""COMPUTED_VALUE"""),44709)</f>
        <v>44709</v>
      </c>
      <c r="I1559" s="23"/>
      <c r="J1559" s="24"/>
      <c r="K1559" s="25"/>
      <c r="L1559" s="27" t="str">
        <f ca="1">IFERROR(__xludf.DUMMYFUNCTION("""COMPUTED_VALUE"""),"closed")</f>
        <v>closed</v>
      </c>
      <c r="M1559" s="27" t="str">
        <f ca="1">IFERROR(__xludf.DUMMYFUNCTION("""COMPUTED_VALUE"""),"1st U")</f>
        <v>1st U</v>
      </c>
      <c r="N1559" s="25" t="str">
        <f ca="1">IFERROR(__xludf.DUMMYFUNCTION("""COMPUTED_VALUE"""),"Accepted ")</f>
        <v xml:space="preserve">Accepted </v>
      </c>
      <c r="O1559" s="28" t="str">
        <f ca="1">IFERROR(__xludf.DUMMYFUNCTION("""COMPUTED_VALUE"""),"Churring male sound recorded")</f>
        <v>Churring male sound recorded</v>
      </c>
      <c r="P1559" s="25"/>
      <c r="Q1559" s="25"/>
      <c r="R1559" s="25"/>
      <c r="S1559" s="25"/>
      <c r="T1559" s="25"/>
      <c r="U1559" s="25"/>
      <c r="V1559" s="25"/>
      <c r="W1559" s="25"/>
      <c r="X1559" s="25"/>
      <c r="Y1559" s="25"/>
      <c r="Z1559" s="25"/>
      <c r="AA1559" s="25"/>
      <c r="AB1559" s="25"/>
      <c r="AC1559" s="25"/>
      <c r="AD1559" s="25"/>
      <c r="AE1559" s="25"/>
      <c r="AF1559" s="25"/>
      <c r="AG1559" s="25"/>
      <c r="AH1559" s="25"/>
      <c r="AI1559" s="25"/>
      <c r="AJ1559" s="25"/>
      <c r="AK1559" s="25"/>
      <c r="AL1559" s="25"/>
      <c r="AM1559" s="25"/>
      <c r="AN1559" s="25"/>
      <c r="AO1559" s="25"/>
      <c r="AP1559" s="25"/>
      <c r="AQ1559" s="25"/>
      <c r="AR1559" s="25"/>
      <c r="AS1559" s="25"/>
      <c r="AT1559" s="25"/>
      <c r="AU1559" s="25"/>
      <c r="AV1559" s="25"/>
      <c r="AW1559" s="25"/>
      <c r="AX1559" s="25"/>
      <c r="AY1559" s="25"/>
      <c r="AZ1559" s="25"/>
      <c r="BA1559" s="25"/>
      <c r="BB1559" s="25"/>
      <c r="BC1559" s="25"/>
      <c r="BD1559" s="25"/>
      <c r="BE1559" s="25"/>
      <c r="BF1559" s="25"/>
      <c r="BG1559" s="25"/>
      <c r="BH1559" s="25"/>
      <c r="BI1559" s="25"/>
      <c r="BJ1559" s="25"/>
      <c r="BK1559" s="25"/>
      <c r="BL1559" s="25"/>
      <c r="BM1559" s="25"/>
      <c r="BN1559" s="25"/>
      <c r="BO1559" s="25"/>
      <c r="BP1559" s="25"/>
      <c r="BQ1559" s="25"/>
      <c r="BR1559" s="25"/>
      <c r="BS1559" s="25"/>
      <c r="BT1559" s="25"/>
      <c r="BU1559" s="25"/>
      <c r="BV1559" s="25"/>
      <c r="BW1559" s="25"/>
      <c r="BX1559" s="25"/>
      <c r="BY1559" s="25"/>
      <c r="BZ1559" s="25"/>
      <c r="CA1559" s="25"/>
      <c r="CB1559" s="25"/>
    </row>
    <row r="1560" spans="1:80" ht="12.75" hidden="1" customHeight="1">
      <c r="A1560" s="10">
        <f ca="1">IFERROR(__xludf.DUMMYFUNCTION("""COMPUTED_VALUE"""),2022)</f>
        <v>2022</v>
      </c>
      <c r="B1560" s="50">
        <f ca="1">IFERROR(__xludf.DUMMYFUNCTION("""COMPUTED_VALUE"""),45112)</f>
        <v>45112</v>
      </c>
      <c r="C1560" s="41"/>
      <c r="D1560" s="42" t="str">
        <f ca="1">IFERROR(__xludf.DUMMYFUNCTION("""COMPUTED_VALUE"""),"Nightjar")</f>
        <v>Nightjar</v>
      </c>
      <c r="E1560" s="53">
        <f ca="1">IFERROR(__xludf.DUMMYFUNCTION("""COMPUTED_VALUE"""),1)</f>
        <v>1</v>
      </c>
      <c r="F1560" s="15"/>
      <c r="G1560" s="44" t="str">
        <f ca="1">IFERROR(__xludf.DUMMYFUNCTION("""COMPUTED_VALUE"""),"Macclesfield Forest")</f>
        <v>Macclesfield Forest</v>
      </c>
      <c r="H1560" s="12">
        <f ca="1">IFERROR(__xludf.DUMMYFUNCTION("""COMPUTED_VALUE"""),44733)</f>
        <v>44733</v>
      </c>
      <c r="I1560" s="13"/>
      <c r="J1560" s="14"/>
      <c r="K1560" s="15"/>
      <c r="L1560" s="17" t="str">
        <f ca="1">IFERROR(__xludf.DUMMYFUNCTION("""COMPUTED_VALUE"""),"limbo")</f>
        <v>limbo</v>
      </c>
      <c r="M1560" s="17"/>
      <c r="N1560" s="15" t="str">
        <f ca="1">IFERROR(__xludf.DUMMYFUNCTION("""COMPUTED_VALUE"""),"not submitted")</f>
        <v>not submitted</v>
      </c>
      <c r="O1560" s="18"/>
      <c r="P1560" s="15"/>
      <c r="Q1560" s="15"/>
      <c r="R1560" s="15"/>
      <c r="S1560" s="15"/>
      <c r="T1560" s="15"/>
      <c r="U1560" s="15"/>
      <c r="V1560" s="15"/>
      <c r="W1560" s="15"/>
      <c r="X1560" s="15"/>
      <c r="Y1560" s="15"/>
      <c r="Z1560" s="15"/>
      <c r="AA1560" s="15"/>
      <c r="AB1560" s="15"/>
      <c r="AC1560" s="15"/>
      <c r="AD1560" s="15"/>
      <c r="AE1560" s="15"/>
      <c r="AF1560" s="15"/>
      <c r="AG1560" s="15"/>
      <c r="AH1560" s="15"/>
      <c r="AI1560" s="15"/>
      <c r="AJ1560" s="15"/>
      <c r="AK1560" s="15"/>
      <c r="AL1560" s="15"/>
      <c r="AM1560" s="15"/>
      <c r="AN1560" s="15"/>
      <c r="AO1560" s="15"/>
      <c r="AP1560" s="15"/>
      <c r="AQ1560" s="15"/>
      <c r="AR1560" s="15"/>
      <c r="AS1560" s="15"/>
      <c r="AT1560" s="15"/>
      <c r="AU1560" s="15"/>
      <c r="AV1560" s="15"/>
      <c r="AW1560" s="15"/>
      <c r="AX1560" s="15"/>
      <c r="AY1560" s="15"/>
      <c r="AZ1560" s="15"/>
      <c r="BA1560" s="15"/>
      <c r="BB1560" s="15"/>
      <c r="BC1560" s="15"/>
      <c r="BD1560" s="15"/>
      <c r="BE1560" s="15"/>
      <c r="BF1560" s="15"/>
      <c r="BG1560" s="15"/>
      <c r="BH1560" s="15"/>
      <c r="BI1560" s="15"/>
      <c r="BJ1560" s="15"/>
      <c r="BK1560" s="15"/>
      <c r="BL1560" s="15"/>
      <c r="BM1560" s="15"/>
      <c r="BN1560" s="15"/>
      <c r="BO1560" s="15"/>
      <c r="BP1560" s="15"/>
      <c r="BQ1560" s="15"/>
      <c r="BR1560" s="15"/>
      <c r="BS1560" s="15"/>
      <c r="BT1560" s="15"/>
      <c r="BU1560" s="15"/>
      <c r="BV1560" s="15"/>
      <c r="BW1560" s="15"/>
      <c r="BX1560" s="15"/>
      <c r="BY1560" s="15"/>
      <c r="BZ1560" s="15"/>
      <c r="CA1560" s="15"/>
      <c r="CB1560" s="15"/>
    </row>
    <row r="1561" spans="1:80" ht="12.75" hidden="1" customHeight="1">
      <c r="A1561" s="20">
        <f ca="1">IFERROR(__xludf.DUMMYFUNCTION("""COMPUTED_VALUE"""),2022)</f>
        <v>2022</v>
      </c>
      <c r="B1561" s="45">
        <f ca="1">IFERROR(__xludf.DUMMYFUNCTION("""COMPUTED_VALUE"""),44876)</f>
        <v>44876</v>
      </c>
      <c r="C1561" s="46"/>
      <c r="D1561" s="47" t="str">
        <f ca="1">IFERROR(__xludf.DUMMYFUNCTION("""COMPUTED_VALUE"""),"Pallid Swift")</f>
        <v>Pallid Swift</v>
      </c>
      <c r="E1561" s="52">
        <f ca="1">IFERROR(__xludf.DUMMYFUNCTION("""COMPUTED_VALUE"""),1)</f>
        <v>1</v>
      </c>
      <c r="F1561" s="25"/>
      <c r="G1561" s="48" t="str">
        <f ca="1">IFERROR(__xludf.DUMMYFUNCTION("""COMPUTED_VALUE"""),"Hoylake")</f>
        <v>Hoylake</v>
      </c>
      <c r="H1561" s="22">
        <f ca="1">IFERROR(__xludf.DUMMYFUNCTION("""COMPUTED_VALUE"""),44861)</f>
        <v>44861</v>
      </c>
      <c r="I1561" s="23"/>
      <c r="J1561" s="24" t="str">
        <f ca="1">IFERROR(__xludf.DUMMYFUNCTION("""COMPUTED_VALUE"""),"Turner, JE")</f>
        <v>Turner, JE</v>
      </c>
      <c r="K1561" s="25" t="str">
        <f ca="1">IFERROR(__xludf.DUMMYFUNCTION("""COMPUTED_VALUE"""),"Turner, JE")</f>
        <v>Turner, JE</v>
      </c>
      <c r="L1561" s="27" t="str">
        <f ca="1">IFERROR(__xludf.DUMMYFUNCTION("""COMPUTED_VALUE"""),"closed")</f>
        <v>closed</v>
      </c>
      <c r="M1561" s="27"/>
      <c r="N1561" s="25" t="str">
        <f ca="1">IFERROR(__xludf.DUMMYFUNCTION("""COMPUTED_VALUE"""),"BBRC-OK")</f>
        <v>BBRC-OK</v>
      </c>
      <c r="O1561" s="28"/>
      <c r="P1561" s="25"/>
      <c r="Q1561" s="25"/>
      <c r="R1561" s="25"/>
      <c r="S1561" s="25"/>
      <c r="T1561" s="25"/>
      <c r="U1561" s="25"/>
      <c r="V1561" s="25"/>
      <c r="W1561" s="25"/>
      <c r="X1561" s="25"/>
      <c r="Y1561" s="25"/>
      <c r="Z1561" s="25"/>
      <c r="AA1561" s="25"/>
      <c r="AB1561" s="25"/>
      <c r="AC1561" s="25"/>
      <c r="AD1561" s="25"/>
      <c r="AE1561" s="25"/>
      <c r="AF1561" s="25"/>
      <c r="AG1561" s="25"/>
      <c r="AH1561" s="25"/>
      <c r="AI1561" s="25"/>
      <c r="AJ1561" s="25"/>
      <c r="AK1561" s="25"/>
      <c r="AL1561" s="25"/>
      <c r="AM1561" s="25"/>
      <c r="AN1561" s="25"/>
      <c r="AO1561" s="25"/>
      <c r="AP1561" s="25"/>
      <c r="AQ1561" s="25"/>
      <c r="AR1561" s="25"/>
      <c r="AS1561" s="25"/>
      <c r="AT1561" s="25"/>
      <c r="AU1561" s="25"/>
      <c r="AV1561" s="25"/>
      <c r="AW1561" s="25"/>
      <c r="AX1561" s="25"/>
      <c r="AY1561" s="25"/>
      <c r="AZ1561" s="25"/>
      <c r="BA1561" s="25"/>
      <c r="BB1561" s="25"/>
      <c r="BC1561" s="25"/>
      <c r="BD1561" s="25"/>
      <c r="BE1561" s="25"/>
      <c r="BF1561" s="25"/>
      <c r="BG1561" s="25"/>
      <c r="BH1561" s="25"/>
      <c r="BI1561" s="25"/>
      <c r="BJ1561" s="25"/>
      <c r="BK1561" s="25"/>
      <c r="BL1561" s="25"/>
      <c r="BM1561" s="25"/>
      <c r="BN1561" s="25"/>
      <c r="BO1561" s="25"/>
      <c r="BP1561" s="25"/>
      <c r="BQ1561" s="25"/>
      <c r="BR1561" s="25"/>
      <c r="BS1561" s="25"/>
      <c r="BT1561" s="25"/>
      <c r="BU1561" s="25"/>
      <c r="BV1561" s="25"/>
      <c r="BW1561" s="25"/>
      <c r="BX1561" s="25"/>
      <c r="BY1561" s="25"/>
      <c r="BZ1561" s="25"/>
      <c r="CA1561" s="25"/>
      <c r="CB1561" s="25"/>
    </row>
    <row r="1562" spans="1:80" ht="12.75" hidden="1" customHeight="1">
      <c r="A1562" s="10">
        <f ca="1">IFERROR(__xludf.DUMMYFUNCTION("""COMPUTED_VALUE"""),2022)</f>
        <v>2022</v>
      </c>
      <c r="B1562" s="50">
        <f ca="1">IFERROR(__xludf.DUMMYFUNCTION("""COMPUTED_VALUE"""),45384)</f>
        <v>45384</v>
      </c>
      <c r="C1562" s="41"/>
      <c r="D1562" s="42" t="str">
        <f ca="1">IFERROR(__xludf.DUMMYFUNCTION("""COMPUTED_VALUE"""),"Pallid Swift")</f>
        <v>Pallid Swift</v>
      </c>
      <c r="E1562" s="53">
        <f ca="1">IFERROR(__xludf.DUMMYFUNCTION("""COMPUTED_VALUE"""),1)</f>
        <v>1</v>
      </c>
      <c r="F1562" s="15"/>
      <c r="G1562" s="44" t="str">
        <f ca="1">IFERROR(__xludf.DUMMYFUNCTION("""COMPUTED_VALUE"""),"Hoylake")</f>
        <v>Hoylake</v>
      </c>
      <c r="H1562" s="12">
        <f ca="1">IFERROR(__xludf.DUMMYFUNCTION("""COMPUTED_VALUE"""),44865)</f>
        <v>44865</v>
      </c>
      <c r="I1562" s="13"/>
      <c r="J1562" s="14" t="str">
        <f ca="1">IFERROR(__xludf.DUMMYFUNCTION("""COMPUTED_VALUE"""),"Country Recorder")</f>
        <v>Country Recorder</v>
      </c>
      <c r="K1562" s="15" t="str">
        <f ca="1">IFERROR(__xludf.DUMMYFUNCTION("""COMPUTED_VALUE"""),"Brown, S")</f>
        <v>Brown, S</v>
      </c>
      <c r="L1562" s="17" t="str">
        <f ca="1">IFERROR(__xludf.DUMMYFUNCTION("""COMPUTED_VALUE"""),"closed")</f>
        <v>closed</v>
      </c>
      <c r="M1562" s="17"/>
      <c r="N1562" s="15" t="str">
        <f ca="1">IFERROR(__xludf.DUMMYFUNCTION("""COMPUTED_VALUE"""),"BBRC-OK")</f>
        <v>BBRC-OK</v>
      </c>
      <c r="O1562" s="18" t="str">
        <f ca="1">IFERROR(__xludf.DUMMYFUNCTION("""COMPUTED_VALUE"""),"Second bird")</f>
        <v>Second bird</v>
      </c>
      <c r="P1562" s="15"/>
      <c r="Q1562" s="15"/>
      <c r="R1562" s="15"/>
      <c r="S1562" s="15"/>
      <c r="T1562" s="15"/>
      <c r="U1562" s="15"/>
      <c r="V1562" s="15"/>
      <c r="W1562" s="15"/>
      <c r="X1562" s="15"/>
      <c r="Y1562" s="15"/>
      <c r="Z1562" s="15"/>
      <c r="AA1562" s="15"/>
      <c r="AB1562" s="15"/>
      <c r="AC1562" s="15"/>
      <c r="AD1562" s="15"/>
      <c r="AE1562" s="15"/>
      <c r="AF1562" s="15"/>
      <c r="AG1562" s="15"/>
      <c r="AH1562" s="15"/>
      <c r="AI1562" s="15"/>
      <c r="AJ1562" s="15"/>
      <c r="AK1562" s="15"/>
      <c r="AL1562" s="15"/>
      <c r="AM1562" s="15"/>
      <c r="AN1562" s="15"/>
      <c r="AO1562" s="15"/>
      <c r="AP1562" s="15"/>
      <c r="AQ1562" s="15"/>
      <c r="AR1562" s="15"/>
      <c r="AS1562" s="15"/>
      <c r="AT1562" s="15"/>
      <c r="AU1562" s="15"/>
      <c r="AV1562" s="15"/>
      <c r="AW1562" s="15"/>
      <c r="AX1562" s="15"/>
      <c r="AY1562" s="15"/>
      <c r="AZ1562" s="15"/>
      <c r="BA1562" s="15"/>
      <c r="BB1562" s="15"/>
      <c r="BC1562" s="15"/>
      <c r="BD1562" s="15"/>
      <c r="BE1562" s="15"/>
      <c r="BF1562" s="15"/>
      <c r="BG1562" s="15"/>
      <c r="BH1562" s="15"/>
      <c r="BI1562" s="15"/>
      <c r="BJ1562" s="15"/>
      <c r="BK1562" s="15"/>
      <c r="BL1562" s="15"/>
      <c r="BM1562" s="15"/>
      <c r="BN1562" s="15"/>
      <c r="BO1562" s="15"/>
      <c r="BP1562" s="15"/>
      <c r="BQ1562" s="15"/>
      <c r="BR1562" s="15"/>
      <c r="BS1562" s="15"/>
      <c r="BT1562" s="15"/>
      <c r="BU1562" s="15"/>
      <c r="BV1562" s="15"/>
      <c r="BW1562" s="15"/>
      <c r="BX1562" s="15"/>
      <c r="BY1562" s="15"/>
      <c r="BZ1562" s="15"/>
      <c r="CA1562" s="15"/>
      <c r="CB1562" s="15"/>
    </row>
    <row r="1563" spans="1:80" ht="12.75" hidden="1" customHeight="1">
      <c r="A1563" s="20">
        <f ca="1">IFERROR(__xludf.DUMMYFUNCTION("""COMPUTED_VALUE"""),2022)</f>
        <v>2022</v>
      </c>
      <c r="B1563" s="45"/>
      <c r="C1563" s="46">
        <f ca="1">IFERROR(__xludf.DUMMYFUNCTION("""COMPUTED_VALUE"""),44974)</f>
        <v>44974</v>
      </c>
      <c r="D1563" s="47" t="str">
        <f ca="1">IFERROR(__xludf.DUMMYFUNCTION("""COMPUTED_VALUE"""),"White-winged Black Tern")</f>
        <v>White-winged Black Tern</v>
      </c>
      <c r="E1563" s="52">
        <f ca="1">IFERROR(__xludf.DUMMYFUNCTION("""COMPUTED_VALUE"""),1)</f>
        <v>1</v>
      </c>
      <c r="F1563" s="25"/>
      <c r="G1563" s="48" t="str">
        <f ca="1">IFERROR(__xludf.DUMMYFUNCTION("""COMPUTED_VALUE"""),"Burton Mere Wetlands")</f>
        <v>Burton Mere Wetlands</v>
      </c>
      <c r="H1563" s="22">
        <f ca="1">IFERROR(__xludf.DUMMYFUNCTION("""COMPUTED_VALUE"""),44718)</f>
        <v>44718</v>
      </c>
      <c r="I1563" s="23"/>
      <c r="J1563" s="24"/>
      <c r="K1563" s="25"/>
      <c r="L1563" s="27" t="str">
        <f ca="1">IFERROR(__xludf.DUMMYFUNCTION("""COMPUTED_VALUE"""),"limbo")</f>
        <v>limbo</v>
      </c>
      <c r="M1563" s="27"/>
      <c r="N1563" s="25" t="str">
        <f ca="1">IFERROR(__xludf.DUMMYFUNCTION("""COMPUTED_VALUE"""),"not submitted")</f>
        <v>not submitted</v>
      </c>
      <c r="O1563" s="28"/>
      <c r="P1563" s="25"/>
      <c r="Q1563" s="25"/>
      <c r="R1563" s="25"/>
      <c r="S1563" s="25"/>
      <c r="T1563" s="25"/>
      <c r="U1563" s="25"/>
      <c r="V1563" s="25"/>
      <c r="W1563" s="25"/>
      <c r="X1563" s="25"/>
      <c r="Y1563" s="25"/>
      <c r="Z1563" s="25"/>
      <c r="AA1563" s="25"/>
      <c r="AB1563" s="25"/>
      <c r="AC1563" s="25"/>
      <c r="AD1563" s="25"/>
      <c r="AE1563" s="25"/>
      <c r="AF1563" s="25"/>
      <c r="AG1563" s="25"/>
      <c r="AH1563" s="25"/>
      <c r="AI1563" s="25"/>
      <c r="AJ1563" s="25"/>
      <c r="AK1563" s="25"/>
      <c r="AL1563" s="25"/>
      <c r="AM1563" s="25"/>
      <c r="AN1563" s="25"/>
      <c r="AO1563" s="25"/>
      <c r="AP1563" s="25"/>
      <c r="AQ1563" s="25"/>
      <c r="AR1563" s="25"/>
      <c r="AS1563" s="25"/>
      <c r="AT1563" s="25"/>
      <c r="AU1563" s="25"/>
      <c r="AV1563" s="25"/>
      <c r="AW1563" s="25"/>
      <c r="AX1563" s="25"/>
      <c r="AY1563" s="25"/>
      <c r="AZ1563" s="25"/>
      <c r="BA1563" s="25"/>
      <c r="BB1563" s="25"/>
      <c r="BC1563" s="25"/>
      <c r="BD1563" s="25"/>
      <c r="BE1563" s="25"/>
      <c r="BF1563" s="25"/>
      <c r="BG1563" s="25"/>
      <c r="BH1563" s="25"/>
      <c r="BI1563" s="25"/>
      <c r="BJ1563" s="25"/>
      <c r="BK1563" s="25"/>
      <c r="BL1563" s="25"/>
      <c r="BM1563" s="25"/>
      <c r="BN1563" s="25"/>
      <c r="BO1563" s="25"/>
      <c r="BP1563" s="25"/>
      <c r="BQ1563" s="25"/>
      <c r="BR1563" s="25"/>
      <c r="BS1563" s="25"/>
      <c r="BT1563" s="25"/>
      <c r="BU1563" s="25"/>
      <c r="BV1563" s="25"/>
      <c r="BW1563" s="25"/>
      <c r="BX1563" s="25"/>
      <c r="BY1563" s="25"/>
      <c r="BZ1563" s="25"/>
      <c r="CA1563" s="25"/>
      <c r="CB1563" s="25"/>
    </row>
    <row r="1564" spans="1:80" ht="12.75" hidden="1" customHeight="1">
      <c r="A1564" s="10">
        <f ca="1">IFERROR(__xludf.DUMMYFUNCTION("""COMPUTED_VALUE"""),2022)</f>
        <v>2022</v>
      </c>
      <c r="B1564" s="50">
        <f ca="1">IFERROR(__xludf.DUMMYFUNCTION("""COMPUTED_VALUE"""),45111)</f>
        <v>45111</v>
      </c>
      <c r="C1564" s="41"/>
      <c r="D1564" s="42" t="str">
        <f ca="1">IFERROR(__xludf.DUMMYFUNCTION("""COMPUTED_VALUE"""),"Water Pipit")</f>
        <v>Water Pipit</v>
      </c>
      <c r="E1564" s="53">
        <f ca="1">IFERROR(__xludf.DUMMYFUNCTION("""COMPUTED_VALUE"""),1)</f>
        <v>1</v>
      </c>
      <c r="F1564" s="15"/>
      <c r="G1564" s="44" t="str">
        <f ca="1">IFERROR(__xludf.DUMMYFUNCTION("""COMPUTED_VALUE"""),"Chester City")</f>
        <v>Chester City</v>
      </c>
      <c r="H1564" s="12">
        <f ca="1">IFERROR(__xludf.DUMMYFUNCTION("""COMPUTED_VALUE"""),44586)</f>
        <v>44586</v>
      </c>
      <c r="I1564" s="13"/>
      <c r="J1564" s="14"/>
      <c r="K1564" s="15"/>
      <c r="L1564" s="17" t="str">
        <f ca="1">IFERROR(__xludf.DUMMYFUNCTION("""COMPUTED_VALUE"""),"limbo")</f>
        <v>limbo</v>
      </c>
      <c r="M1564" s="17"/>
      <c r="N1564" s="15" t="str">
        <f ca="1">IFERROR(__xludf.DUMMYFUNCTION("""COMPUTED_VALUE"""),"not submitted")</f>
        <v>not submitted</v>
      </c>
      <c r="O1564" s="18"/>
      <c r="P1564" s="15"/>
      <c r="Q1564" s="15"/>
      <c r="R1564" s="15"/>
      <c r="S1564" s="15"/>
      <c r="T1564" s="15"/>
      <c r="U1564" s="15"/>
      <c r="V1564" s="15"/>
      <c r="W1564" s="15"/>
      <c r="X1564" s="15"/>
      <c r="Y1564" s="15"/>
      <c r="Z1564" s="15"/>
      <c r="AA1564" s="15"/>
      <c r="AB1564" s="15"/>
      <c r="AC1564" s="15"/>
      <c r="AD1564" s="15"/>
      <c r="AE1564" s="15"/>
      <c r="AF1564" s="15"/>
      <c r="AG1564" s="15"/>
      <c r="AH1564" s="15"/>
      <c r="AI1564" s="15"/>
      <c r="AJ1564" s="15"/>
      <c r="AK1564" s="15"/>
      <c r="AL1564" s="15"/>
      <c r="AM1564" s="15"/>
      <c r="AN1564" s="15"/>
      <c r="AO1564" s="15"/>
      <c r="AP1564" s="15"/>
      <c r="AQ1564" s="15"/>
      <c r="AR1564" s="15"/>
      <c r="AS1564" s="15"/>
      <c r="AT1564" s="15"/>
      <c r="AU1564" s="15"/>
      <c r="AV1564" s="15"/>
      <c r="AW1564" s="15"/>
      <c r="AX1564" s="15"/>
      <c r="AY1564" s="15"/>
      <c r="AZ1564" s="15"/>
      <c r="BA1564" s="15"/>
      <c r="BB1564" s="15"/>
      <c r="BC1564" s="15"/>
      <c r="BD1564" s="15"/>
      <c r="BE1564" s="15"/>
      <c r="BF1564" s="15"/>
      <c r="BG1564" s="15"/>
      <c r="BH1564" s="15"/>
      <c r="BI1564" s="15"/>
      <c r="BJ1564" s="15"/>
      <c r="BK1564" s="15"/>
      <c r="BL1564" s="15"/>
      <c r="BM1564" s="15"/>
      <c r="BN1564" s="15"/>
      <c r="BO1564" s="15"/>
      <c r="BP1564" s="15"/>
      <c r="BQ1564" s="15"/>
      <c r="BR1564" s="15"/>
      <c r="BS1564" s="15"/>
      <c r="BT1564" s="15"/>
      <c r="BU1564" s="15"/>
      <c r="BV1564" s="15"/>
      <c r="BW1564" s="15"/>
      <c r="BX1564" s="15"/>
      <c r="BY1564" s="15"/>
      <c r="BZ1564" s="15"/>
      <c r="CA1564" s="15"/>
      <c r="CB1564" s="15"/>
    </row>
    <row r="1565" spans="1:80" ht="12.75" hidden="1" customHeight="1">
      <c r="A1565" s="20">
        <f ca="1">IFERROR(__xludf.DUMMYFUNCTION("""COMPUTED_VALUE"""),2022)</f>
        <v>2022</v>
      </c>
      <c r="B1565" s="45">
        <f ca="1">IFERROR(__xludf.DUMMYFUNCTION("""COMPUTED_VALUE"""),45112)</f>
        <v>45112</v>
      </c>
      <c r="C1565" s="46"/>
      <c r="D1565" s="47" t="str">
        <f ca="1">IFERROR(__xludf.DUMMYFUNCTION("""COMPUTED_VALUE"""),"Wood Warbler")</f>
        <v>Wood Warbler</v>
      </c>
      <c r="E1565" s="52">
        <f ca="1">IFERROR(__xludf.DUMMYFUNCTION("""COMPUTED_VALUE"""),1)</f>
        <v>1</v>
      </c>
      <c r="F1565" s="25"/>
      <c r="G1565" s="48" t="str">
        <f ca="1">IFERROR(__xludf.DUMMYFUNCTION("""COMPUTED_VALUE"""),"Leasowe Lighthouse")</f>
        <v>Leasowe Lighthouse</v>
      </c>
      <c r="H1565" s="22">
        <f ca="1">IFERROR(__xludf.DUMMYFUNCTION("""COMPUTED_VALUE"""),44675)</f>
        <v>44675</v>
      </c>
      <c r="I1565" s="23"/>
      <c r="J1565" s="24"/>
      <c r="K1565" s="25"/>
      <c r="L1565" s="27" t="str">
        <f ca="1">IFERROR(__xludf.DUMMYFUNCTION("""COMPUTED_VALUE"""),"limbo")</f>
        <v>limbo</v>
      </c>
      <c r="M1565" s="27"/>
      <c r="N1565" s="25" t="str">
        <f ca="1">IFERROR(__xludf.DUMMYFUNCTION("""COMPUTED_VALUE"""),"not submitted")</f>
        <v>not submitted</v>
      </c>
      <c r="O1565" s="28"/>
      <c r="P1565" s="25"/>
      <c r="Q1565" s="25"/>
      <c r="R1565" s="25"/>
      <c r="S1565" s="25"/>
      <c r="T1565" s="25"/>
      <c r="U1565" s="25"/>
      <c r="V1565" s="25"/>
      <c r="W1565" s="25"/>
      <c r="X1565" s="25"/>
      <c r="Y1565" s="25"/>
      <c r="Z1565" s="25"/>
      <c r="AA1565" s="25"/>
      <c r="AB1565" s="25"/>
      <c r="AC1565" s="25"/>
      <c r="AD1565" s="25"/>
      <c r="AE1565" s="25"/>
      <c r="AF1565" s="25"/>
      <c r="AG1565" s="25"/>
      <c r="AH1565" s="25"/>
      <c r="AI1565" s="25"/>
      <c r="AJ1565" s="25"/>
      <c r="AK1565" s="25"/>
      <c r="AL1565" s="25"/>
      <c r="AM1565" s="25"/>
      <c r="AN1565" s="25"/>
      <c r="AO1565" s="25"/>
      <c r="AP1565" s="25"/>
      <c r="AQ1565" s="25"/>
      <c r="AR1565" s="25"/>
      <c r="AS1565" s="25"/>
      <c r="AT1565" s="25"/>
      <c r="AU1565" s="25"/>
      <c r="AV1565" s="25"/>
      <c r="AW1565" s="25"/>
      <c r="AX1565" s="25"/>
      <c r="AY1565" s="25"/>
      <c r="AZ1565" s="25"/>
      <c r="BA1565" s="25"/>
      <c r="BB1565" s="25"/>
      <c r="BC1565" s="25"/>
      <c r="BD1565" s="25"/>
      <c r="BE1565" s="25"/>
      <c r="BF1565" s="25"/>
      <c r="BG1565" s="25"/>
      <c r="BH1565" s="25"/>
      <c r="BI1565" s="25"/>
      <c r="BJ1565" s="25"/>
      <c r="BK1565" s="25"/>
      <c r="BL1565" s="25"/>
      <c r="BM1565" s="25"/>
      <c r="BN1565" s="25"/>
      <c r="BO1565" s="25"/>
      <c r="BP1565" s="25"/>
      <c r="BQ1565" s="25"/>
      <c r="BR1565" s="25"/>
      <c r="BS1565" s="25"/>
      <c r="BT1565" s="25"/>
      <c r="BU1565" s="25"/>
      <c r="BV1565" s="25"/>
      <c r="BW1565" s="25"/>
      <c r="BX1565" s="25"/>
      <c r="BY1565" s="25"/>
      <c r="BZ1565" s="25"/>
      <c r="CA1565" s="25"/>
      <c r="CB1565" s="25"/>
    </row>
    <row r="1566" spans="1:80" ht="12.75" hidden="1" customHeight="1">
      <c r="A1566" s="10">
        <f ca="1">IFERROR(__xludf.DUMMYFUNCTION("""COMPUTED_VALUE"""),2022)</f>
        <v>2022</v>
      </c>
      <c r="B1566" s="50">
        <f ca="1">IFERROR(__xludf.DUMMYFUNCTION("""COMPUTED_VALUE"""),45111)</f>
        <v>45111</v>
      </c>
      <c r="C1566" s="41"/>
      <c r="D1566" s="42" t="str">
        <f ca="1">IFERROR(__xludf.DUMMYFUNCTION("""COMPUTED_VALUE"""),"Corncrake")</f>
        <v>Corncrake</v>
      </c>
      <c r="E1566" s="53">
        <f ca="1">IFERROR(__xludf.DUMMYFUNCTION("""COMPUTED_VALUE"""),1)</f>
        <v>1</v>
      </c>
      <c r="F1566" s="15"/>
      <c r="G1566" s="44" t="str">
        <f ca="1">IFERROR(__xludf.DUMMYFUNCTION("""COMPUTED_VALUE"""),"Acre Nook SQW, Chelford")</f>
        <v>Acre Nook SQW, Chelford</v>
      </c>
      <c r="H1566" s="12">
        <f ca="1">IFERROR(__xludf.DUMMYFUNCTION("""COMPUTED_VALUE"""),44714)</f>
        <v>44714</v>
      </c>
      <c r="I1566" s="13"/>
      <c r="J1566" s="14"/>
      <c r="K1566" s="15"/>
      <c r="L1566" s="17" t="str">
        <f ca="1">IFERROR(__xludf.DUMMYFUNCTION("""COMPUTED_VALUE"""),"limbo")</f>
        <v>limbo</v>
      </c>
      <c r="M1566" s="17"/>
      <c r="N1566" s="15" t="str">
        <f ca="1">IFERROR(__xludf.DUMMYFUNCTION("""COMPUTED_VALUE"""),"not submitted")</f>
        <v>not submitted</v>
      </c>
      <c r="O1566" s="18"/>
      <c r="P1566" s="15"/>
      <c r="Q1566" s="15"/>
      <c r="R1566" s="15"/>
      <c r="S1566" s="15"/>
      <c r="T1566" s="15"/>
      <c r="U1566" s="15"/>
      <c r="V1566" s="15"/>
      <c r="W1566" s="15"/>
      <c r="X1566" s="15"/>
      <c r="Y1566" s="15"/>
      <c r="Z1566" s="15"/>
      <c r="AA1566" s="15"/>
      <c r="AB1566" s="15"/>
      <c r="AC1566" s="15"/>
      <c r="AD1566" s="15"/>
      <c r="AE1566" s="15"/>
      <c r="AF1566" s="15"/>
      <c r="AG1566" s="15"/>
      <c r="AH1566" s="15"/>
      <c r="AI1566" s="15"/>
      <c r="AJ1566" s="15"/>
      <c r="AK1566" s="15"/>
      <c r="AL1566" s="15"/>
      <c r="AM1566" s="15"/>
      <c r="AN1566" s="15"/>
      <c r="AO1566" s="15"/>
      <c r="AP1566" s="15"/>
      <c r="AQ1566" s="15"/>
      <c r="AR1566" s="15"/>
      <c r="AS1566" s="15"/>
      <c r="AT1566" s="15"/>
      <c r="AU1566" s="15"/>
      <c r="AV1566" s="15"/>
      <c r="AW1566" s="15"/>
      <c r="AX1566" s="15"/>
      <c r="AY1566" s="15"/>
      <c r="AZ1566" s="15"/>
      <c r="BA1566" s="15"/>
      <c r="BB1566" s="15"/>
      <c r="BC1566" s="15"/>
      <c r="BD1566" s="15"/>
      <c r="BE1566" s="15"/>
      <c r="BF1566" s="15"/>
      <c r="BG1566" s="15"/>
      <c r="BH1566" s="15"/>
      <c r="BI1566" s="15"/>
      <c r="BJ1566" s="15"/>
      <c r="BK1566" s="15"/>
      <c r="BL1566" s="15"/>
      <c r="BM1566" s="15"/>
      <c r="BN1566" s="15"/>
      <c r="BO1566" s="15"/>
      <c r="BP1566" s="15"/>
      <c r="BQ1566" s="15"/>
      <c r="BR1566" s="15"/>
      <c r="BS1566" s="15"/>
      <c r="BT1566" s="15"/>
      <c r="BU1566" s="15"/>
      <c r="BV1566" s="15"/>
      <c r="BW1566" s="15"/>
      <c r="BX1566" s="15"/>
      <c r="BY1566" s="15"/>
      <c r="BZ1566" s="15"/>
      <c r="CA1566" s="15"/>
      <c r="CB1566" s="15"/>
    </row>
    <row r="1567" spans="1:80" ht="12.75" hidden="1" customHeight="1">
      <c r="A1567" s="20">
        <f ca="1">IFERROR(__xludf.DUMMYFUNCTION("""COMPUTED_VALUE"""),2022)</f>
        <v>2022</v>
      </c>
      <c r="B1567" s="45">
        <f ca="1">IFERROR(__xludf.DUMMYFUNCTION("""COMPUTED_VALUE"""),45112)</f>
        <v>45112</v>
      </c>
      <c r="C1567" s="46"/>
      <c r="D1567" s="47" t="str">
        <f ca="1">IFERROR(__xludf.DUMMYFUNCTION("""COMPUTED_VALUE"""),"Spotted Crake")</f>
        <v>Spotted Crake</v>
      </c>
      <c r="E1567" s="52">
        <f ca="1">IFERROR(__xludf.DUMMYFUNCTION("""COMPUTED_VALUE"""),1)</f>
        <v>1</v>
      </c>
      <c r="F1567" s="25"/>
      <c r="G1567" s="48" t="str">
        <f ca="1">IFERROR(__xludf.DUMMYFUNCTION("""COMPUTED_VALUE"""),"Burton Mere Wetlands RSPB")</f>
        <v>Burton Mere Wetlands RSPB</v>
      </c>
      <c r="H1567" s="22">
        <f ca="1">IFERROR(__xludf.DUMMYFUNCTION("""COMPUTED_VALUE"""),44790)</f>
        <v>44790</v>
      </c>
      <c r="I1567" s="22">
        <f ca="1">IFERROR(__xludf.DUMMYFUNCTION("""COMPUTED_VALUE"""),44817)</f>
        <v>44817</v>
      </c>
      <c r="J1567" s="24"/>
      <c r="K1567" s="25"/>
      <c r="L1567" s="27" t="str">
        <f ca="1">IFERROR(__xludf.DUMMYFUNCTION("""COMPUTED_VALUE"""),"closed")</f>
        <v>closed</v>
      </c>
      <c r="M1567" s="27"/>
      <c r="N1567" s="25" t="str">
        <f ca="1">IFERROR(__xludf.DUMMYFUNCTION("""COMPUTED_VALUE"""),"exemption")</f>
        <v>exemption</v>
      </c>
      <c r="O1567" s="28"/>
      <c r="P1567" s="25"/>
      <c r="Q1567" s="25"/>
      <c r="R1567" s="25"/>
      <c r="S1567" s="25"/>
      <c r="T1567" s="25"/>
      <c r="U1567" s="25"/>
      <c r="V1567" s="25"/>
      <c r="W1567" s="25"/>
      <c r="X1567" s="25"/>
      <c r="Y1567" s="25"/>
      <c r="Z1567" s="25"/>
      <c r="AA1567" s="25"/>
      <c r="AB1567" s="25"/>
      <c r="AC1567" s="25"/>
      <c r="AD1567" s="25"/>
      <c r="AE1567" s="25"/>
      <c r="AF1567" s="25"/>
      <c r="AG1567" s="25"/>
      <c r="AH1567" s="25"/>
      <c r="AI1567" s="25"/>
      <c r="AJ1567" s="25"/>
      <c r="AK1567" s="25"/>
      <c r="AL1567" s="25"/>
      <c r="AM1567" s="25"/>
      <c r="AN1567" s="25"/>
      <c r="AO1567" s="25"/>
      <c r="AP1567" s="25"/>
      <c r="AQ1567" s="25"/>
      <c r="AR1567" s="25"/>
      <c r="AS1567" s="25"/>
      <c r="AT1567" s="25"/>
      <c r="AU1567" s="25"/>
      <c r="AV1567" s="25"/>
      <c r="AW1567" s="25"/>
      <c r="AX1567" s="25"/>
      <c r="AY1567" s="25"/>
      <c r="AZ1567" s="25"/>
      <c r="BA1567" s="25"/>
      <c r="BB1567" s="25"/>
      <c r="BC1567" s="25"/>
      <c r="BD1567" s="25"/>
      <c r="BE1567" s="25"/>
      <c r="BF1567" s="25"/>
      <c r="BG1567" s="25"/>
      <c r="BH1567" s="25"/>
      <c r="BI1567" s="25"/>
      <c r="BJ1567" s="25"/>
      <c r="BK1567" s="25"/>
      <c r="BL1567" s="25"/>
      <c r="BM1567" s="25"/>
      <c r="BN1567" s="25"/>
      <c r="BO1567" s="25"/>
      <c r="BP1567" s="25"/>
      <c r="BQ1567" s="25"/>
      <c r="BR1567" s="25"/>
      <c r="BS1567" s="25"/>
      <c r="BT1567" s="25"/>
      <c r="BU1567" s="25"/>
      <c r="BV1567" s="25"/>
      <c r="BW1567" s="25"/>
      <c r="BX1567" s="25"/>
      <c r="BY1567" s="25"/>
      <c r="BZ1567" s="25"/>
      <c r="CA1567" s="25"/>
      <c r="CB1567" s="25"/>
    </row>
    <row r="1568" spans="1:80" ht="12.75" hidden="1" customHeight="1">
      <c r="A1568" s="10">
        <f ca="1">IFERROR(__xludf.DUMMYFUNCTION("""COMPUTED_VALUE"""),2022)</f>
        <v>2022</v>
      </c>
      <c r="B1568" s="50">
        <f ca="1">IFERROR(__xludf.DUMMYFUNCTION("""COMPUTED_VALUE"""),45112)</f>
        <v>45112</v>
      </c>
      <c r="C1568" s="41"/>
      <c r="D1568" s="42" t="str">
        <f ca="1">IFERROR(__xludf.DUMMYFUNCTION("""COMPUTED_VALUE"""),"Spotted Crake")</f>
        <v>Spotted Crake</v>
      </c>
      <c r="E1568" s="53">
        <f ca="1">IFERROR(__xludf.DUMMYFUNCTION("""COMPUTED_VALUE"""),1)</f>
        <v>1</v>
      </c>
      <c r="F1568" s="15"/>
      <c r="G1568" s="44" t="str">
        <f ca="1">IFERROR(__xludf.DUMMYFUNCTION("""COMPUTED_VALUE"""),"Wimbolds Trafford")</f>
        <v>Wimbolds Trafford</v>
      </c>
      <c r="H1568" s="12">
        <f ca="1">IFERROR(__xludf.DUMMYFUNCTION("""COMPUTED_VALUE"""),44801)</f>
        <v>44801</v>
      </c>
      <c r="I1568" s="13"/>
      <c r="J1568" s="14"/>
      <c r="K1568" s="15"/>
      <c r="L1568" s="17" t="str">
        <f ca="1">IFERROR(__xludf.DUMMYFUNCTION("""COMPUTED_VALUE"""),"limbo")</f>
        <v>limbo</v>
      </c>
      <c r="M1568" s="17"/>
      <c r="N1568" s="15" t="str">
        <f ca="1">IFERROR(__xludf.DUMMYFUNCTION("""COMPUTED_VALUE"""),"not submitted")</f>
        <v>not submitted</v>
      </c>
      <c r="O1568" s="18"/>
      <c r="P1568" s="15"/>
      <c r="Q1568" s="15"/>
      <c r="R1568" s="15"/>
      <c r="S1568" s="15"/>
      <c r="T1568" s="15"/>
      <c r="U1568" s="15"/>
      <c r="V1568" s="15"/>
      <c r="W1568" s="15"/>
      <c r="X1568" s="15"/>
      <c r="Y1568" s="15"/>
      <c r="Z1568" s="15"/>
      <c r="AA1568" s="15"/>
      <c r="AB1568" s="15"/>
      <c r="AC1568" s="15"/>
      <c r="AD1568" s="15"/>
      <c r="AE1568" s="15"/>
      <c r="AF1568" s="15"/>
      <c r="AG1568" s="15"/>
      <c r="AH1568" s="15"/>
      <c r="AI1568" s="15"/>
      <c r="AJ1568" s="15"/>
      <c r="AK1568" s="15"/>
      <c r="AL1568" s="15"/>
      <c r="AM1568" s="15"/>
      <c r="AN1568" s="15"/>
      <c r="AO1568" s="15"/>
      <c r="AP1568" s="15"/>
      <c r="AQ1568" s="15"/>
      <c r="AR1568" s="15"/>
      <c r="AS1568" s="15"/>
      <c r="AT1568" s="15"/>
      <c r="AU1568" s="15"/>
      <c r="AV1568" s="15"/>
      <c r="AW1568" s="15"/>
      <c r="AX1568" s="15"/>
      <c r="AY1568" s="15"/>
      <c r="AZ1568" s="15"/>
      <c r="BA1568" s="15"/>
      <c r="BB1568" s="15"/>
      <c r="BC1568" s="15"/>
      <c r="BD1568" s="15"/>
      <c r="BE1568" s="15"/>
      <c r="BF1568" s="15"/>
      <c r="BG1568" s="15"/>
      <c r="BH1568" s="15"/>
      <c r="BI1568" s="15"/>
      <c r="BJ1568" s="15"/>
      <c r="BK1568" s="15"/>
      <c r="BL1568" s="15"/>
      <c r="BM1568" s="15"/>
      <c r="BN1568" s="15"/>
      <c r="BO1568" s="15"/>
      <c r="BP1568" s="15"/>
      <c r="BQ1568" s="15"/>
      <c r="BR1568" s="15"/>
      <c r="BS1568" s="15"/>
      <c r="BT1568" s="15"/>
      <c r="BU1568" s="15"/>
      <c r="BV1568" s="15"/>
      <c r="BW1568" s="15"/>
      <c r="BX1568" s="15"/>
      <c r="BY1568" s="15"/>
      <c r="BZ1568" s="15"/>
      <c r="CA1568" s="15"/>
      <c r="CB1568" s="15"/>
    </row>
    <row r="1569" spans="1:80" ht="12.75" hidden="1" customHeight="1">
      <c r="A1569" s="20">
        <f ca="1">IFERROR(__xludf.DUMMYFUNCTION("""COMPUTED_VALUE"""),2022)</f>
        <v>2022</v>
      </c>
      <c r="B1569" s="45">
        <f ca="1">IFERROR(__xludf.DUMMYFUNCTION("""COMPUTED_VALUE"""),45112)</f>
        <v>45112</v>
      </c>
      <c r="C1569" s="46"/>
      <c r="D1569" s="47" t="str">
        <f ca="1">IFERROR(__xludf.DUMMYFUNCTION("""COMPUTED_VALUE"""),"Slavonian Grebe")</f>
        <v>Slavonian Grebe</v>
      </c>
      <c r="E1569" s="52">
        <f ca="1">IFERROR(__xludf.DUMMYFUNCTION("""COMPUTED_VALUE"""),1)</f>
        <v>1</v>
      </c>
      <c r="F1569" s="25"/>
      <c r="G1569" s="48" t="str">
        <f ca="1">IFERROR(__xludf.DUMMYFUNCTION("""COMPUTED_VALUE"""),"Burton Mere Wetlands")</f>
        <v>Burton Mere Wetlands</v>
      </c>
      <c r="H1569" s="22">
        <f ca="1">IFERROR(__xludf.DUMMYFUNCTION("""COMPUTED_VALUE"""),44842)</f>
        <v>44842</v>
      </c>
      <c r="I1569" s="22">
        <f ca="1">IFERROR(__xludf.DUMMYFUNCTION("""COMPUTED_VALUE"""),44854)</f>
        <v>44854</v>
      </c>
      <c r="J1569" s="24"/>
      <c r="K1569" s="25"/>
      <c r="L1569" s="27" t="str">
        <f ca="1">IFERROR(__xludf.DUMMYFUNCTION("""COMPUTED_VALUE"""),"closed")</f>
        <v>closed</v>
      </c>
      <c r="M1569" s="27"/>
      <c r="N1569" s="25" t="str">
        <f ca="1">IFERROR(__xludf.DUMMYFUNCTION("""COMPUTED_VALUE"""),"Accepted w/o circ")</f>
        <v>Accepted w/o circ</v>
      </c>
      <c r="O1569" s="28" t="str">
        <f ca="1">IFERROR(__xludf.DUMMYFUNCTION("""COMPUTED_VALUE"""),"Multip observed and photographed  - #")</f>
        <v>Multip observed and photographed  - #</v>
      </c>
      <c r="P1569" s="25"/>
      <c r="Q1569" s="25"/>
      <c r="R1569" s="25"/>
      <c r="S1569" s="25"/>
      <c r="T1569" s="25"/>
      <c r="U1569" s="25"/>
      <c r="V1569" s="25"/>
      <c r="W1569" s="25"/>
      <c r="X1569" s="25"/>
      <c r="Y1569" s="25"/>
      <c r="Z1569" s="25"/>
      <c r="AA1569" s="25"/>
      <c r="AB1569" s="25"/>
      <c r="AC1569" s="25"/>
      <c r="AD1569" s="25"/>
      <c r="AE1569" s="25"/>
      <c r="AF1569" s="25"/>
      <c r="AG1569" s="25"/>
      <c r="AH1569" s="25"/>
      <c r="AI1569" s="25"/>
      <c r="AJ1569" s="25"/>
      <c r="AK1569" s="25"/>
      <c r="AL1569" s="25"/>
      <c r="AM1569" s="25"/>
      <c r="AN1569" s="25"/>
      <c r="AO1569" s="25"/>
      <c r="AP1569" s="25"/>
      <c r="AQ1569" s="25"/>
      <c r="AR1569" s="25"/>
      <c r="AS1569" s="25"/>
      <c r="AT1569" s="25"/>
      <c r="AU1569" s="25"/>
      <c r="AV1569" s="25"/>
      <c r="AW1569" s="25"/>
      <c r="AX1569" s="25"/>
      <c r="AY1569" s="25"/>
      <c r="AZ1569" s="25"/>
      <c r="BA1569" s="25"/>
      <c r="BB1569" s="25"/>
      <c r="BC1569" s="25"/>
      <c r="BD1569" s="25"/>
      <c r="BE1569" s="25"/>
      <c r="BF1569" s="25"/>
      <c r="BG1569" s="25"/>
      <c r="BH1569" s="25"/>
      <c r="BI1569" s="25"/>
      <c r="BJ1569" s="25"/>
      <c r="BK1569" s="25"/>
      <c r="BL1569" s="25"/>
      <c r="BM1569" s="25"/>
      <c r="BN1569" s="25"/>
      <c r="BO1569" s="25"/>
      <c r="BP1569" s="25"/>
      <c r="BQ1569" s="25"/>
      <c r="BR1569" s="25"/>
      <c r="BS1569" s="25"/>
      <c r="BT1569" s="25"/>
      <c r="BU1569" s="25"/>
      <c r="BV1569" s="25"/>
      <c r="BW1569" s="25"/>
      <c r="BX1569" s="25"/>
      <c r="BY1569" s="25"/>
      <c r="BZ1569" s="25"/>
      <c r="CA1569" s="25"/>
      <c r="CB1569" s="25"/>
    </row>
    <row r="1570" spans="1:80" ht="12.75" hidden="1" customHeight="1">
      <c r="A1570" s="10">
        <f ca="1">IFERROR(__xludf.DUMMYFUNCTION("""COMPUTED_VALUE"""),2022)</f>
        <v>2022</v>
      </c>
      <c r="B1570" s="50">
        <f ca="1">IFERROR(__xludf.DUMMYFUNCTION("""COMPUTED_VALUE"""),44726)</f>
        <v>44726</v>
      </c>
      <c r="C1570" s="41"/>
      <c r="D1570" s="42" t="str">
        <f ca="1">IFERROR(__xludf.DUMMYFUNCTION("""COMPUTED_VALUE"""),"Slavonian Grebe")</f>
        <v>Slavonian Grebe</v>
      </c>
      <c r="E1570" s="53">
        <f ca="1">IFERROR(__xludf.DUMMYFUNCTION("""COMPUTED_VALUE"""),1)</f>
        <v>1</v>
      </c>
      <c r="F1570" s="15"/>
      <c r="G1570" s="44" t="str">
        <f ca="1">IFERROR(__xludf.DUMMYFUNCTION("""COMPUTED_VALUE"""),"Leasowe Lighthouse")</f>
        <v>Leasowe Lighthouse</v>
      </c>
      <c r="H1570" s="12">
        <f ca="1">IFERROR(__xludf.DUMMYFUNCTION("""COMPUTED_VALUE"""),44855)</f>
        <v>44855</v>
      </c>
      <c r="I1570" s="13"/>
      <c r="J1570" s="14"/>
      <c r="K1570" s="15"/>
      <c r="L1570" s="17" t="str">
        <f ca="1">IFERROR(__xludf.DUMMYFUNCTION("""COMPUTED_VALUE"""),"limbo")</f>
        <v>limbo</v>
      </c>
      <c r="M1570" s="17"/>
      <c r="N1570" s="15" t="str">
        <f ca="1">IFERROR(__xludf.DUMMYFUNCTION("""COMPUTED_VALUE"""),"not submitted")</f>
        <v>not submitted</v>
      </c>
      <c r="O1570" s="18"/>
      <c r="P1570" s="15"/>
      <c r="Q1570" s="15"/>
      <c r="R1570" s="15"/>
      <c r="S1570" s="15"/>
      <c r="T1570" s="15"/>
      <c r="U1570" s="15"/>
      <c r="V1570" s="15"/>
      <c r="W1570" s="15"/>
      <c r="X1570" s="15"/>
      <c r="Y1570" s="15"/>
      <c r="Z1570" s="15"/>
      <c r="AA1570" s="15"/>
      <c r="AB1570" s="15"/>
      <c r="AC1570" s="15"/>
      <c r="AD1570" s="15"/>
      <c r="AE1570" s="15"/>
      <c r="AF1570" s="15"/>
      <c r="AG1570" s="15"/>
      <c r="AH1570" s="15"/>
      <c r="AI1570" s="15"/>
      <c r="AJ1570" s="15"/>
      <c r="AK1570" s="15"/>
      <c r="AL1570" s="15"/>
      <c r="AM1570" s="15"/>
      <c r="AN1570" s="15"/>
      <c r="AO1570" s="15"/>
      <c r="AP1570" s="15"/>
      <c r="AQ1570" s="15"/>
      <c r="AR1570" s="15"/>
      <c r="AS1570" s="15"/>
      <c r="AT1570" s="15"/>
      <c r="AU1570" s="15"/>
      <c r="AV1570" s="15"/>
      <c r="AW1570" s="15"/>
      <c r="AX1570" s="15"/>
      <c r="AY1570" s="15"/>
      <c r="AZ1570" s="15"/>
      <c r="BA1570" s="15"/>
      <c r="BB1570" s="15"/>
      <c r="BC1570" s="15"/>
      <c r="BD1570" s="15"/>
      <c r="BE1570" s="15"/>
      <c r="BF1570" s="15"/>
      <c r="BG1570" s="15"/>
      <c r="BH1570" s="15"/>
      <c r="BI1570" s="15"/>
      <c r="BJ1570" s="15"/>
      <c r="BK1570" s="15"/>
      <c r="BL1570" s="15"/>
      <c r="BM1570" s="15"/>
      <c r="BN1570" s="15"/>
      <c r="BO1570" s="15"/>
      <c r="BP1570" s="15"/>
      <c r="BQ1570" s="15"/>
      <c r="BR1570" s="15"/>
      <c r="BS1570" s="15"/>
      <c r="BT1570" s="15"/>
      <c r="BU1570" s="15"/>
      <c r="BV1570" s="15"/>
      <c r="BW1570" s="15"/>
      <c r="BX1570" s="15"/>
      <c r="BY1570" s="15"/>
      <c r="BZ1570" s="15"/>
      <c r="CA1570" s="15"/>
      <c r="CB1570" s="15"/>
    </row>
    <row r="1571" spans="1:80" ht="12.75" hidden="1" customHeight="1">
      <c r="A1571" s="20">
        <f ca="1">IFERROR(__xludf.DUMMYFUNCTION("""COMPUTED_VALUE"""),2022)</f>
        <v>2022</v>
      </c>
      <c r="B1571" s="45">
        <f ca="1">IFERROR(__xludf.DUMMYFUNCTION("""COMPUTED_VALUE"""),45114)</f>
        <v>45114</v>
      </c>
      <c r="C1571" s="46"/>
      <c r="D1571" s="47" t="str">
        <f ca="1">IFERROR(__xludf.DUMMYFUNCTION("""COMPUTED_VALUE"""),"Slavonian Grebe")</f>
        <v>Slavonian Grebe</v>
      </c>
      <c r="E1571" s="52">
        <f ca="1">IFERROR(__xludf.DUMMYFUNCTION("""COMPUTED_VALUE"""),1)</f>
        <v>1</v>
      </c>
      <c r="F1571" s="25"/>
      <c r="G1571" s="48" t="str">
        <f ca="1">IFERROR(__xludf.DUMMYFUNCTION("""COMPUTED_VALUE"""),"Rostherne Mere NNR")</f>
        <v>Rostherne Mere NNR</v>
      </c>
      <c r="H1571" s="22">
        <f ca="1">IFERROR(__xludf.DUMMYFUNCTION("""COMPUTED_VALUE"""),44859)</f>
        <v>44859</v>
      </c>
      <c r="I1571" s="23"/>
      <c r="J1571" s="24" t="str">
        <f ca="1">IFERROR(__xludf.DUMMYFUNCTION("""COMPUTED_VALUE"""),"Bellamy, W")</f>
        <v>Bellamy, W</v>
      </c>
      <c r="K1571" s="25" t="str">
        <f ca="1">IFERROR(__xludf.DUMMYFUNCTION("""COMPUTED_VALUE"""),"Bellamy, W")</f>
        <v>Bellamy, W</v>
      </c>
      <c r="L1571" s="27" t="str">
        <f ca="1">IFERROR(__xludf.DUMMYFUNCTION("""COMPUTED_VALUE"""),"closed")</f>
        <v>closed</v>
      </c>
      <c r="M1571" s="27"/>
      <c r="N1571" s="25" t="str">
        <f ca="1">IFERROR(__xludf.DUMMYFUNCTION("""COMPUTED_VALUE"""),"Accepted")</f>
        <v>Accepted</v>
      </c>
      <c r="O1571" s="28"/>
      <c r="P1571" s="25"/>
      <c r="Q1571" s="25"/>
      <c r="R1571" s="25"/>
      <c r="S1571" s="25"/>
      <c r="T1571" s="25"/>
      <c r="U1571" s="25"/>
      <c r="V1571" s="25"/>
      <c r="W1571" s="25"/>
      <c r="X1571" s="25"/>
      <c r="Y1571" s="25"/>
      <c r="Z1571" s="25"/>
      <c r="AA1571" s="25"/>
      <c r="AB1571" s="25"/>
      <c r="AC1571" s="25"/>
      <c r="AD1571" s="25"/>
      <c r="AE1571" s="25"/>
      <c r="AF1571" s="25"/>
      <c r="AG1571" s="25"/>
      <c r="AH1571" s="25"/>
      <c r="AI1571" s="25"/>
      <c r="AJ1571" s="25"/>
      <c r="AK1571" s="25"/>
      <c r="AL1571" s="25"/>
      <c r="AM1571" s="25"/>
      <c r="AN1571" s="25"/>
      <c r="AO1571" s="25"/>
      <c r="AP1571" s="25"/>
      <c r="AQ1571" s="25"/>
      <c r="AR1571" s="25"/>
      <c r="AS1571" s="25"/>
      <c r="AT1571" s="25"/>
      <c r="AU1571" s="25"/>
      <c r="AV1571" s="25"/>
      <c r="AW1571" s="25"/>
      <c r="AX1571" s="25"/>
      <c r="AY1571" s="25"/>
      <c r="AZ1571" s="25"/>
      <c r="BA1571" s="25"/>
      <c r="BB1571" s="25"/>
      <c r="BC1571" s="25"/>
      <c r="BD1571" s="25"/>
      <c r="BE1571" s="25"/>
      <c r="BF1571" s="25"/>
      <c r="BG1571" s="25"/>
      <c r="BH1571" s="25"/>
      <c r="BI1571" s="25"/>
      <c r="BJ1571" s="25"/>
      <c r="BK1571" s="25"/>
      <c r="BL1571" s="25"/>
      <c r="BM1571" s="25"/>
      <c r="BN1571" s="25"/>
      <c r="BO1571" s="25"/>
      <c r="BP1571" s="25"/>
      <c r="BQ1571" s="25"/>
      <c r="BR1571" s="25"/>
      <c r="BS1571" s="25"/>
      <c r="BT1571" s="25"/>
      <c r="BU1571" s="25"/>
      <c r="BV1571" s="25"/>
      <c r="BW1571" s="25"/>
      <c r="BX1571" s="25"/>
      <c r="BY1571" s="25"/>
      <c r="BZ1571" s="25"/>
      <c r="CA1571" s="25"/>
      <c r="CB1571" s="25"/>
    </row>
    <row r="1572" spans="1:80" ht="12.75" hidden="1" customHeight="1">
      <c r="A1572" s="10">
        <f ca="1">IFERROR(__xludf.DUMMYFUNCTION("""COMPUTED_VALUE"""),2022)</f>
        <v>2022</v>
      </c>
      <c r="B1572" s="50">
        <f ca="1">IFERROR(__xludf.DUMMYFUNCTION("""COMPUTED_VALUE"""),44884)</f>
        <v>44884</v>
      </c>
      <c r="C1572" s="41"/>
      <c r="D1572" s="42" t="str">
        <f ca="1">IFERROR(__xludf.DUMMYFUNCTION("""COMPUTED_VALUE"""),"Black-winged Stilt")</f>
        <v>Black-winged Stilt</v>
      </c>
      <c r="E1572" s="53">
        <f ca="1">IFERROR(__xludf.DUMMYFUNCTION("""COMPUTED_VALUE"""),5)</f>
        <v>5</v>
      </c>
      <c r="F1572" s="15"/>
      <c r="G1572" s="44" t="str">
        <f ca="1">IFERROR(__xludf.DUMMYFUNCTION("""COMPUTED_VALUE"""),"Doddington Pool")</f>
        <v>Doddington Pool</v>
      </c>
      <c r="H1572" s="12">
        <f ca="1">IFERROR(__xludf.DUMMYFUNCTION("""COMPUTED_VALUE"""),44784)</f>
        <v>44784</v>
      </c>
      <c r="I1572" s="12">
        <f ca="1">IFERROR(__xludf.DUMMYFUNCTION("""COMPUTED_VALUE"""),44798)</f>
        <v>44798</v>
      </c>
      <c r="J1572" s="14" t="str">
        <f ca="1">IFERROR(__xludf.DUMMYFUNCTION("""COMPUTED_VALUE"""),"County recorder")</f>
        <v>County recorder</v>
      </c>
      <c r="K1572" s="15" t="str">
        <f ca="1">IFERROR(__xludf.DUMMYFUNCTION("""COMPUTED_VALUE"""),"Mike and Andy Warner")</f>
        <v>Mike and Andy Warner</v>
      </c>
      <c r="L1572" s="17" t="str">
        <f ca="1">IFERROR(__xludf.DUMMYFUNCTION("""COMPUTED_VALUE"""),"closed")</f>
        <v>closed</v>
      </c>
      <c r="M1572" s="17" t="str">
        <f ca="1">IFERROR(__xludf.DUMMYFUNCTION("""COMPUTED_VALUE"""),"photo")</f>
        <v>photo</v>
      </c>
      <c r="N1572" s="15" t="str">
        <f ca="1">IFERROR(__xludf.DUMMYFUNCTION("""COMPUTED_VALUE"""),"Accepted w/o circ")</f>
        <v>Accepted w/o circ</v>
      </c>
      <c r="O1572" s="18"/>
      <c r="P1572" s="15"/>
      <c r="Q1572" s="15"/>
      <c r="R1572" s="15"/>
      <c r="S1572" s="15"/>
      <c r="T1572" s="15"/>
      <c r="U1572" s="15"/>
      <c r="V1572" s="15"/>
      <c r="W1572" s="15"/>
      <c r="X1572" s="15"/>
      <c r="Y1572" s="15"/>
      <c r="Z1572" s="15"/>
      <c r="AA1572" s="15"/>
      <c r="AB1572" s="15"/>
      <c r="AC1572" s="15"/>
      <c r="AD1572" s="15"/>
      <c r="AE1572" s="15"/>
      <c r="AF1572" s="15"/>
      <c r="AG1572" s="15"/>
      <c r="AH1572" s="15"/>
      <c r="AI1572" s="15"/>
      <c r="AJ1572" s="15"/>
      <c r="AK1572" s="15"/>
      <c r="AL1572" s="15"/>
      <c r="AM1572" s="15"/>
      <c r="AN1572" s="15"/>
      <c r="AO1572" s="15"/>
      <c r="AP1572" s="15"/>
      <c r="AQ1572" s="15"/>
      <c r="AR1572" s="15"/>
      <c r="AS1572" s="15"/>
      <c r="AT1572" s="15"/>
      <c r="AU1572" s="15"/>
      <c r="AV1572" s="15"/>
      <c r="AW1572" s="15"/>
      <c r="AX1572" s="15"/>
      <c r="AY1572" s="15"/>
      <c r="AZ1572" s="15"/>
      <c r="BA1572" s="15"/>
      <c r="BB1572" s="15"/>
      <c r="BC1572" s="15"/>
      <c r="BD1572" s="15"/>
      <c r="BE1572" s="15"/>
      <c r="BF1572" s="15"/>
      <c r="BG1572" s="15"/>
      <c r="BH1572" s="15"/>
      <c r="BI1572" s="15"/>
      <c r="BJ1572" s="15"/>
      <c r="BK1572" s="15"/>
      <c r="BL1572" s="15"/>
      <c r="BM1572" s="15"/>
      <c r="BN1572" s="15"/>
      <c r="BO1572" s="15"/>
      <c r="BP1572" s="15"/>
      <c r="BQ1572" s="15"/>
      <c r="BR1572" s="15"/>
      <c r="BS1572" s="15"/>
      <c r="BT1572" s="15"/>
      <c r="BU1572" s="15"/>
      <c r="BV1572" s="15"/>
      <c r="BW1572" s="15"/>
      <c r="BX1572" s="15"/>
      <c r="BY1572" s="15"/>
      <c r="BZ1572" s="15"/>
      <c r="CA1572" s="15"/>
      <c r="CB1572" s="15"/>
    </row>
    <row r="1573" spans="1:80" ht="12.75" hidden="1" customHeight="1">
      <c r="A1573" s="20">
        <f ca="1">IFERROR(__xludf.DUMMYFUNCTION("""COMPUTED_VALUE"""),2022)</f>
        <v>2022</v>
      </c>
      <c r="B1573" s="45"/>
      <c r="C1573" s="46"/>
      <c r="D1573" s="47" t="str">
        <f ca="1">IFERROR(__xludf.DUMMYFUNCTION("""COMPUTED_VALUE"""),"White-tailed Lapwing")</f>
        <v>White-tailed Lapwing</v>
      </c>
      <c r="E1573" s="52"/>
      <c r="F1573" s="25"/>
      <c r="G1573" s="48" t="str">
        <f ca="1">IFERROR(__xludf.DUMMYFUNCTION("""COMPUTED_VALUE"""),"Woolston ")</f>
        <v xml:space="preserve">Woolston </v>
      </c>
      <c r="H1573" s="22">
        <f ca="1">IFERROR(__xludf.DUMMYFUNCTION("""COMPUTED_VALUE"""),44712)</f>
        <v>44712</v>
      </c>
      <c r="I1573" s="23"/>
      <c r="J1573" s="24"/>
      <c r="K1573" s="25"/>
      <c r="L1573" s="27" t="str">
        <f ca="1">IFERROR(__xludf.DUMMYFUNCTION("""COMPUTED_VALUE"""),"closed")</f>
        <v>closed</v>
      </c>
      <c r="M1573" s="27"/>
      <c r="N1573" s="25" t="str">
        <f ca="1">IFERROR(__xludf.DUMMYFUNCTION("""COMPUTED_VALUE"""),"Accepted")</f>
        <v>Accepted</v>
      </c>
      <c r="O1573" s="28"/>
      <c r="P1573" s="25"/>
      <c r="Q1573" s="25"/>
      <c r="R1573" s="25"/>
      <c r="S1573" s="25"/>
      <c r="T1573" s="25"/>
      <c r="U1573" s="25"/>
      <c r="V1573" s="25"/>
      <c r="W1573" s="25"/>
      <c r="X1573" s="25"/>
      <c r="Y1573" s="25"/>
      <c r="Z1573" s="25"/>
      <c r="AA1573" s="25"/>
      <c r="AB1573" s="25"/>
      <c r="AC1573" s="25"/>
      <c r="AD1573" s="25"/>
      <c r="AE1573" s="25"/>
      <c r="AF1573" s="25"/>
      <c r="AG1573" s="25"/>
      <c r="AH1573" s="25"/>
      <c r="AI1573" s="25"/>
      <c r="AJ1573" s="25"/>
      <c r="AK1573" s="25"/>
      <c r="AL1573" s="25"/>
      <c r="AM1573" s="25"/>
      <c r="AN1573" s="25"/>
      <c r="AO1573" s="25"/>
      <c r="AP1573" s="25"/>
      <c r="AQ1573" s="25"/>
      <c r="AR1573" s="25"/>
      <c r="AS1573" s="25"/>
      <c r="AT1573" s="25"/>
      <c r="AU1573" s="25"/>
      <c r="AV1573" s="25"/>
      <c r="AW1573" s="25"/>
      <c r="AX1573" s="25"/>
      <c r="AY1573" s="25"/>
      <c r="AZ1573" s="25"/>
      <c r="BA1573" s="25"/>
      <c r="BB1573" s="25"/>
      <c r="BC1573" s="25"/>
      <c r="BD1573" s="25"/>
      <c r="BE1573" s="25"/>
      <c r="BF1573" s="25"/>
      <c r="BG1573" s="25"/>
      <c r="BH1573" s="25"/>
      <c r="BI1573" s="25"/>
      <c r="BJ1573" s="25"/>
      <c r="BK1573" s="25"/>
      <c r="BL1573" s="25"/>
      <c r="BM1573" s="25"/>
      <c r="BN1573" s="25"/>
      <c r="BO1573" s="25"/>
      <c r="BP1573" s="25"/>
      <c r="BQ1573" s="25"/>
      <c r="BR1573" s="25"/>
      <c r="BS1573" s="25"/>
      <c r="BT1573" s="25"/>
      <c r="BU1573" s="25"/>
      <c r="BV1573" s="25"/>
      <c r="BW1573" s="25"/>
      <c r="BX1573" s="25"/>
      <c r="BY1573" s="25"/>
      <c r="BZ1573" s="25"/>
      <c r="CA1573" s="25"/>
      <c r="CB1573" s="25"/>
    </row>
    <row r="1574" spans="1:80" ht="12.75" hidden="1" customHeight="1">
      <c r="A1574" s="10">
        <f ca="1">IFERROR(__xludf.DUMMYFUNCTION("""COMPUTED_VALUE"""),2022)</f>
        <v>2022</v>
      </c>
      <c r="B1574" s="50">
        <f ca="1">IFERROR(__xludf.DUMMYFUNCTION("""COMPUTED_VALUE"""),44685)</f>
        <v>44685</v>
      </c>
      <c r="C1574" s="41"/>
      <c r="D1574" s="42" t="str">
        <f ca="1">IFERROR(__xludf.DUMMYFUNCTION("""COMPUTED_VALUE"""),"Dotterel")</f>
        <v>Dotterel</v>
      </c>
      <c r="E1574" s="53">
        <f ca="1">IFERROR(__xludf.DUMMYFUNCTION("""COMPUTED_VALUE"""),1)</f>
        <v>1</v>
      </c>
      <c r="F1574" s="15" t="str">
        <f ca="1">IFERROR(__xludf.DUMMYFUNCTION("""COMPUTED_VALUE"""),"fem")</f>
        <v>fem</v>
      </c>
      <c r="G1574" s="44" t="str">
        <f ca="1">IFERROR(__xludf.DUMMYFUNCTION("""COMPUTED_VALUE"""),"Congleton")</f>
        <v>Congleton</v>
      </c>
      <c r="H1574" s="12">
        <f ca="1">IFERROR(__xludf.DUMMYFUNCTION("""COMPUTED_VALUE"""),44684)</f>
        <v>44684</v>
      </c>
      <c r="I1574" s="13" t="str">
        <f ca="1">IFERROR(__xludf.DUMMYFUNCTION("""COMPUTED_VALUE"""),"4/5///22")</f>
        <v>4/5///22</v>
      </c>
      <c r="J1574" s="14" t="str">
        <f ca="1">IFERROR(__xludf.DUMMYFUNCTION("""COMPUTED_VALUE"""),"County recorder")</f>
        <v>County recorder</v>
      </c>
      <c r="K1574" s="15" t="str">
        <f ca="1">IFERROR(__xludf.DUMMYFUNCTION("""COMPUTED_VALUE"""),"Oddy, P")</f>
        <v>Oddy, P</v>
      </c>
      <c r="L1574" s="17" t="str">
        <f ca="1">IFERROR(__xludf.DUMMYFUNCTION("""COMPUTED_VALUE"""),"closed")</f>
        <v>closed</v>
      </c>
      <c r="M1574" s="17" t="str">
        <f ca="1">IFERROR(__xludf.DUMMYFUNCTION("""COMPUTED_VALUE"""),"photo")</f>
        <v>photo</v>
      </c>
      <c r="N1574" s="15" t="str">
        <f ca="1">IFERROR(__xludf.DUMMYFUNCTION("""COMPUTED_VALUE"""),"Accepted w/o circ")</f>
        <v>Accepted w/o circ</v>
      </c>
      <c r="O1574" s="18" t="str">
        <f ca="1">IFERROR(__xludf.DUMMYFUNCTION("""COMPUTED_VALUE"""),"may have later date yet")</f>
        <v>may have later date yet</v>
      </c>
      <c r="P1574" s="15"/>
      <c r="Q1574" s="15"/>
      <c r="R1574" s="15"/>
      <c r="S1574" s="15"/>
      <c r="T1574" s="15"/>
      <c r="U1574" s="15"/>
      <c r="V1574" s="15"/>
      <c r="W1574" s="15"/>
      <c r="X1574" s="15"/>
      <c r="Y1574" s="15"/>
      <c r="Z1574" s="15"/>
      <c r="AA1574" s="15"/>
      <c r="AB1574" s="15"/>
      <c r="AC1574" s="15"/>
      <c r="AD1574" s="15"/>
      <c r="AE1574" s="15"/>
      <c r="AF1574" s="15"/>
      <c r="AG1574" s="15"/>
      <c r="AH1574" s="15"/>
      <c r="AI1574" s="15"/>
      <c r="AJ1574" s="15"/>
      <c r="AK1574" s="15"/>
      <c r="AL1574" s="15"/>
      <c r="AM1574" s="15"/>
      <c r="AN1574" s="15"/>
      <c r="AO1574" s="15"/>
      <c r="AP1574" s="15"/>
      <c r="AQ1574" s="15"/>
      <c r="AR1574" s="15"/>
      <c r="AS1574" s="15"/>
      <c r="AT1574" s="15"/>
      <c r="AU1574" s="15"/>
      <c r="AV1574" s="15"/>
      <c r="AW1574" s="15"/>
      <c r="AX1574" s="15"/>
      <c r="AY1574" s="15"/>
      <c r="AZ1574" s="15"/>
      <c r="BA1574" s="15"/>
      <c r="BB1574" s="15"/>
      <c r="BC1574" s="15"/>
      <c r="BD1574" s="15"/>
      <c r="BE1574" s="15"/>
      <c r="BF1574" s="15"/>
      <c r="BG1574" s="15"/>
      <c r="BH1574" s="15"/>
      <c r="BI1574" s="15"/>
      <c r="BJ1574" s="15"/>
      <c r="BK1574" s="15"/>
      <c r="BL1574" s="15"/>
      <c r="BM1574" s="15"/>
      <c r="BN1574" s="15"/>
      <c r="BO1574" s="15"/>
      <c r="BP1574" s="15"/>
      <c r="BQ1574" s="15"/>
      <c r="BR1574" s="15"/>
      <c r="BS1574" s="15"/>
      <c r="BT1574" s="15"/>
      <c r="BU1574" s="15"/>
      <c r="BV1574" s="15"/>
      <c r="BW1574" s="15"/>
      <c r="BX1574" s="15"/>
      <c r="BY1574" s="15"/>
      <c r="BZ1574" s="15"/>
      <c r="CA1574" s="15"/>
      <c r="CB1574" s="15"/>
    </row>
    <row r="1575" spans="1:80" ht="12.75" hidden="1" customHeight="1">
      <c r="A1575" s="20">
        <f ca="1">IFERROR(__xludf.DUMMYFUNCTION("""COMPUTED_VALUE"""),2022)</f>
        <v>2022</v>
      </c>
      <c r="B1575" s="45">
        <f ca="1">IFERROR(__xludf.DUMMYFUNCTION("""COMPUTED_VALUE"""),44685)</f>
        <v>44685</v>
      </c>
      <c r="C1575" s="46"/>
      <c r="D1575" s="47" t="str">
        <f ca="1">IFERROR(__xludf.DUMMYFUNCTION("""COMPUTED_VALUE"""),"Temminck's Stint")</f>
        <v>Temminck's Stint</v>
      </c>
      <c r="E1575" s="52">
        <f ca="1">IFERROR(__xludf.DUMMYFUNCTION("""COMPUTED_VALUE"""),1)</f>
        <v>1</v>
      </c>
      <c r="F1575" s="25"/>
      <c r="G1575" s="48" t="str">
        <f ca="1">IFERROR(__xludf.DUMMYFUNCTION("""COMPUTED_VALUE"""),"Woolston Eyes")</f>
        <v>Woolston Eyes</v>
      </c>
      <c r="H1575" s="22">
        <f ca="1">IFERROR(__xludf.DUMMYFUNCTION("""COMPUTED_VALUE"""),44679)</f>
        <v>44679</v>
      </c>
      <c r="I1575" s="23"/>
      <c r="J1575" s="24" t="str">
        <f ca="1">IFERROR(__xludf.DUMMYFUNCTION("""COMPUTED_VALUE"""),"County recorder")</f>
        <v>County recorder</v>
      </c>
      <c r="K1575" s="25" t="str">
        <f ca="1">IFERROR(__xludf.DUMMYFUNCTION("""COMPUTED_VALUE"""),"Dan Owen")</f>
        <v>Dan Owen</v>
      </c>
      <c r="L1575" s="27" t="str">
        <f ca="1">IFERROR(__xludf.DUMMYFUNCTION("""COMPUTED_VALUE"""),"closed")</f>
        <v>closed</v>
      </c>
      <c r="M1575" s="27"/>
      <c r="N1575" s="25" t="str">
        <f ca="1">IFERROR(__xludf.DUMMYFUNCTION("""COMPUTED_VALUE"""),"Accepted w/o circ")</f>
        <v>Accepted w/o circ</v>
      </c>
      <c r="O1575" s="28"/>
      <c r="P1575" s="25"/>
      <c r="Q1575" s="25"/>
      <c r="R1575" s="25"/>
      <c r="S1575" s="25"/>
      <c r="T1575" s="25"/>
      <c r="U1575" s="25"/>
      <c r="V1575" s="25"/>
      <c r="W1575" s="25"/>
      <c r="X1575" s="25"/>
      <c r="Y1575" s="25"/>
      <c r="Z1575" s="25"/>
      <c r="AA1575" s="25"/>
      <c r="AB1575" s="25"/>
      <c r="AC1575" s="25"/>
      <c r="AD1575" s="25"/>
      <c r="AE1575" s="25"/>
      <c r="AF1575" s="25"/>
      <c r="AG1575" s="25"/>
      <c r="AH1575" s="25"/>
      <c r="AI1575" s="25"/>
      <c r="AJ1575" s="25"/>
      <c r="AK1575" s="25"/>
      <c r="AL1575" s="25"/>
      <c r="AM1575" s="25"/>
      <c r="AN1575" s="25"/>
      <c r="AO1575" s="25"/>
      <c r="AP1575" s="25"/>
      <c r="AQ1575" s="25"/>
      <c r="AR1575" s="25"/>
      <c r="AS1575" s="25"/>
      <c r="AT1575" s="25"/>
      <c r="AU1575" s="25"/>
      <c r="AV1575" s="25"/>
      <c r="AW1575" s="25"/>
      <c r="AX1575" s="25"/>
      <c r="AY1575" s="25"/>
      <c r="AZ1575" s="25"/>
      <c r="BA1575" s="25"/>
      <c r="BB1575" s="25"/>
      <c r="BC1575" s="25"/>
      <c r="BD1575" s="25"/>
      <c r="BE1575" s="25"/>
      <c r="BF1575" s="25"/>
      <c r="BG1575" s="25"/>
      <c r="BH1575" s="25"/>
      <c r="BI1575" s="25"/>
      <c r="BJ1575" s="25"/>
      <c r="BK1575" s="25"/>
      <c r="BL1575" s="25"/>
      <c r="BM1575" s="25"/>
      <c r="BN1575" s="25"/>
      <c r="BO1575" s="25"/>
      <c r="BP1575" s="25"/>
      <c r="BQ1575" s="25"/>
      <c r="BR1575" s="25"/>
      <c r="BS1575" s="25"/>
      <c r="BT1575" s="25"/>
      <c r="BU1575" s="25"/>
      <c r="BV1575" s="25"/>
      <c r="BW1575" s="25"/>
      <c r="BX1575" s="25"/>
      <c r="BY1575" s="25"/>
      <c r="BZ1575" s="25"/>
      <c r="CA1575" s="25"/>
      <c r="CB1575" s="25"/>
    </row>
    <row r="1576" spans="1:80" ht="12.75" hidden="1" customHeight="1">
      <c r="A1576" s="10">
        <f ca="1">IFERROR(__xludf.DUMMYFUNCTION("""COMPUTED_VALUE"""),2022)</f>
        <v>2022</v>
      </c>
      <c r="B1576" s="50">
        <f ca="1">IFERROR(__xludf.DUMMYFUNCTION("""COMPUTED_VALUE"""),45181)</f>
        <v>45181</v>
      </c>
      <c r="C1576" s="41">
        <f ca="1">IFERROR(__xludf.DUMMYFUNCTION("""COMPUTED_VALUE"""),44876)</f>
        <v>44876</v>
      </c>
      <c r="D1576" s="42" t="str">
        <f ca="1">IFERROR(__xludf.DUMMYFUNCTION("""COMPUTED_VALUE"""),"Pectoral Sandpiper")</f>
        <v>Pectoral Sandpiper</v>
      </c>
      <c r="E1576" s="53">
        <f ca="1">IFERROR(__xludf.DUMMYFUNCTION("""COMPUTED_VALUE"""),1)</f>
        <v>1</v>
      </c>
      <c r="F1576" s="15" t="str">
        <f ca="1">IFERROR(__xludf.DUMMYFUNCTION("""COMPUTED_VALUE"""),"ad")</f>
        <v>ad</v>
      </c>
      <c r="G1576" s="44" t="str">
        <f ca="1">IFERROR(__xludf.DUMMYFUNCTION("""COMPUTED_VALUE"""),"Frodsham No 6 Tank")</f>
        <v>Frodsham No 6 Tank</v>
      </c>
      <c r="H1576" s="12">
        <f ca="1">IFERROR(__xludf.DUMMYFUNCTION("""COMPUTED_VALUE"""),44759)</f>
        <v>44759</v>
      </c>
      <c r="I1576" s="12">
        <f ca="1">IFERROR(__xludf.DUMMYFUNCTION("""COMPUTED_VALUE"""),44763)</f>
        <v>44763</v>
      </c>
      <c r="J1576" s="14" t="str">
        <f ca="1">IFERROR(__xludf.DUMMYFUNCTION("""COMPUTED_VALUE"""),"Smith, Dermot")</f>
        <v>Smith, Dermot</v>
      </c>
      <c r="K1576" s="15" t="str">
        <f ca="1">IFERROR(__xludf.DUMMYFUNCTION("""COMPUTED_VALUE"""),"Smith, Dermot")</f>
        <v>Smith, Dermot</v>
      </c>
      <c r="L1576" s="17" t="str">
        <f ca="1">IFERROR(__xludf.DUMMYFUNCTION("""COMPUTED_VALUE"""),"closed")</f>
        <v>closed</v>
      </c>
      <c r="M1576" s="17" t="str">
        <f ca="1">IFERROR(__xludf.DUMMYFUNCTION("""COMPUTED_VALUE"""),"photo")</f>
        <v>photo</v>
      </c>
      <c r="N1576" s="15" t="str">
        <f ca="1">IFERROR(__xludf.DUMMYFUNCTION("""COMPUTED_VALUE"""),"Accepted")</f>
        <v>Accepted</v>
      </c>
      <c r="O1576" s="18"/>
      <c r="P1576" s="15"/>
      <c r="Q1576" s="15"/>
      <c r="R1576" s="15"/>
      <c r="S1576" s="15"/>
      <c r="T1576" s="15"/>
      <c r="U1576" s="15"/>
      <c r="V1576" s="15"/>
      <c r="W1576" s="15"/>
      <c r="X1576" s="15"/>
      <c r="Y1576" s="15"/>
      <c r="Z1576" s="15"/>
      <c r="AA1576" s="15"/>
      <c r="AB1576" s="15"/>
      <c r="AC1576" s="15"/>
      <c r="AD1576" s="15"/>
      <c r="AE1576" s="15"/>
      <c r="AF1576" s="15"/>
      <c r="AG1576" s="15"/>
      <c r="AH1576" s="15"/>
      <c r="AI1576" s="15"/>
      <c r="AJ1576" s="15"/>
      <c r="AK1576" s="15"/>
      <c r="AL1576" s="15"/>
      <c r="AM1576" s="15"/>
      <c r="AN1576" s="15"/>
      <c r="AO1576" s="15"/>
      <c r="AP1576" s="15"/>
      <c r="AQ1576" s="15"/>
      <c r="AR1576" s="15"/>
      <c r="AS1576" s="15"/>
      <c r="AT1576" s="15"/>
      <c r="AU1576" s="15"/>
      <c r="AV1576" s="15"/>
      <c r="AW1576" s="15"/>
      <c r="AX1576" s="15"/>
      <c r="AY1576" s="15"/>
      <c r="AZ1576" s="15"/>
      <c r="BA1576" s="15"/>
      <c r="BB1576" s="15"/>
      <c r="BC1576" s="15"/>
      <c r="BD1576" s="15"/>
      <c r="BE1576" s="15"/>
      <c r="BF1576" s="15"/>
      <c r="BG1576" s="15"/>
      <c r="BH1576" s="15"/>
      <c r="BI1576" s="15"/>
      <c r="BJ1576" s="15"/>
      <c r="BK1576" s="15"/>
      <c r="BL1576" s="15"/>
      <c r="BM1576" s="15"/>
      <c r="BN1576" s="15"/>
      <c r="BO1576" s="15"/>
      <c r="BP1576" s="15"/>
      <c r="BQ1576" s="15"/>
      <c r="BR1576" s="15"/>
      <c r="BS1576" s="15"/>
      <c r="BT1576" s="15"/>
      <c r="BU1576" s="15"/>
      <c r="BV1576" s="15"/>
      <c r="BW1576" s="15"/>
      <c r="BX1576" s="15"/>
      <c r="BY1576" s="15"/>
      <c r="BZ1576" s="15"/>
      <c r="CA1576" s="15"/>
      <c r="CB1576" s="15"/>
    </row>
    <row r="1577" spans="1:80" ht="12.75" hidden="1" customHeight="1">
      <c r="A1577" s="20">
        <f ca="1">IFERROR(__xludf.DUMMYFUNCTION("""COMPUTED_VALUE"""),2022)</f>
        <v>2022</v>
      </c>
      <c r="B1577" s="45">
        <f ca="1">IFERROR(__xludf.DUMMYFUNCTION("""COMPUTED_VALUE"""),44884)</f>
        <v>44884</v>
      </c>
      <c r="C1577" s="46"/>
      <c r="D1577" s="47" t="str">
        <f ca="1">IFERROR(__xludf.DUMMYFUNCTION("""COMPUTED_VALUE"""),"Pectoral Sandpiper")</f>
        <v>Pectoral Sandpiper</v>
      </c>
      <c r="E1577" s="52">
        <f ca="1">IFERROR(__xludf.DUMMYFUNCTION("""COMPUTED_VALUE"""),1)</f>
        <v>1</v>
      </c>
      <c r="F1577" s="25"/>
      <c r="G1577" s="48" t="str">
        <f ca="1">IFERROR(__xludf.DUMMYFUNCTION("""COMPUTED_VALUE"""),"Burton Mere Wetlands")</f>
        <v>Burton Mere Wetlands</v>
      </c>
      <c r="H1577" s="22">
        <f ca="1">IFERROR(__xludf.DUMMYFUNCTION("""COMPUTED_VALUE"""),44807)</f>
        <v>44807</v>
      </c>
      <c r="I1577" s="22">
        <f ca="1">IFERROR(__xludf.DUMMYFUNCTION("""COMPUTED_VALUE"""),44809)</f>
        <v>44809</v>
      </c>
      <c r="J1577" s="24"/>
      <c r="K1577" s="25"/>
      <c r="L1577" s="27" t="str">
        <f ca="1">IFERROR(__xludf.DUMMYFUNCTION("""COMPUTED_VALUE"""),"closed")</f>
        <v>closed</v>
      </c>
      <c r="M1577" s="27" t="str">
        <f ca="1">IFERROR(__xludf.DUMMYFUNCTION("""COMPUTED_VALUE"""),"photo")</f>
        <v>photo</v>
      </c>
      <c r="N1577" s="25" t="str">
        <f ca="1">IFERROR(__xludf.DUMMYFUNCTION("""COMPUTED_VALUE"""),"Accepted w/o circ")</f>
        <v>Accepted w/o circ</v>
      </c>
      <c r="O1577" s="28"/>
      <c r="P1577" s="25"/>
      <c r="Q1577" s="25"/>
      <c r="R1577" s="25"/>
      <c r="S1577" s="25"/>
      <c r="T1577" s="25"/>
      <c r="U1577" s="25"/>
      <c r="V1577" s="25"/>
      <c r="W1577" s="25"/>
      <c r="X1577" s="25"/>
      <c r="Y1577" s="25"/>
      <c r="Z1577" s="25"/>
      <c r="AA1577" s="25"/>
      <c r="AB1577" s="25"/>
      <c r="AC1577" s="25"/>
      <c r="AD1577" s="25"/>
      <c r="AE1577" s="25"/>
      <c r="AF1577" s="25"/>
      <c r="AG1577" s="25"/>
      <c r="AH1577" s="25"/>
      <c r="AI1577" s="25"/>
      <c r="AJ1577" s="25"/>
      <c r="AK1577" s="25"/>
      <c r="AL1577" s="25"/>
      <c r="AM1577" s="25"/>
      <c r="AN1577" s="25"/>
      <c r="AO1577" s="25"/>
      <c r="AP1577" s="25"/>
      <c r="AQ1577" s="25"/>
      <c r="AR1577" s="25"/>
      <c r="AS1577" s="25"/>
      <c r="AT1577" s="25"/>
      <c r="AU1577" s="25"/>
      <c r="AV1577" s="25"/>
      <c r="AW1577" s="25"/>
      <c r="AX1577" s="25"/>
      <c r="AY1577" s="25"/>
      <c r="AZ1577" s="25"/>
      <c r="BA1577" s="25"/>
      <c r="BB1577" s="25"/>
      <c r="BC1577" s="25"/>
      <c r="BD1577" s="25"/>
      <c r="BE1577" s="25"/>
      <c r="BF1577" s="25"/>
      <c r="BG1577" s="25"/>
      <c r="BH1577" s="25"/>
      <c r="BI1577" s="25"/>
      <c r="BJ1577" s="25"/>
      <c r="BK1577" s="25"/>
      <c r="BL1577" s="25"/>
      <c r="BM1577" s="25"/>
      <c r="BN1577" s="25"/>
      <c r="BO1577" s="25"/>
      <c r="BP1577" s="25"/>
      <c r="BQ1577" s="25"/>
      <c r="BR1577" s="25"/>
      <c r="BS1577" s="25"/>
      <c r="BT1577" s="25"/>
      <c r="BU1577" s="25"/>
      <c r="BV1577" s="25"/>
      <c r="BW1577" s="25"/>
      <c r="BX1577" s="25"/>
      <c r="BY1577" s="25"/>
      <c r="BZ1577" s="25"/>
      <c r="CA1577" s="25"/>
      <c r="CB1577" s="25"/>
    </row>
    <row r="1578" spans="1:80" ht="12.75" hidden="1" customHeight="1">
      <c r="A1578" s="10">
        <f ca="1">IFERROR(__xludf.DUMMYFUNCTION("""COMPUTED_VALUE"""),2022)</f>
        <v>2022</v>
      </c>
      <c r="B1578" s="50">
        <f ca="1">IFERROR(__xludf.DUMMYFUNCTION("""COMPUTED_VALUE"""),44841)</f>
        <v>44841</v>
      </c>
      <c r="C1578" s="41"/>
      <c r="D1578" s="42" t="str">
        <f ca="1">IFERROR(__xludf.DUMMYFUNCTION("""COMPUTED_VALUE"""),"Long-billed Dowitcher")</f>
        <v>Long-billed Dowitcher</v>
      </c>
      <c r="E1578" s="53">
        <f ca="1">IFERROR(__xludf.DUMMYFUNCTION("""COMPUTED_VALUE"""),1)</f>
        <v>1</v>
      </c>
      <c r="F1578" s="15" t="str">
        <f ca="1">IFERROR(__xludf.DUMMYFUNCTION("""COMPUTED_VALUE"""),"ad")</f>
        <v>ad</v>
      </c>
      <c r="G1578" s="44" t="str">
        <f ca="1">IFERROR(__xludf.DUMMYFUNCTION("""COMPUTED_VALUE"""),"Burton Mere Wetlands RSPB")</f>
        <v>Burton Mere Wetlands RSPB</v>
      </c>
      <c r="H1578" s="12">
        <f ca="1">IFERROR(__xludf.DUMMYFUNCTION("""COMPUTED_VALUE"""),44757)</f>
        <v>44757</v>
      </c>
      <c r="I1578" s="12">
        <f ca="1">IFERROR(__xludf.DUMMYFUNCTION("""COMPUTED_VALUE"""),44770)</f>
        <v>44770</v>
      </c>
      <c r="J1578" s="14"/>
      <c r="K1578" s="15"/>
      <c r="L1578" s="17" t="str">
        <f ca="1">IFERROR(__xludf.DUMMYFUNCTION("""COMPUTED_VALUE"""),"open")</f>
        <v>open</v>
      </c>
      <c r="M1578" s="17"/>
      <c r="N1578" s="15" t="str">
        <f ca="1">IFERROR(__xludf.DUMMYFUNCTION("""COMPUTED_VALUE"""),"BBRC-IC")</f>
        <v>BBRC-IC</v>
      </c>
      <c r="O1578" s="18"/>
      <c r="P1578" s="15"/>
      <c r="Q1578" s="15"/>
      <c r="R1578" s="15"/>
      <c r="S1578" s="15"/>
      <c r="T1578" s="15"/>
      <c r="U1578" s="15"/>
      <c r="V1578" s="15"/>
      <c r="W1578" s="15"/>
      <c r="X1578" s="15"/>
      <c r="Y1578" s="15"/>
      <c r="Z1578" s="15"/>
      <c r="AA1578" s="15"/>
      <c r="AB1578" s="15"/>
      <c r="AC1578" s="15"/>
      <c r="AD1578" s="15"/>
      <c r="AE1578" s="15"/>
      <c r="AF1578" s="15"/>
      <c r="AG1578" s="15"/>
      <c r="AH1578" s="15"/>
      <c r="AI1578" s="15"/>
      <c r="AJ1578" s="15"/>
      <c r="AK1578" s="15"/>
      <c r="AL1578" s="15"/>
      <c r="AM1578" s="15"/>
      <c r="AN1578" s="15"/>
      <c r="AO1578" s="15"/>
      <c r="AP1578" s="15"/>
      <c r="AQ1578" s="15"/>
      <c r="AR1578" s="15"/>
      <c r="AS1578" s="15"/>
      <c r="AT1578" s="15"/>
      <c r="AU1578" s="15"/>
      <c r="AV1578" s="15"/>
      <c r="AW1578" s="15"/>
      <c r="AX1578" s="15"/>
      <c r="AY1578" s="15"/>
      <c r="AZ1578" s="15"/>
      <c r="BA1578" s="15"/>
      <c r="BB1578" s="15"/>
      <c r="BC1578" s="15"/>
      <c r="BD1578" s="15"/>
      <c r="BE1578" s="15"/>
      <c r="BF1578" s="15"/>
      <c r="BG1578" s="15"/>
      <c r="BH1578" s="15"/>
      <c r="BI1578" s="15"/>
      <c r="BJ1578" s="15"/>
      <c r="BK1578" s="15"/>
      <c r="BL1578" s="15"/>
      <c r="BM1578" s="15"/>
      <c r="BN1578" s="15"/>
      <c r="BO1578" s="15"/>
      <c r="BP1578" s="15"/>
      <c r="BQ1578" s="15"/>
      <c r="BR1578" s="15"/>
      <c r="BS1578" s="15"/>
      <c r="BT1578" s="15"/>
      <c r="BU1578" s="15"/>
      <c r="BV1578" s="15"/>
      <c r="BW1578" s="15"/>
      <c r="BX1578" s="15"/>
      <c r="BY1578" s="15"/>
      <c r="BZ1578" s="15"/>
      <c r="CA1578" s="15"/>
      <c r="CB1578" s="15"/>
    </row>
    <row r="1579" spans="1:80" ht="12.75" hidden="1" customHeight="1">
      <c r="A1579" s="20">
        <f ca="1">IFERROR(__xludf.DUMMYFUNCTION("""COMPUTED_VALUE"""),2022)</f>
        <v>2022</v>
      </c>
      <c r="B1579" s="45">
        <f ca="1">IFERROR(__xludf.DUMMYFUNCTION("""COMPUTED_VALUE"""),44855)</f>
        <v>44855</v>
      </c>
      <c r="C1579" s="46"/>
      <c r="D1579" s="47" t="str">
        <f ca="1">IFERROR(__xludf.DUMMYFUNCTION("""COMPUTED_VALUE"""),"Long-billed Dowitcher")</f>
        <v>Long-billed Dowitcher</v>
      </c>
      <c r="E1579" s="52">
        <f ca="1">IFERROR(__xludf.DUMMYFUNCTION("""COMPUTED_VALUE"""),1)</f>
        <v>1</v>
      </c>
      <c r="F1579" s="25"/>
      <c r="G1579" s="48" t="str">
        <f ca="1">IFERROR(__xludf.DUMMYFUNCTION("""COMPUTED_VALUE"""),"Burton Mere Wetlands RSPB")</f>
        <v>Burton Mere Wetlands RSPB</v>
      </c>
      <c r="H1579" s="22">
        <f ca="1">IFERROR(__xludf.DUMMYFUNCTION("""COMPUTED_VALUE"""),44855)</f>
        <v>44855</v>
      </c>
      <c r="I1579" s="81">
        <f ca="1">IFERROR(__xludf.DUMMYFUNCTION("""COMPUTED_VALUE"""),44856)</f>
        <v>44856</v>
      </c>
      <c r="J1579" s="24"/>
      <c r="K1579" s="25" t="str">
        <f ca="1">IFERROR(__xludf.DUMMYFUNCTION("""COMPUTED_VALUE"""),"known")</f>
        <v>known</v>
      </c>
      <c r="L1579" s="27" t="str">
        <f ca="1">IFERROR(__xludf.DUMMYFUNCTION("""COMPUTED_VALUE"""),"Limbo")</f>
        <v>Limbo</v>
      </c>
      <c r="M1579" s="27"/>
      <c r="N1579" s="25" t="str">
        <f ca="1">IFERROR(__xludf.DUMMYFUNCTION("""COMPUTED_VALUE"""),"BBRC - not submitted")</f>
        <v>BBRC - not submitted</v>
      </c>
      <c r="O1579" s="28"/>
      <c r="P1579" s="25"/>
      <c r="Q1579" s="25"/>
      <c r="R1579" s="25"/>
      <c r="S1579" s="25"/>
      <c r="T1579" s="25"/>
      <c r="U1579" s="25"/>
      <c r="V1579" s="25"/>
      <c r="W1579" s="25"/>
      <c r="X1579" s="25"/>
      <c r="Y1579" s="25"/>
      <c r="Z1579" s="25"/>
      <c r="AA1579" s="25"/>
      <c r="AB1579" s="25"/>
      <c r="AC1579" s="25"/>
      <c r="AD1579" s="25"/>
      <c r="AE1579" s="25"/>
      <c r="AF1579" s="25"/>
      <c r="AG1579" s="25"/>
      <c r="AH1579" s="25"/>
      <c r="AI1579" s="25"/>
      <c r="AJ1579" s="25"/>
      <c r="AK1579" s="25"/>
      <c r="AL1579" s="25"/>
      <c r="AM1579" s="25"/>
      <c r="AN1579" s="25"/>
      <c r="AO1579" s="25"/>
      <c r="AP1579" s="25"/>
      <c r="AQ1579" s="25"/>
      <c r="AR1579" s="25"/>
      <c r="AS1579" s="25"/>
      <c r="AT1579" s="25"/>
      <c r="AU1579" s="25"/>
      <c r="AV1579" s="25"/>
      <c r="AW1579" s="25"/>
      <c r="AX1579" s="25"/>
      <c r="AY1579" s="25"/>
      <c r="AZ1579" s="25"/>
      <c r="BA1579" s="25"/>
      <c r="BB1579" s="25"/>
      <c r="BC1579" s="25"/>
      <c r="BD1579" s="25"/>
      <c r="BE1579" s="25"/>
      <c r="BF1579" s="25"/>
      <c r="BG1579" s="25"/>
      <c r="BH1579" s="25"/>
      <c r="BI1579" s="25"/>
      <c r="BJ1579" s="25"/>
      <c r="BK1579" s="25"/>
      <c r="BL1579" s="25"/>
      <c r="BM1579" s="25"/>
      <c r="BN1579" s="25"/>
      <c r="BO1579" s="25"/>
      <c r="BP1579" s="25"/>
      <c r="BQ1579" s="25"/>
      <c r="BR1579" s="25"/>
      <c r="BS1579" s="25"/>
      <c r="BT1579" s="25"/>
      <c r="BU1579" s="25"/>
      <c r="BV1579" s="25"/>
      <c r="BW1579" s="25"/>
      <c r="BX1579" s="25"/>
      <c r="BY1579" s="25"/>
      <c r="BZ1579" s="25"/>
      <c r="CA1579" s="25"/>
      <c r="CB1579" s="25"/>
    </row>
    <row r="1580" spans="1:80" ht="12.75" hidden="1" customHeight="1">
      <c r="A1580" s="10">
        <f ca="1">IFERROR(__xludf.DUMMYFUNCTION("""COMPUTED_VALUE"""),2022)</f>
        <v>2022</v>
      </c>
      <c r="B1580" s="50">
        <f ca="1">IFERROR(__xludf.DUMMYFUNCTION("""COMPUTED_VALUE"""),45112)</f>
        <v>45112</v>
      </c>
      <c r="C1580" s="41"/>
      <c r="D1580" s="42" t="str">
        <f ca="1">IFERROR(__xludf.DUMMYFUNCTION("""COMPUTED_VALUE"""),"Red-necked Phalarope")</f>
        <v>Red-necked Phalarope</v>
      </c>
      <c r="E1580" s="53">
        <f ca="1">IFERROR(__xludf.DUMMYFUNCTION("""COMPUTED_VALUE"""),1)</f>
        <v>1</v>
      </c>
      <c r="F1580" s="15"/>
      <c r="G1580" s="44" t="str">
        <f ca="1">IFERROR(__xludf.DUMMYFUNCTION("""COMPUTED_VALUE"""),"Hale Lighthouse")</f>
        <v>Hale Lighthouse</v>
      </c>
      <c r="H1580" s="12">
        <f ca="1">IFERROR(__xludf.DUMMYFUNCTION("""COMPUTED_VALUE"""),44841)</f>
        <v>44841</v>
      </c>
      <c r="I1580" s="13"/>
      <c r="J1580" s="14"/>
      <c r="K1580" s="15"/>
      <c r="L1580" s="17" t="str">
        <f ca="1">IFERROR(__xludf.DUMMYFUNCTION("""COMPUTED_VALUE"""),"limbo")</f>
        <v>limbo</v>
      </c>
      <c r="M1580" s="17"/>
      <c r="N1580" s="15" t="str">
        <f ca="1">IFERROR(__xludf.DUMMYFUNCTION("""COMPUTED_VALUE"""),"not submitted")</f>
        <v>not submitted</v>
      </c>
      <c r="O1580" s="18"/>
      <c r="P1580" s="15"/>
      <c r="Q1580" s="15"/>
      <c r="R1580" s="15"/>
      <c r="S1580" s="15"/>
      <c r="T1580" s="15"/>
      <c r="U1580" s="15"/>
      <c r="V1580" s="15"/>
      <c r="W1580" s="15"/>
      <c r="X1580" s="15"/>
      <c r="Y1580" s="15"/>
      <c r="Z1580" s="15"/>
      <c r="AA1580" s="15"/>
      <c r="AB1580" s="15"/>
      <c r="AC1580" s="15"/>
      <c r="AD1580" s="15"/>
      <c r="AE1580" s="15"/>
      <c r="AF1580" s="15"/>
      <c r="AG1580" s="15"/>
      <c r="AH1580" s="15"/>
      <c r="AI1580" s="15"/>
      <c r="AJ1580" s="15"/>
      <c r="AK1580" s="15"/>
      <c r="AL1580" s="15"/>
      <c r="AM1580" s="15"/>
      <c r="AN1580" s="15"/>
      <c r="AO1580" s="15"/>
      <c r="AP1580" s="15"/>
      <c r="AQ1580" s="15"/>
      <c r="AR1580" s="15"/>
      <c r="AS1580" s="15"/>
      <c r="AT1580" s="15"/>
      <c r="AU1580" s="15"/>
      <c r="AV1580" s="15"/>
      <c r="AW1580" s="15"/>
      <c r="AX1580" s="15"/>
      <c r="AY1580" s="15"/>
      <c r="AZ1580" s="15"/>
      <c r="BA1580" s="15"/>
      <c r="BB1580" s="15"/>
      <c r="BC1580" s="15"/>
      <c r="BD1580" s="15"/>
      <c r="BE1580" s="15"/>
      <c r="BF1580" s="15"/>
      <c r="BG1580" s="15"/>
      <c r="BH1580" s="15"/>
      <c r="BI1580" s="15"/>
      <c r="BJ1580" s="15"/>
      <c r="BK1580" s="15"/>
      <c r="BL1580" s="15"/>
      <c r="BM1580" s="15"/>
      <c r="BN1580" s="15"/>
      <c r="BO1580" s="15"/>
      <c r="BP1580" s="15"/>
      <c r="BQ1580" s="15"/>
      <c r="BR1580" s="15"/>
      <c r="BS1580" s="15"/>
      <c r="BT1580" s="15"/>
      <c r="BU1580" s="15"/>
      <c r="BV1580" s="15"/>
      <c r="BW1580" s="15"/>
      <c r="BX1580" s="15"/>
      <c r="BY1580" s="15"/>
      <c r="BZ1580" s="15"/>
      <c r="CA1580" s="15"/>
      <c r="CB1580" s="15"/>
    </row>
    <row r="1581" spans="1:80" ht="12.75" hidden="1" customHeight="1">
      <c r="A1581" s="20">
        <f ca="1">IFERROR(__xludf.DUMMYFUNCTION("""COMPUTED_VALUE"""),2022)</f>
        <v>2022</v>
      </c>
      <c r="B1581" s="45"/>
      <c r="C1581" s="46"/>
      <c r="D1581" s="47" t="str">
        <f ca="1">IFERROR(__xludf.DUMMYFUNCTION("""COMPUTED_VALUE"""),"Grey Phalarope")</f>
        <v>Grey Phalarope</v>
      </c>
      <c r="E1581" s="52">
        <f ca="1">IFERROR(__xludf.DUMMYFUNCTION("""COMPUTED_VALUE"""),1)</f>
        <v>1</v>
      </c>
      <c r="F1581" s="25"/>
      <c r="G1581" s="48" t="str">
        <f ca="1">IFERROR(__xludf.DUMMYFUNCTION("""COMPUTED_VALUE"""),"Doddington Pool")</f>
        <v>Doddington Pool</v>
      </c>
      <c r="H1581" s="22">
        <f ca="1">IFERROR(__xludf.DUMMYFUNCTION("""COMPUTED_VALUE"""),44830)</f>
        <v>44830</v>
      </c>
      <c r="I1581" s="23"/>
      <c r="J1581" s="24"/>
      <c r="K1581" s="25"/>
      <c r="L1581" s="27" t="str">
        <f ca="1">IFERROR(__xludf.DUMMYFUNCTION("""COMPUTED_VALUE"""),"limbo")</f>
        <v>limbo</v>
      </c>
      <c r="M1581" s="27"/>
      <c r="N1581" s="25" t="str">
        <f ca="1">IFERROR(__xludf.DUMMYFUNCTION("""COMPUTED_VALUE"""),"not submitted")</f>
        <v>not submitted</v>
      </c>
      <c r="O1581" s="28"/>
      <c r="P1581" s="25"/>
      <c r="Q1581" s="25"/>
      <c r="R1581" s="25"/>
      <c r="S1581" s="25"/>
      <c r="T1581" s="25"/>
      <c r="U1581" s="25"/>
      <c r="V1581" s="25"/>
      <c r="W1581" s="25"/>
      <c r="X1581" s="25"/>
      <c r="Y1581" s="25"/>
      <c r="Z1581" s="25"/>
      <c r="AA1581" s="25"/>
      <c r="AB1581" s="25"/>
      <c r="AC1581" s="25"/>
      <c r="AD1581" s="25"/>
      <c r="AE1581" s="25"/>
      <c r="AF1581" s="25"/>
      <c r="AG1581" s="25"/>
      <c r="AH1581" s="25"/>
      <c r="AI1581" s="25"/>
      <c r="AJ1581" s="25"/>
      <c r="AK1581" s="25"/>
      <c r="AL1581" s="25"/>
      <c r="AM1581" s="25"/>
      <c r="AN1581" s="25"/>
      <c r="AO1581" s="25"/>
      <c r="AP1581" s="25"/>
      <c r="AQ1581" s="25"/>
      <c r="AR1581" s="25"/>
      <c r="AS1581" s="25"/>
      <c r="AT1581" s="25"/>
      <c r="AU1581" s="25"/>
      <c r="AV1581" s="25"/>
      <c r="AW1581" s="25"/>
      <c r="AX1581" s="25"/>
      <c r="AY1581" s="25"/>
      <c r="AZ1581" s="25"/>
      <c r="BA1581" s="25"/>
      <c r="BB1581" s="25"/>
      <c r="BC1581" s="25"/>
      <c r="BD1581" s="25"/>
      <c r="BE1581" s="25"/>
      <c r="BF1581" s="25"/>
      <c r="BG1581" s="25"/>
      <c r="BH1581" s="25"/>
      <c r="BI1581" s="25"/>
      <c r="BJ1581" s="25"/>
      <c r="BK1581" s="25"/>
      <c r="BL1581" s="25"/>
      <c r="BM1581" s="25"/>
      <c r="BN1581" s="25"/>
      <c r="BO1581" s="25"/>
      <c r="BP1581" s="25"/>
      <c r="BQ1581" s="25"/>
      <c r="BR1581" s="25"/>
      <c r="BS1581" s="25"/>
      <c r="BT1581" s="25"/>
      <c r="BU1581" s="25"/>
      <c r="BV1581" s="25"/>
      <c r="BW1581" s="25"/>
      <c r="BX1581" s="25"/>
      <c r="BY1581" s="25"/>
      <c r="BZ1581" s="25"/>
      <c r="CA1581" s="25"/>
      <c r="CB1581" s="25"/>
    </row>
    <row r="1582" spans="1:80" ht="12.75" hidden="1" customHeight="1">
      <c r="A1582" s="10">
        <f ca="1">IFERROR(__xludf.DUMMYFUNCTION("""COMPUTED_VALUE"""),2022)</f>
        <v>2022</v>
      </c>
      <c r="B1582" s="50"/>
      <c r="C1582" s="41"/>
      <c r="D1582" s="42" t="str">
        <f ca="1">IFERROR(__xludf.DUMMYFUNCTION("""COMPUTED_VALUE"""),"Grey Phalarope")</f>
        <v>Grey Phalarope</v>
      </c>
      <c r="E1582" s="53">
        <f ca="1">IFERROR(__xludf.DUMMYFUNCTION("""COMPUTED_VALUE"""),1)</f>
        <v>1</v>
      </c>
      <c r="F1582" s="15"/>
      <c r="G1582" s="44" t="str">
        <f ca="1">IFERROR(__xludf.DUMMYFUNCTION("""COMPUTED_VALUE"""),"Hoylake")</f>
        <v>Hoylake</v>
      </c>
      <c r="H1582" s="12">
        <f ca="1">IFERROR(__xludf.DUMMYFUNCTION("""COMPUTED_VALUE"""),44830)</f>
        <v>44830</v>
      </c>
      <c r="I1582" s="13"/>
      <c r="J1582" s="14"/>
      <c r="K1582" s="15"/>
      <c r="L1582" s="17" t="str">
        <f ca="1">IFERROR(__xludf.DUMMYFUNCTION("""COMPUTED_VALUE"""),"limbo")</f>
        <v>limbo</v>
      </c>
      <c r="M1582" s="17"/>
      <c r="N1582" s="15" t="str">
        <f ca="1">IFERROR(__xludf.DUMMYFUNCTION("""COMPUTED_VALUE"""),"not submitted")</f>
        <v>not submitted</v>
      </c>
      <c r="O1582" s="18"/>
      <c r="P1582" s="15"/>
      <c r="Q1582" s="15"/>
      <c r="R1582" s="15"/>
      <c r="S1582" s="15"/>
      <c r="T1582" s="15"/>
      <c r="U1582" s="15"/>
      <c r="V1582" s="15"/>
      <c r="W1582" s="15"/>
      <c r="X1582" s="15"/>
      <c r="Y1582" s="15"/>
      <c r="Z1582" s="15"/>
      <c r="AA1582" s="15"/>
      <c r="AB1582" s="15"/>
      <c r="AC1582" s="15"/>
      <c r="AD1582" s="15"/>
      <c r="AE1582" s="15"/>
      <c r="AF1582" s="15"/>
      <c r="AG1582" s="15"/>
      <c r="AH1582" s="15"/>
      <c r="AI1582" s="15"/>
      <c r="AJ1582" s="15"/>
      <c r="AK1582" s="15"/>
      <c r="AL1582" s="15"/>
      <c r="AM1582" s="15"/>
      <c r="AN1582" s="15"/>
      <c r="AO1582" s="15"/>
      <c r="AP1582" s="15"/>
      <c r="AQ1582" s="15"/>
      <c r="AR1582" s="15"/>
      <c r="AS1582" s="15"/>
      <c r="AT1582" s="15"/>
      <c r="AU1582" s="15"/>
      <c r="AV1582" s="15"/>
      <c r="AW1582" s="15"/>
      <c r="AX1582" s="15"/>
      <c r="AY1582" s="15"/>
      <c r="AZ1582" s="15"/>
      <c r="BA1582" s="15"/>
      <c r="BB1582" s="15"/>
      <c r="BC1582" s="15"/>
      <c r="BD1582" s="15"/>
      <c r="BE1582" s="15"/>
      <c r="BF1582" s="15"/>
      <c r="BG1582" s="15"/>
      <c r="BH1582" s="15"/>
      <c r="BI1582" s="15"/>
      <c r="BJ1582" s="15"/>
      <c r="BK1582" s="15"/>
      <c r="BL1582" s="15"/>
      <c r="BM1582" s="15"/>
      <c r="BN1582" s="15"/>
      <c r="BO1582" s="15"/>
      <c r="BP1582" s="15"/>
      <c r="BQ1582" s="15"/>
      <c r="BR1582" s="15"/>
      <c r="BS1582" s="15"/>
      <c r="BT1582" s="15"/>
      <c r="BU1582" s="15"/>
      <c r="BV1582" s="15"/>
      <c r="BW1582" s="15"/>
      <c r="BX1582" s="15"/>
      <c r="BY1582" s="15"/>
      <c r="BZ1582" s="15"/>
      <c r="CA1582" s="15"/>
      <c r="CB1582" s="15"/>
    </row>
    <row r="1583" spans="1:80" ht="12.75" hidden="1" customHeight="1">
      <c r="A1583" s="20">
        <f ca="1">IFERROR(__xludf.DUMMYFUNCTION("""COMPUTED_VALUE"""),2022)</f>
        <v>2022</v>
      </c>
      <c r="B1583" s="45"/>
      <c r="C1583" s="46"/>
      <c r="D1583" s="47" t="str">
        <f ca="1">IFERROR(__xludf.DUMMYFUNCTION("""COMPUTED_VALUE"""),"Grey Phalarope")</f>
        <v>Grey Phalarope</v>
      </c>
      <c r="E1583" s="52">
        <f ca="1">IFERROR(__xludf.DUMMYFUNCTION("""COMPUTED_VALUE"""),1)</f>
        <v>1</v>
      </c>
      <c r="F1583" s="25"/>
      <c r="G1583" s="48" t="str">
        <f ca="1">IFERROR(__xludf.DUMMYFUNCTION("""COMPUTED_VALUE"""),"Leasowe")</f>
        <v>Leasowe</v>
      </c>
      <c r="H1583" s="22">
        <f ca="1">IFERROR(__xludf.DUMMYFUNCTION("""COMPUTED_VALUE"""),44830)</f>
        <v>44830</v>
      </c>
      <c r="I1583" s="23"/>
      <c r="J1583" s="24"/>
      <c r="K1583" s="25"/>
      <c r="L1583" s="27" t="str">
        <f ca="1">IFERROR(__xludf.DUMMYFUNCTION("""COMPUTED_VALUE"""),"limbo")</f>
        <v>limbo</v>
      </c>
      <c r="M1583" s="27"/>
      <c r="N1583" s="25" t="str">
        <f ca="1">IFERROR(__xludf.DUMMYFUNCTION("""COMPUTED_VALUE"""),"not submitted")</f>
        <v>not submitted</v>
      </c>
      <c r="O1583" s="28"/>
      <c r="P1583" s="25"/>
      <c r="Q1583" s="25"/>
      <c r="R1583" s="25"/>
      <c r="S1583" s="25"/>
      <c r="T1583" s="25"/>
      <c r="U1583" s="25"/>
      <c r="V1583" s="25"/>
      <c r="W1583" s="25"/>
      <c r="X1583" s="25"/>
      <c r="Y1583" s="25"/>
      <c r="Z1583" s="25"/>
      <c r="AA1583" s="25"/>
      <c r="AB1583" s="25"/>
      <c r="AC1583" s="25"/>
      <c r="AD1583" s="25"/>
      <c r="AE1583" s="25"/>
      <c r="AF1583" s="25"/>
      <c r="AG1583" s="25"/>
      <c r="AH1583" s="25"/>
      <c r="AI1583" s="25"/>
      <c r="AJ1583" s="25"/>
      <c r="AK1583" s="25"/>
      <c r="AL1583" s="25"/>
      <c r="AM1583" s="25"/>
      <c r="AN1583" s="25"/>
      <c r="AO1583" s="25"/>
      <c r="AP1583" s="25"/>
      <c r="AQ1583" s="25"/>
      <c r="AR1583" s="25"/>
      <c r="AS1583" s="25"/>
      <c r="AT1583" s="25"/>
      <c r="AU1583" s="25"/>
      <c r="AV1583" s="25"/>
      <c r="AW1583" s="25"/>
      <c r="AX1583" s="25"/>
      <c r="AY1583" s="25"/>
      <c r="AZ1583" s="25"/>
      <c r="BA1583" s="25"/>
      <c r="BB1583" s="25"/>
      <c r="BC1583" s="25"/>
      <c r="BD1583" s="25"/>
      <c r="BE1583" s="25"/>
      <c r="BF1583" s="25"/>
      <c r="BG1583" s="25"/>
      <c r="BH1583" s="25"/>
      <c r="BI1583" s="25"/>
      <c r="BJ1583" s="25"/>
      <c r="BK1583" s="25"/>
      <c r="BL1583" s="25"/>
      <c r="BM1583" s="25"/>
      <c r="BN1583" s="25"/>
      <c r="BO1583" s="25"/>
      <c r="BP1583" s="25"/>
      <c r="BQ1583" s="25"/>
      <c r="BR1583" s="25"/>
      <c r="BS1583" s="25"/>
      <c r="BT1583" s="25"/>
      <c r="BU1583" s="25"/>
      <c r="BV1583" s="25"/>
      <c r="BW1583" s="25"/>
      <c r="BX1583" s="25"/>
      <c r="BY1583" s="25"/>
      <c r="BZ1583" s="25"/>
      <c r="CA1583" s="25"/>
      <c r="CB1583" s="25"/>
    </row>
    <row r="1584" spans="1:80" ht="12.75" hidden="1" customHeight="1">
      <c r="A1584" s="10">
        <f ca="1">IFERROR(__xludf.DUMMYFUNCTION("""COMPUTED_VALUE"""),2022)</f>
        <v>2022</v>
      </c>
      <c r="B1584" s="50">
        <f ca="1">IFERROR(__xludf.DUMMYFUNCTION("""COMPUTED_VALUE"""),44884)</f>
        <v>44884</v>
      </c>
      <c r="C1584" s="41"/>
      <c r="D1584" s="42" t="str">
        <f ca="1">IFERROR(__xludf.DUMMYFUNCTION("""COMPUTED_VALUE"""),"Grey Phalarope")</f>
        <v>Grey Phalarope</v>
      </c>
      <c r="E1584" s="53">
        <f ca="1">IFERROR(__xludf.DUMMYFUNCTION("""COMPUTED_VALUE"""),1)</f>
        <v>1</v>
      </c>
      <c r="F1584" s="15"/>
      <c r="G1584" s="44" t="str">
        <f ca="1">IFERROR(__xludf.DUMMYFUNCTION("""COMPUTED_VALUE"""),"Leasowe, Gunsight")</f>
        <v>Leasowe, Gunsight</v>
      </c>
      <c r="H1584" s="12">
        <f ca="1">IFERROR(__xludf.DUMMYFUNCTION("""COMPUTED_VALUE"""),44830)</f>
        <v>44830</v>
      </c>
      <c r="I1584" s="13"/>
      <c r="J1584" s="14"/>
      <c r="K1584" s="15"/>
      <c r="L1584" s="17" t="str">
        <f ca="1">IFERROR(__xludf.DUMMYFUNCTION("""COMPUTED_VALUE"""),"limbo")</f>
        <v>limbo</v>
      </c>
      <c r="M1584" s="17"/>
      <c r="N1584" s="15" t="str">
        <f ca="1">IFERROR(__xludf.DUMMYFUNCTION("""COMPUTED_VALUE"""),"not submitted")</f>
        <v>not submitted</v>
      </c>
      <c r="O1584" s="18"/>
      <c r="P1584" s="15"/>
      <c r="Q1584" s="15"/>
      <c r="R1584" s="15"/>
      <c r="S1584" s="15"/>
      <c r="T1584" s="15"/>
      <c r="U1584" s="15"/>
      <c r="V1584" s="15"/>
      <c r="W1584" s="15"/>
      <c r="X1584" s="15"/>
      <c r="Y1584" s="15"/>
      <c r="Z1584" s="15"/>
      <c r="AA1584" s="15"/>
      <c r="AB1584" s="15"/>
      <c r="AC1584" s="15"/>
      <c r="AD1584" s="15"/>
      <c r="AE1584" s="15"/>
      <c r="AF1584" s="15"/>
      <c r="AG1584" s="15"/>
      <c r="AH1584" s="15"/>
      <c r="AI1584" s="15"/>
      <c r="AJ1584" s="15"/>
      <c r="AK1584" s="15"/>
      <c r="AL1584" s="15"/>
      <c r="AM1584" s="15"/>
      <c r="AN1584" s="15"/>
      <c r="AO1584" s="15"/>
      <c r="AP1584" s="15"/>
      <c r="AQ1584" s="15"/>
      <c r="AR1584" s="15"/>
      <c r="AS1584" s="15"/>
      <c r="AT1584" s="15"/>
      <c r="AU1584" s="15"/>
      <c r="AV1584" s="15"/>
      <c r="AW1584" s="15"/>
      <c r="AX1584" s="15"/>
      <c r="AY1584" s="15"/>
      <c r="AZ1584" s="15"/>
      <c r="BA1584" s="15"/>
      <c r="BB1584" s="15"/>
      <c r="BC1584" s="15"/>
      <c r="BD1584" s="15"/>
      <c r="BE1584" s="15"/>
      <c r="BF1584" s="15"/>
      <c r="BG1584" s="15"/>
      <c r="BH1584" s="15"/>
      <c r="BI1584" s="15"/>
      <c r="BJ1584" s="15"/>
      <c r="BK1584" s="15"/>
      <c r="BL1584" s="15"/>
      <c r="BM1584" s="15"/>
      <c r="BN1584" s="15"/>
      <c r="BO1584" s="15"/>
      <c r="BP1584" s="15"/>
      <c r="BQ1584" s="15"/>
      <c r="BR1584" s="15"/>
      <c r="BS1584" s="15"/>
      <c r="BT1584" s="15"/>
      <c r="BU1584" s="15"/>
      <c r="BV1584" s="15"/>
      <c r="BW1584" s="15"/>
      <c r="BX1584" s="15"/>
      <c r="BY1584" s="15"/>
      <c r="BZ1584" s="15"/>
      <c r="CA1584" s="15"/>
      <c r="CB1584" s="15"/>
    </row>
    <row r="1585" spans="1:80" ht="12.75" hidden="1" customHeight="1">
      <c r="A1585" s="20">
        <f ca="1">IFERROR(__xludf.DUMMYFUNCTION("""COMPUTED_VALUE"""),2022)</f>
        <v>2022</v>
      </c>
      <c r="B1585" s="45"/>
      <c r="C1585" s="46"/>
      <c r="D1585" s="47" t="str">
        <f ca="1">IFERROR(__xludf.DUMMYFUNCTION("""COMPUTED_VALUE"""),"Grey Phalarope")</f>
        <v>Grey Phalarope</v>
      </c>
      <c r="E1585" s="52">
        <f ca="1">IFERROR(__xludf.DUMMYFUNCTION("""COMPUTED_VALUE"""),1)</f>
        <v>1</v>
      </c>
      <c r="F1585" s="25"/>
      <c r="G1585" s="48" t="str">
        <f ca="1">IFERROR(__xludf.DUMMYFUNCTION("""COMPUTED_VALUE"""),"Wallasey")</f>
        <v>Wallasey</v>
      </c>
      <c r="H1585" s="22">
        <f ca="1">IFERROR(__xludf.DUMMYFUNCTION("""COMPUTED_VALUE"""),44830)</f>
        <v>44830</v>
      </c>
      <c r="I1585" s="23"/>
      <c r="J1585" s="24"/>
      <c r="K1585" s="25"/>
      <c r="L1585" s="27" t="str">
        <f ca="1">IFERROR(__xludf.DUMMYFUNCTION("""COMPUTED_VALUE"""),"limbo")</f>
        <v>limbo</v>
      </c>
      <c r="M1585" s="27"/>
      <c r="N1585" s="25" t="str">
        <f ca="1">IFERROR(__xludf.DUMMYFUNCTION("""COMPUTED_VALUE"""),"not submitted")</f>
        <v>not submitted</v>
      </c>
      <c r="O1585" s="28"/>
      <c r="P1585" s="25"/>
      <c r="Q1585" s="25"/>
      <c r="R1585" s="25"/>
      <c r="S1585" s="25"/>
      <c r="T1585" s="25"/>
      <c r="U1585" s="25"/>
      <c r="V1585" s="25"/>
      <c r="W1585" s="25"/>
      <c r="X1585" s="25"/>
      <c r="Y1585" s="25"/>
      <c r="Z1585" s="25"/>
      <c r="AA1585" s="25"/>
      <c r="AB1585" s="25"/>
      <c r="AC1585" s="25"/>
      <c r="AD1585" s="25"/>
      <c r="AE1585" s="25"/>
      <c r="AF1585" s="25"/>
      <c r="AG1585" s="25"/>
      <c r="AH1585" s="25"/>
      <c r="AI1585" s="25"/>
      <c r="AJ1585" s="25"/>
      <c r="AK1585" s="25"/>
      <c r="AL1585" s="25"/>
      <c r="AM1585" s="25"/>
      <c r="AN1585" s="25"/>
      <c r="AO1585" s="25"/>
      <c r="AP1585" s="25"/>
      <c r="AQ1585" s="25"/>
      <c r="AR1585" s="25"/>
      <c r="AS1585" s="25"/>
      <c r="AT1585" s="25"/>
      <c r="AU1585" s="25"/>
      <c r="AV1585" s="25"/>
      <c r="AW1585" s="25"/>
      <c r="AX1585" s="25"/>
      <c r="AY1585" s="25"/>
      <c r="AZ1585" s="25"/>
      <c r="BA1585" s="25"/>
      <c r="BB1585" s="25"/>
      <c r="BC1585" s="25"/>
      <c r="BD1585" s="25"/>
      <c r="BE1585" s="25"/>
      <c r="BF1585" s="25"/>
      <c r="BG1585" s="25"/>
      <c r="BH1585" s="25"/>
      <c r="BI1585" s="25"/>
      <c r="BJ1585" s="25"/>
      <c r="BK1585" s="25"/>
      <c r="BL1585" s="25"/>
      <c r="BM1585" s="25"/>
      <c r="BN1585" s="25"/>
      <c r="BO1585" s="25"/>
      <c r="BP1585" s="25"/>
      <c r="BQ1585" s="25"/>
      <c r="BR1585" s="25"/>
      <c r="BS1585" s="25"/>
      <c r="BT1585" s="25"/>
      <c r="BU1585" s="25"/>
      <c r="BV1585" s="25"/>
      <c r="BW1585" s="25"/>
      <c r="BX1585" s="25"/>
      <c r="BY1585" s="25"/>
      <c r="BZ1585" s="25"/>
      <c r="CA1585" s="25"/>
      <c r="CB1585" s="25"/>
    </row>
    <row r="1586" spans="1:80" ht="12.75" hidden="1" customHeight="1">
      <c r="A1586" s="10">
        <f ca="1">IFERROR(__xludf.DUMMYFUNCTION("""COMPUTED_VALUE"""),2022)</f>
        <v>2022</v>
      </c>
      <c r="B1586" s="50">
        <f ca="1">IFERROR(__xludf.DUMMYFUNCTION("""COMPUTED_VALUE"""),44856)</f>
        <v>44856</v>
      </c>
      <c r="C1586" s="41">
        <f ca="1">IFERROR(__xludf.DUMMYFUNCTION("""COMPUTED_VALUE"""),44856)</f>
        <v>44856</v>
      </c>
      <c r="D1586" s="42" t="str">
        <f ca="1">IFERROR(__xludf.DUMMYFUNCTION("""COMPUTED_VALUE"""),"Grey Phalarope")</f>
        <v>Grey Phalarope</v>
      </c>
      <c r="E1586" s="53">
        <f ca="1">IFERROR(__xludf.DUMMYFUNCTION("""COMPUTED_VALUE"""),1)</f>
        <v>1</v>
      </c>
      <c r="F1586" s="15" t="str">
        <f ca="1">IFERROR(__xludf.DUMMYFUNCTION("""COMPUTED_VALUE"""),"1st w")</f>
        <v>1st w</v>
      </c>
      <c r="G1586" s="44" t="str">
        <f ca="1">IFERROR(__xludf.DUMMYFUNCTION("""COMPUTED_VALUE"""),"Doddington Pool (Crewe)")</f>
        <v>Doddington Pool (Crewe)</v>
      </c>
      <c r="H1586" s="12">
        <f ca="1">IFERROR(__xludf.DUMMYFUNCTION("""COMPUTED_VALUE"""),44854)</f>
        <v>44854</v>
      </c>
      <c r="I1586" s="13"/>
      <c r="J1586" s="14" t="str">
        <f ca="1">IFERROR(__xludf.DUMMYFUNCTION("""COMPUTED_VALUE"""),"Colin Lythgoe")</f>
        <v>Colin Lythgoe</v>
      </c>
      <c r="K1586" s="15" t="str">
        <f ca="1">IFERROR(__xludf.DUMMYFUNCTION("""COMPUTED_VALUE"""),"Colin Lythgoe")</f>
        <v>Colin Lythgoe</v>
      </c>
      <c r="L1586" s="17" t="str">
        <f ca="1">IFERROR(__xludf.DUMMYFUNCTION("""COMPUTED_VALUE"""),"closed")</f>
        <v>closed</v>
      </c>
      <c r="M1586" s="17" t="str">
        <f ca="1">IFERROR(__xludf.DUMMYFUNCTION("""COMPUTED_VALUE"""),"1st U")</f>
        <v>1st U</v>
      </c>
      <c r="N1586" s="15" t="str">
        <f ca="1">IFERROR(__xludf.DUMMYFUNCTION("""COMPUTED_VALUE"""),"Accepted")</f>
        <v>Accepted</v>
      </c>
      <c r="O1586" s="18"/>
      <c r="P1586" s="15"/>
      <c r="Q1586" s="15"/>
      <c r="R1586" s="15"/>
      <c r="S1586" s="15"/>
      <c r="T1586" s="15"/>
      <c r="U1586" s="15"/>
      <c r="V1586" s="15"/>
      <c r="W1586" s="15"/>
      <c r="X1586" s="15"/>
      <c r="Y1586" s="15"/>
      <c r="Z1586" s="15"/>
      <c r="AA1586" s="15"/>
      <c r="AB1586" s="15"/>
      <c r="AC1586" s="15"/>
      <c r="AD1586" s="15"/>
      <c r="AE1586" s="15"/>
      <c r="AF1586" s="15"/>
      <c r="AG1586" s="15"/>
      <c r="AH1586" s="15"/>
      <c r="AI1586" s="15"/>
      <c r="AJ1586" s="15"/>
      <c r="AK1586" s="15"/>
      <c r="AL1586" s="15"/>
      <c r="AM1586" s="15"/>
      <c r="AN1586" s="15"/>
      <c r="AO1586" s="15"/>
      <c r="AP1586" s="15"/>
      <c r="AQ1586" s="15"/>
      <c r="AR1586" s="15"/>
      <c r="AS1586" s="15"/>
      <c r="AT1586" s="15"/>
      <c r="AU1586" s="15"/>
      <c r="AV1586" s="15"/>
      <c r="AW1586" s="15"/>
      <c r="AX1586" s="15"/>
      <c r="AY1586" s="15"/>
      <c r="AZ1586" s="15"/>
      <c r="BA1586" s="15"/>
      <c r="BB1586" s="15"/>
      <c r="BC1586" s="15"/>
      <c r="BD1586" s="15"/>
      <c r="BE1586" s="15"/>
      <c r="BF1586" s="15"/>
      <c r="BG1586" s="15"/>
      <c r="BH1586" s="15"/>
      <c r="BI1586" s="15"/>
      <c r="BJ1586" s="15"/>
      <c r="BK1586" s="15"/>
      <c r="BL1586" s="15"/>
      <c r="BM1586" s="15"/>
      <c r="BN1586" s="15"/>
      <c r="BO1586" s="15"/>
      <c r="BP1586" s="15"/>
      <c r="BQ1586" s="15"/>
      <c r="BR1586" s="15"/>
      <c r="BS1586" s="15"/>
      <c r="BT1586" s="15"/>
      <c r="BU1586" s="15"/>
      <c r="BV1586" s="15"/>
      <c r="BW1586" s="15"/>
      <c r="BX1586" s="15"/>
      <c r="BY1586" s="15"/>
      <c r="BZ1586" s="15"/>
      <c r="CA1586" s="15"/>
      <c r="CB1586" s="15"/>
    </row>
    <row r="1587" spans="1:80" ht="12.75" hidden="1" customHeight="1">
      <c r="A1587" s="20">
        <f ca="1">IFERROR(__xludf.DUMMYFUNCTION("""COMPUTED_VALUE"""),2022)</f>
        <v>2022</v>
      </c>
      <c r="B1587" s="45">
        <f ca="1">IFERROR(__xludf.DUMMYFUNCTION("""COMPUTED_VALUE"""),45384)</f>
        <v>45384</v>
      </c>
      <c r="C1587" s="46"/>
      <c r="D1587" s="47" t="str">
        <f ca="1">IFERROR(__xludf.DUMMYFUNCTION("""COMPUTED_VALUE"""),"Spotted Sandpiper")</f>
        <v>Spotted Sandpiper</v>
      </c>
      <c r="E1587" s="52">
        <f ca="1">IFERROR(__xludf.DUMMYFUNCTION("""COMPUTED_VALUE"""),1)</f>
        <v>1</v>
      </c>
      <c r="F1587" s="25" t="str">
        <f ca="1">IFERROR(__xludf.DUMMYFUNCTION("""COMPUTED_VALUE"""),"ad")</f>
        <v>ad</v>
      </c>
      <c r="G1587" s="48" t="str">
        <f ca="1">IFERROR(__xludf.DUMMYFUNCTION("""COMPUTED_VALUE"""),"Doddington Pool")</f>
        <v>Doddington Pool</v>
      </c>
      <c r="H1587" s="22">
        <f ca="1">IFERROR(__xludf.DUMMYFUNCTION("""COMPUTED_VALUE"""),44695)</f>
        <v>44695</v>
      </c>
      <c r="I1587" s="23"/>
      <c r="J1587" s="24" t="str">
        <f ca="1">IFERROR(__xludf.DUMMYFUNCTION("""COMPUTED_VALUE"""),"county recorder")</f>
        <v>county recorder</v>
      </c>
      <c r="K1587" s="25" t="str">
        <f ca="1">IFERROR(__xludf.DUMMYFUNCTION("""COMPUTED_VALUE"""),"Michael Warner")</f>
        <v>Michael Warner</v>
      </c>
      <c r="L1587" s="27" t="str">
        <f ca="1">IFERROR(__xludf.DUMMYFUNCTION("""COMPUTED_VALUE"""),"closed")</f>
        <v>closed</v>
      </c>
      <c r="M1587" s="27"/>
      <c r="N1587" s="25" t="str">
        <f ca="1">IFERROR(__xludf.DUMMYFUNCTION("""COMPUTED_VALUE"""),"BBRC-OK")</f>
        <v>BBRC-OK</v>
      </c>
      <c r="O1587" s="28"/>
      <c r="P1587" s="25"/>
      <c r="Q1587" s="25"/>
      <c r="R1587" s="25"/>
      <c r="S1587" s="25"/>
      <c r="T1587" s="25"/>
      <c r="U1587" s="25"/>
      <c r="V1587" s="25"/>
      <c r="W1587" s="25"/>
      <c r="X1587" s="25"/>
      <c r="Y1587" s="25"/>
      <c r="Z1587" s="25"/>
      <c r="AA1587" s="25"/>
      <c r="AB1587" s="25"/>
      <c r="AC1587" s="25"/>
      <c r="AD1587" s="25"/>
      <c r="AE1587" s="25"/>
      <c r="AF1587" s="25"/>
      <c r="AG1587" s="25"/>
      <c r="AH1587" s="25"/>
      <c r="AI1587" s="25"/>
      <c r="AJ1587" s="25"/>
      <c r="AK1587" s="25"/>
      <c r="AL1587" s="25"/>
      <c r="AM1587" s="25"/>
      <c r="AN1587" s="25"/>
      <c r="AO1587" s="25"/>
      <c r="AP1587" s="25"/>
      <c r="AQ1587" s="25"/>
      <c r="AR1587" s="25"/>
      <c r="AS1587" s="25"/>
      <c r="AT1587" s="25"/>
      <c r="AU1587" s="25"/>
      <c r="AV1587" s="25"/>
      <c r="AW1587" s="25"/>
      <c r="AX1587" s="25"/>
      <c r="AY1587" s="25"/>
      <c r="AZ1587" s="25"/>
      <c r="BA1587" s="25"/>
      <c r="BB1587" s="25"/>
      <c r="BC1587" s="25"/>
      <c r="BD1587" s="25"/>
      <c r="BE1587" s="25"/>
      <c r="BF1587" s="25"/>
      <c r="BG1587" s="25"/>
      <c r="BH1587" s="25"/>
      <c r="BI1587" s="25"/>
      <c r="BJ1587" s="25"/>
      <c r="BK1587" s="25"/>
      <c r="BL1587" s="25"/>
      <c r="BM1587" s="25"/>
      <c r="BN1587" s="25"/>
      <c r="BO1587" s="25"/>
      <c r="BP1587" s="25"/>
      <c r="BQ1587" s="25"/>
      <c r="BR1587" s="25"/>
      <c r="BS1587" s="25"/>
      <c r="BT1587" s="25"/>
      <c r="BU1587" s="25"/>
      <c r="BV1587" s="25"/>
      <c r="BW1587" s="25"/>
      <c r="BX1587" s="25"/>
      <c r="BY1587" s="25"/>
      <c r="BZ1587" s="25"/>
      <c r="CA1587" s="25"/>
      <c r="CB1587" s="25"/>
    </row>
    <row r="1588" spans="1:80" ht="12.75" hidden="1" customHeight="1">
      <c r="A1588" s="10">
        <f ca="1">IFERROR(__xludf.DUMMYFUNCTION("""COMPUTED_VALUE"""),2022)</f>
        <v>2022</v>
      </c>
      <c r="B1588" s="50">
        <f ca="1">IFERROR(__xludf.DUMMYFUNCTION("""COMPUTED_VALUE"""),44856)</f>
        <v>44856</v>
      </c>
      <c r="C1588" s="41">
        <f ca="1">IFERROR(__xludf.DUMMYFUNCTION("""COMPUTED_VALUE"""),44856)</f>
        <v>44856</v>
      </c>
      <c r="D1588" s="42" t="str">
        <f ca="1">IFERROR(__xludf.DUMMYFUNCTION("""COMPUTED_VALUE"""),"Black-winged Pratincole")</f>
        <v>Black-winged Pratincole</v>
      </c>
      <c r="E1588" s="53">
        <f ca="1">IFERROR(__xludf.DUMMYFUNCTION("""COMPUTED_VALUE"""),1)</f>
        <v>1</v>
      </c>
      <c r="F1588" s="15"/>
      <c r="G1588" s="44" t="str">
        <f ca="1">IFERROR(__xludf.DUMMYFUNCTION("""COMPUTED_VALUE"""),"Ince Marsh")</f>
        <v>Ince Marsh</v>
      </c>
      <c r="H1588" s="12">
        <f ca="1">IFERROR(__xludf.DUMMYFUNCTION("""COMPUTED_VALUE"""),44856)</f>
        <v>44856</v>
      </c>
      <c r="I1588" s="13"/>
      <c r="J1588" s="14"/>
      <c r="K1588" s="15" t="str">
        <f ca="1">IFERROR(__xludf.DUMMYFUNCTION("""COMPUTED_VALUE"""),"known")</f>
        <v>known</v>
      </c>
      <c r="L1588" s="17" t="str">
        <f ca="1">IFERROR(__xludf.DUMMYFUNCTION("""COMPUTED_VALUE"""),"closed")</f>
        <v>closed</v>
      </c>
      <c r="M1588" s="17"/>
      <c r="N1588" s="15" t="str">
        <f ca="1">IFERROR(__xludf.DUMMYFUNCTION("""COMPUTED_VALUE"""),"BBRC-OK")</f>
        <v>BBRC-OK</v>
      </c>
      <c r="O1588" s="18"/>
      <c r="P1588" s="15"/>
      <c r="Q1588" s="15"/>
      <c r="R1588" s="15"/>
      <c r="S1588" s="15"/>
      <c r="T1588" s="15"/>
      <c r="U1588" s="15"/>
      <c r="V1588" s="15"/>
      <c r="W1588" s="15"/>
      <c r="X1588" s="15"/>
      <c r="Y1588" s="15"/>
      <c r="Z1588" s="15"/>
      <c r="AA1588" s="15"/>
      <c r="AB1588" s="15"/>
      <c r="AC1588" s="15"/>
      <c r="AD1588" s="15"/>
      <c r="AE1588" s="15"/>
      <c r="AF1588" s="15"/>
      <c r="AG1588" s="15"/>
      <c r="AH1588" s="15"/>
      <c r="AI1588" s="15"/>
      <c r="AJ1588" s="15"/>
      <c r="AK1588" s="15"/>
      <c r="AL1588" s="15"/>
      <c r="AM1588" s="15"/>
      <c r="AN1588" s="15"/>
      <c r="AO1588" s="15"/>
      <c r="AP1588" s="15"/>
      <c r="AQ1588" s="15"/>
      <c r="AR1588" s="15"/>
      <c r="AS1588" s="15"/>
      <c r="AT1588" s="15"/>
      <c r="AU1588" s="15"/>
      <c r="AV1588" s="15"/>
      <c r="AW1588" s="15"/>
      <c r="AX1588" s="15"/>
      <c r="AY1588" s="15"/>
      <c r="AZ1588" s="15"/>
      <c r="BA1588" s="15"/>
      <c r="BB1588" s="15"/>
      <c r="BC1588" s="15"/>
      <c r="BD1588" s="15"/>
      <c r="BE1588" s="15"/>
      <c r="BF1588" s="15"/>
      <c r="BG1588" s="15"/>
      <c r="BH1588" s="15"/>
      <c r="BI1588" s="15"/>
      <c r="BJ1588" s="15"/>
      <c r="BK1588" s="15"/>
      <c r="BL1588" s="15"/>
      <c r="BM1588" s="15"/>
      <c r="BN1588" s="15"/>
      <c r="BO1588" s="15"/>
      <c r="BP1588" s="15"/>
      <c r="BQ1588" s="15"/>
      <c r="BR1588" s="15"/>
      <c r="BS1588" s="15"/>
      <c r="BT1588" s="15"/>
      <c r="BU1588" s="15"/>
      <c r="BV1588" s="15"/>
      <c r="BW1588" s="15"/>
      <c r="BX1588" s="15"/>
      <c r="BY1588" s="15"/>
      <c r="BZ1588" s="15"/>
      <c r="CA1588" s="15"/>
      <c r="CB1588" s="15"/>
    </row>
    <row r="1589" spans="1:80" ht="12.75" hidden="1" customHeight="1">
      <c r="A1589" s="20">
        <f ca="1">IFERROR(__xludf.DUMMYFUNCTION("""COMPUTED_VALUE"""),2022)</f>
        <v>2022</v>
      </c>
      <c r="B1589" s="45">
        <f ca="1">IFERROR(__xludf.DUMMYFUNCTION("""COMPUTED_VALUE"""),44884)</f>
        <v>44884</v>
      </c>
      <c r="C1589" s="46"/>
      <c r="D1589" s="47" t="str">
        <f ca="1">IFERROR(__xludf.DUMMYFUNCTION("""COMPUTED_VALUE"""),"Kumlien's Gull")</f>
        <v>Kumlien's Gull</v>
      </c>
      <c r="E1589" s="52">
        <f ca="1">IFERROR(__xludf.DUMMYFUNCTION("""COMPUTED_VALUE"""),1)</f>
        <v>1</v>
      </c>
      <c r="F1589" s="25"/>
      <c r="G1589" s="48" t="str">
        <f ca="1">IFERROR(__xludf.DUMMYFUNCTION("""COMPUTED_VALUE"""),"Sandbach")</f>
        <v>Sandbach</v>
      </c>
      <c r="H1589" s="22">
        <f ca="1">IFERROR(__xludf.DUMMYFUNCTION("""COMPUTED_VALUE"""),44586)</f>
        <v>44586</v>
      </c>
      <c r="I1589" s="23"/>
      <c r="J1589" s="24"/>
      <c r="K1589" s="25"/>
      <c r="L1589" s="27" t="str">
        <f ca="1">IFERROR(__xludf.DUMMYFUNCTION("""COMPUTED_VALUE"""),"limbo")</f>
        <v>limbo</v>
      </c>
      <c r="M1589" s="27"/>
      <c r="N1589" s="25" t="str">
        <f ca="1">IFERROR(__xludf.DUMMYFUNCTION("""COMPUTED_VALUE"""),"not submitted")</f>
        <v>not submitted</v>
      </c>
      <c r="O1589" s="28"/>
      <c r="P1589" s="25"/>
      <c r="Q1589" s="25"/>
      <c r="R1589" s="25"/>
      <c r="S1589" s="25"/>
      <c r="T1589" s="25"/>
      <c r="U1589" s="25"/>
      <c r="V1589" s="25"/>
      <c r="W1589" s="25"/>
      <c r="X1589" s="25"/>
      <c r="Y1589" s="25"/>
      <c r="Z1589" s="25"/>
      <c r="AA1589" s="25"/>
      <c r="AB1589" s="25"/>
      <c r="AC1589" s="25"/>
      <c r="AD1589" s="25"/>
      <c r="AE1589" s="25"/>
      <c r="AF1589" s="25"/>
      <c r="AG1589" s="25"/>
      <c r="AH1589" s="25"/>
      <c r="AI1589" s="25"/>
      <c r="AJ1589" s="25"/>
      <c r="AK1589" s="25"/>
      <c r="AL1589" s="25"/>
      <c r="AM1589" s="25"/>
      <c r="AN1589" s="25"/>
      <c r="AO1589" s="25"/>
      <c r="AP1589" s="25"/>
      <c r="AQ1589" s="25"/>
      <c r="AR1589" s="25"/>
      <c r="AS1589" s="25"/>
      <c r="AT1589" s="25"/>
      <c r="AU1589" s="25"/>
      <c r="AV1589" s="25"/>
      <c r="AW1589" s="25"/>
      <c r="AX1589" s="25"/>
      <c r="AY1589" s="25"/>
      <c r="AZ1589" s="25"/>
      <c r="BA1589" s="25"/>
      <c r="BB1589" s="25"/>
      <c r="BC1589" s="25"/>
      <c r="BD1589" s="25"/>
      <c r="BE1589" s="25"/>
      <c r="BF1589" s="25"/>
      <c r="BG1589" s="25"/>
      <c r="BH1589" s="25"/>
      <c r="BI1589" s="25"/>
      <c r="BJ1589" s="25"/>
      <c r="BK1589" s="25"/>
      <c r="BL1589" s="25"/>
      <c r="BM1589" s="25"/>
      <c r="BN1589" s="25"/>
      <c r="BO1589" s="25"/>
      <c r="BP1589" s="25"/>
      <c r="BQ1589" s="25"/>
      <c r="BR1589" s="25"/>
      <c r="BS1589" s="25"/>
      <c r="BT1589" s="25"/>
      <c r="BU1589" s="25"/>
      <c r="BV1589" s="25"/>
      <c r="BW1589" s="25"/>
      <c r="BX1589" s="25"/>
      <c r="BY1589" s="25"/>
      <c r="BZ1589" s="25"/>
      <c r="CA1589" s="25"/>
      <c r="CB1589" s="25"/>
    </row>
    <row r="1590" spans="1:80" ht="12.75" hidden="1" customHeight="1">
      <c r="A1590" s="10">
        <f ca="1">IFERROR(__xludf.DUMMYFUNCTION("""COMPUTED_VALUE"""),2022)</f>
        <v>2022</v>
      </c>
      <c r="B1590" s="50">
        <f ca="1">IFERROR(__xludf.DUMMYFUNCTION("""COMPUTED_VALUE"""),44568)</f>
        <v>44568</v>
      </c>
      <c r="C1590" s="41"/>
      <c r="D1590" s="42" t="str">
        <f ca="1">IFERROR(__xludf.DUMMYFUNCTION("""COMPUTED_VALUE"""),"Caspian Gull")</f>
        <v>Caspian Gull</v>
      </c>
      <c r="E1590" s="53">
        <f ca="1">IFERROR(__xludf.DUMMYFUNCTION("""COMPUTED_VALUE"""),1)</f>
        <v>1</v>
      </c>
      <c r="F1590" s="15" t="str">
        <f ca="1">IFERROR(__xludf.DUMMYFUNCTION("""COMPUTED_VALUE"""),"1st W")</f>
        <v>1st W</v>
      </c>
      <c r="G1590" s="44" t="str">
        <f ca="1">IFERROR(__xludf.DUMMYFUNCTION("""COMPUTED_VALUE"""),"Pickering's Pasture LNR, Widnes")</f>
        <v>Pickering's Pasture LNR, Widnes</v>
      </c>
      <c r="H1590" s="12">
        <f ca="1">IFERROR(__xludf.DUMMYFUNCTION("""COMPUTED_VALUE"""),44566)</f>
        <v>44566</v>
      </c>
      <c r="I1590" s="13"/>
      <c r="J1590" s="14" t="str">
        <f ca="1">IFERROR(__xludf.DUMMYFUNCTION("""COMPUTED_VALUE"""),"Bird guides")</f>
        <v>Bird guides</v>
      </c>
      <c r="K1590" s="15"/>
      <c r="L1590" s="17" t="str">
        <f ca="1">IFERROR(__xludf.DUMMYFUNCTION("""COMPUTED_VALUE"""),"limbo")</f>
        <v>limbo</v>
      </c>
      <c r="M1590" s="17"/>
      <c r="N1590" s="15" t="str">
        <f ca="1">IFERROR(__xludf.DUMMYFUNCTION("""COMPUTED_VALUE"""),"not submitted")</f>
        <v>not submitted</v>
      </c>
      <c r="O1590" s="18"/>
      <c r="P1590" s="15"/>
      <c r="Q1590" s="15"/>
      <c r="R1590" s="15"/>
      <c r="S1590" s="15"/>
      <c r="T1590" s="15"/>
      <c r="U1590" s="15"/>
      <c r="V1590" s="15"/>
      <c r="W1590" s="15"/>
      <c r="X1590" s="15"/>
      <c r="Y1590" s="15"/>
      <c r="Z1590" s="15"/>
      <c r="AA1590" s="15"/>
      <c r="AB1590" s="15"/>
      <c r="AC1590" s="15"/>
      <c r="AD1590" s="15"/>
      <c r="AE1590" s="15"/>
      <c r="AF1590" s="15"/>
      <c r="AG1590" s="15"/>
      <c r="AH1590" s="15"/>
      <c r="AI1590" s="15"/>
      <c r="AJ1590" s="15"/>
      <c r="AK1590" s="15"/>
      <c r="AL1590" s="15"/>
      <c r="AM1590" s="15"/>
      <c r="AN1590" s="15"/>
      <c r="AO1590" s="15"/>
      <c r="AP1590" s="15"/>
      <c r="AQ1590" s="15"/>
      <c r="AR1590" s="15"/>
      <c r="AS1590" s="15"/>
      <c r="AT1590" s="15"/>
      <c r="AU1590" s="15"/>
      <c r="AV1590" s="15"/>
      <c r="AW1590" s="15"/>
      <c r="AX1590" s="15"/>
      <c r="AY1590" s="15"/>
      <c r="AZ1590" s="15"/>
      <c r="BA1590" s="15"/>
      <c r="BB1590" s="15"/>
      <c r="BC1590" s="15"/>
      <c r="BD1590" s="15"/>
      <c r="BE1590" s="15"/>
      <c r="BF1590" s="15"/>
      <c r="BG1590" s="15"/>
      <c r="BH1590" s="15"/>
      <c r="BI1590" s="15"/>
      <c r="BJ1590" s="15"/>
      <c r="BK1590" s="15"/>
      <c r="BL1590" s="15"/>
      <c r="BM1590" s="15"/>
      <c r="BN1590" s="15"/>
      <c r="BO1590" s="15"/>
      <c r="BP1590" s="15"/>
      <c r="BQ1590" s="15"/>
      <c r="BR1590" s="15"/>
      <c r="BS1590" s="15"/>
      <c r="BT1590" s="15"/>
      <c r="BU1590" s="15"/>
      <c r="BV1590" s="15"/>
      <c r="BW1590" s="15"/>
      <c r="BX1590" s="15"/>
      <c r="BY1590" s="15"/>
      <c r="BZ1590" s="15"/>
      <c r="CA1590" s="15"/>
      <c r="CB1590" s="15"/>
    </row>
    <row r="1591" spans="1:80" ht="12.75" hidden="1" customHeight="1">
      <c r="A1591" s="20">
        <f ca="1">IFERROR(__xludf.DUMMYFUNCTION("""COMPUTED_VALUE"""),2022)</f>
        <v>2022</v>
      </c>
      <c r="B1591" s="45">
        <f ca="1">IFERROR(__xludf.DUMMYFUNCTION("""COMPUTED_VALUE"""),44568)</f>
        <v>44568</v>
      </c>
      <c r="C1591" s="46"/>
      <c r="D1591" s="47" t="str">
        <f ca="1">IFERROR(__xludf.DUMMYFUNCTION("""COMPUTED_VALUE"""),"Caspian Gull")</f>
        <v>Caspian Gull</v>
      </c>
      <c r="E1591" s="52">
        <f ca="1">IFERROR(__xludf.DUMMYFUNCTION("""COMPUTED_VALUE"""),2)</f>
        <v>2</v>
      </c>
      <c r="F1591" s="25" t="str">
        <f ca="1">IFERROR(__xludf.DUMMYFUNCTION("""COMPUTED_VALUE"""),"1stw 2nd W")</f>
        <v>1stw 2nd W</v>
      </c>
      <c r="G1591" s="48" t="str">
        <f ca="1">IFERROR(__xludf.DUMMYFUNCTION("""COMPUTED_VALUE"""),"Widnes, Ditton Toat WSR recucling")</f>
        <v>Widnes, Ditton Toat WSR recucling</v>
      </c>
      <c r="H1591" s="22">
        <f ca="1">IFERROR(__xludf.DUMMYFUNCTION("""COMPUTED_VALUE"""),44567)</f>
        <v>44567</v>
      </c>
      <c r="I1591" s="22">
        <f ca="1">IFERROR(__xludf.DUMMYFUNCTION("""COMPUTED_VALUE"""),44203)</f>
        <v>44203</v>
      </c>
      <c r="J1591" s="24" t="str">
        <f ca="1">IFERROR(__xludf.DUMMYFUNCTION("""COMPUTED_VALUE"""),"Bird guides")</f>
        <v>Bird guides</v>
      </c>
      <c r="K1591" s="25"/>
      <c r="L1591" s="27" t="str">
        <f ca="1">IFERROR(__xludf.DUMMYFUNCTION("""COMPUTED_VALUE"""),"limbo")</f>
        <v>limbo</v>
      </c>
      <c r="M1591" s="27"/>
      <c r="N1591" s="25" t="str">
        <f ca="1">IFERROR(__xludf.DUMMYFUNCTION("""COMPUTED_VALUE"""),"not submitted")</f>
        <v>not submitted</v>
      </c>
      <c r="O1591" s="28" t="str">
        <f ca="1">IFERROR(__xludf.DUMMYFUNCTION("""COMPUTED_VALUE"""),"2nd w from 2021 accepted")</f>
        <v>2nd w from 2021 accepted</v>
      </c>
      <c r="P1591" s="25"/>
      <c r="Q1591" s="25"/>
      <c r="R1591" s="25"/>
      <c r="S1591" s="25"/>
      <c r="T1591" s="25"/>
      <c r="U1591" s="25"/>
      <c r="V1591" s="25"/>
      <c r="W1591" s="25"/>
      <c r="X1591" s="25"/>
      <c r="Y1591" s="25"/>
      <c r="Z1591" s="25"/>
      <c r="AA1591" s="25"/>
      <c r="AB1591" s="25"/>
      <c r="AC1591" s="25"/>
      <c r="AD1591" s="25"/>
      <c r="AE1591" s="25"/>
      <c r="AF1591" s="25"/>
      <c r="AG1591" s="25"/>
      <c r="AH1591" s="25"/>
      <c r="AI1591" s="25"/>
      <c r="AJ1591" s="25"/>
      <c r="AK1591" s="25"/>
      <c r="AL1591" s="25"/>
      <c r="AM1591" s="25"/>
      <c r="AN1591" s="25"/>
      <c r="AO1591" s="25"/>
      <c r="AP1591" s="25"/>
      <c r="AQ1591" s="25"/>
      <c r="AR1591" s="25"/>
      <c r="AS1591" s="25"/>
      <c r="AT1591" s="25"/>
      <c r="AU1591" s="25"/>
      <c r="AV1591" s="25"/>
      <c r="AW1591" s="25"/>
      <c r="AX1591" s="25"/>
      <c r="AY1591" s="25"/>
      <c r="AZ1591" s="25"/>
      <c r="BA1591" s="25"/>
      <c r="BB1591" s="25"/>
      <c r="BC1591" s="25"/>
      <c r="BD1591" s="25"/>
      <c r="BE1591" s="25"/>
      <c r="BF1591" s="25"/>
      <c r="BG1591" s="25"/>
      <c r="BH1591" s="25"/>
      <c r="BI1591" s="25"/>
      <c r="BJ1591" s="25"/>
      <c r="BK1591" s="25"/>
      <c r="BL1591" s="25"/>
      <c r="BM1591" s="25"/>
      <c r="BN1591" s="25"/>
      <c r="BO1591" s="25"/>
      <c r="BP1591" s="25"/>
      <c r="BQ1591" s="25"/>
      <c r="BR1591" s="25"/>
      <c r="BS1591" s="25"/>
      <c r="BT1591" s="25"/>
      <c r="BU1591" s="25"/>
      <c r="BV1591" s="25"/>
      <c r="BW1591" s="25"/>
      <c r="BX1591" s="25"/>
      <c r="BY1591" s="25"/>
      <c r="BZ1591" s="25"/>
      <c r="CA1591" s="25"/>
      <c r="CB1591" s="25"/>
    </row>
    <row r="1592" spans="1:80" ht="12.75" customHeight="1">
      <c r="A1592" s="10">
        <f ca="1">IFERROR(__xludf.DUMMYFUNCTION("""COMPUTED_VALUE"""),2022)</f>
        <v>2022</v>
      </c>
      <c r="B1592" s="50">
        <f ca="1">IFERROR(__xludf.DUMMYFUNCTION("""COMPUTED_VALUE"""),44576)</f>
        <v>44576</v>
      </c>
      <c r="C1592" s="41"/>
      <c r="D1592" s="42" t="str">
        <f ca="1">IFERROR(__xludf.DUMMYFUNCTION("""COMPUTED_VALUE"""),"Pomarine Skua")</f>
        <v>Pomarine Skua</v>
      </c>
      <c r="E1592" s="53">
        <f ca="1">IFERROR(__xludf.DUMMYFUNCTION("""COMPUTED_VALUE"""),1)</f>
        <v>1</v>
      </c>
      <c r="F1592" s="15"/>
      <c r="G1592" s="44" t="str">
        <f ca="1">IFERROR(__xludf.DUMMYFUNCTION("""COMPUTED_VALUE"""),"Hoylake")</f>
        <v>Hoylake</v>
      </c>
      <c r="H1592" s="12">
        <f ca="1">IFERROR(__xludf.DUMMYFUNCTION("""COMPUTED_VALUE"""),44897)</f>
        <v>44897</v>
      </c>
      <c r="I1592" s="13"/>
      <c r="J1592" s="14"/>
      <c r="K1592" s="15"/>
      <c r="L1592" s="17" t="str">
        <f ca="1">IFERROR(__xludf.DUMMYFUNCTION("""COMPUTED_VALUE"""),"limbo")</f>
        <v>limbo</v>
      </c>
      <c r="M1592" s="17"/>
      <c r="N1592" s="15" t="str">
        <f ca="1">IFERROR(__xludf.DUMMYFUNCTION("""COMPUTED_VALUE"""),"not submitted")</f>
        <v>not submitted</v>
      </c>
      <c r="O1592" s="18"/>
      <c r="P1592" s="15"/>
      <c r="Q1592" s="15"/>
      <c r="R1592" s="15"/>
      <c r="S1592" s="15"/>
      <c r="T1592" s="15"/>
      <c r="U1592" s="15"/>
      <c r="V1592" s="15"/>
      <c r="W1592" s="15"/>
      <c r="X1592" s="15"/>
      <c r="Y1592" s="15"/>
      <c r="Z1592" s="15"/>
      <c r="AA1592" s="15"/>
      <c r="AB1592" s="15"/>
      <c r="AC1592" s="15"/>
      <c r="AD1592" s="15"/>
      <c r="AE1592" s="15"/>
      <c r="AF1592" s="15"/>
      <c r="AG1592" s="15"/>
      <c r="AH1592" s="15"/>
      <c r="AI1592" s="15"/>
      <c r="AJ1592" s="15"/>
      <c r="AK1592" s="15"/>
      <c r="AL1592" s="15"/>
      <c r="AM1592" s="15"/>
      <c r="AN1592" s="15"/>
      <c r="AO1592" s="15"/>
      <c r="AP1592" s="15"/>
      <c r="AQ1592" s="15"/>
      <c r="AR1592" s="15"/>
      <c r="AS1592" s="15"/>
      <c r="AT1592" s="15"/>
      <c r="AU1592" s="15"/>
      <c r="AV1592" s="15"/>
      <c r="AW1592" s="15"/>
      <c r="AX1592" s="15"/>
      <c r="AY1592" s="15"/>
      <c r="AZ1592" s="15"/>
      <c r="BA1592" s="15"/>
      <c r="BB1592" s="15"/>
      <c r="BC1592" s="15"/>
      <c r="BD1592" s="15"/>
      <c r="BE1592" s="15"/>
      <c r="BF1592" s="15"/>
      <c r="BG1592" s="15"/>
      <c r="BH1592" s="15"/>
      <c r="BI1592" s="15"/>
      <c r="BJ1592" s="15"/>
      <c r="BK1592" s="15"/>
      <c r="BL1592" s="15"/>
      <c r="BM1592" s="15"/>
      <c r="BN1592" s="15"/>
      <c r="BO1592" s="15"/>
      <c r="BP1592" s="15"/>
      <c r="BQ1592" s="15"/>
      <c r="BR1592" s="15"/>
      <c r="BS1592" s="15"/>
      <c r="BT1592" s="15"/>
      <c r="BU1592" s="15"/>
      <c r="BV1592" s="15"/>
      <c r="BW1592" s="15"/>
      <c r="BX1592" s="15"/>
      <c r="BY1592" s="15"/>
      <c r="BZ1592" s="15"/>
      <c r="CA1592" s="15"/>
      <c r="CB1592" s="15"/>
    </row>
    <row r="1593" spans="1:80" ht="12.75" customHeight="1">
      <c r="A1593" s="20">
        <f ca="1">IFERROR(__xludf.DUMMYFUNCTION("""COMPUTED_VALUE"""),2022)</f>
        <v>2022</v>
      </c>
      <c r="B1593" s="45"/>
      <c r="C1593" s="46"/>
      <c r="D1593" s="47" t="str">
        <f ca="1">IFERROR(__xludf.DUMMYFUNCTION("""COMPUTED_VALUE"""),"Black Guillemot")</f>
        <v>Black Guillemot</v>
      </c>
      <c r="E1593" s="52">
        <f ca="1">IFERROR(__xludf.DUMMYFUNCTION("""COMPUTED_VALUE"""),1)</f>
        <v>1</v>
      </c>
      <c r="F1593" s="25"/>
      <c r="G1593" s="48" t="str">
        <f ca="1">IFERROR(__xludf.DUMMYFUNCTION("""COMPUTED_VALUE"""),"Hoylake")</f>
        <v>Hoylake</v>
      </c>
      <c r="H1593" s="22">
        <f ca="1">IFERROR(__xludf.DUMMYFUNCTION("""COMPUTED_VALUE"""),44897)</f>
        <v>44897</v>
      </c>
      <c r="I1593" s="23"/>
      <c r="J1593" s="24"/>
      <c r="K1593" s="25"/>
      <c r="L1593" s="27" t="str">
        <f ca="1">IFERROR(__xludf.DUMMYFUNCTION("""COMPUTED_VALUE"""),"limbo")</f>
        <v>limbo</v>
      </c>
      <c r="M1593" s="27"/>
      <c r="N1593" s="25" t="str">
        <f ca="1">IFERROR(__xludf.DUMMYFUNCTION("""COMPUTED_VALUE"""),"not submitted")</f>
        <v>not submitted</v>
      </c>
      <c r="O1593" s="28"/>
      <c r="P1593" s="25"/>
      <c r="Q1593" s="25"/>
      <c r="R1593" s="25"/>
      <c r="S1593" s="25"/>
      <c r="T1593" s="25"/>
      <c r="U1593" s="25"/>
      <c r="V1593" s="25"/>
      <c r="W1593" s="25"/>
      <c r="X1593" s="25"/>
      <c r="Y1593" s="25"/>
      <c r="Z1593" s="25"/>
      <c r="AA1593" s="25"/>
      <c r="AB1593" s="25"/>
      <c r="AC1593" s="25"/>
      <c r="AD1593" s="25"/>
      <c r="AE1593" s="25"/>
      <c r="AF1593" s="25"/>
      <c r="AG1593" s="25"/>
      <c r="AH1593" s="25"/>
      <c r="AI1593" s="25"/>
      <c r="AJ1593" s="25"/>
      <c r="AK1593" s="25"/>
      <c r="AL1593" s="25"/>
      <c r="AM1593" s="25"/>
      <c r="AN1593" s="25"/>
      <c r="AO1593" s="25"/>
      <c r="AP1593" s="25"/>
      <c r="AQ1593" s="25"/>
      <c r="AR1593" s="25"/>
      <c r="AS1593" s="25"/>
      <c r="AT1593" s="25"/>
      <c r="AU1593" s="25"/>
      <c r="AV1593" s="25"/>
      <c r="AW1593" s="25"/>
      <c r="AX1593" s="25"/>
      <c r="AY1593" s="25"/>
      <c r="AZ1593" s="25"/>
      <c r="BA1593" s="25"/>
      <c r="BB1593" s="25"/>
      <c r="BC1593" s="25"/>
      <c r="BD1593" s="25"/>
      <c r="BE1593" s="25"/>
      <c r="BF1593" s="25"/>
      <c r="BG1593" s="25"/>
      <c r="BH1593" s="25"/>
      <c r="BI1593" s="25"/>
      <c r="BJ1593" s="25"/>
      <c r="BK1593" s="25"/>
      <c r="BL1593" s="25"/>
      <c r="BM1593" s="25"/>
      <c r="BN1593" s="25"/>
      <c r="BO1593" s="25"/>
      <c r="BP1593" s="25"/>
      <c r="BQ1593" s="25"/>
      <c r="BR1593" s="25"/>
      <c r="BS1593" s="25"/>
      <c r="BT1593" s="25"/>
      <c r="BU1593" s="25"/>
      <c r="BV1593" s="25"/>
      <c r="BW1593" s="25"/>
      <c r="BX1593" s="25"/>
      <c r="BY1593" s="25"/>
      <c r="BZ1593" s="25"/>
      <c r="CA1593" s="25"/>
      <c r="CB1593" s="25"/>
    </row>
    <row r="1594" spans="1:80" ht="12.75" hidden="1" customHeight="1">
      <c r="A1594" s="10">
        <f ca="1">IFERROR(__xludf.DUMMYFUNCTION("""COMPUTED_VALUE"""),2022)</f>
        <v>2022</v>
      </c>
      <c r="B1594" s="50">
        <f ca="1">IFERROR(__xludf.DUMMYFUNCTION("""COMPUTED_VALUE"""),44574)</f>
        <v>44574</v>
      </c>
      <c r="C1594" s="41"/>
      <c r="D1594" s="42" t="str">
        <f ca="1">IFERROR(__xludf.DUMMYFUNCTION("""COMPUTED_VALUE"""),"Black-throated Diver")</f>
        <v>Black-throated Diver</v>
      </c>
      <c r="E1594" s="53">
        <f ca="1">IFERROR(__xludf.DUMMYFUNCTION("""COMPUTED_VALUE"""),1)</f>
        <v>1</v>
      </c>
      <c r="F1594" s="15"/>
      <c r="G1594" s="44" t="str">
        <f ca="1">IFERROR(__xludf.DUMMYFUNCTION("""COMPUTED_VALUE"""),"Doddington Pool (Crewe)")</f>
        <v>Doddington Pool (Crewe)</v>
      </c>
      <c r="H1594" s="12">
        <f ca="1">IFERROR(__xludf.DUMMYFUNCTION("""COMPUTED_VALUE"""),44573)</f>
        <v>44573</v>
      </c>
      <c r="I1594" s="13"/>
      <c r="J1594" s="14"/>
      <c r="K1594" s="15"/>
      <c r="L1594" s="17" t="str">
        <f ca="1">IFERROR(__xludf.DUMMYFUNCTION("""COMPUTED_VALUE"""),"limbo")</f>
        <v>limbo</v>
      </c>
      <c r="M1594" s="17"/>
      <c r="N1594" s="15" t="str">
        <f ca="1">IFERROR(__xludf.DUMMYFUNCTION("""COMPUTED_VALUE"""),"not submitted")</f>
        <v>not submitted</v>
      </c>
      <c r="O1594" s="18"/>
      <c r="P1594" s="15"/>
      <c r="Q1594" s="15"/>
      <c r="R1594" s="15"/>
      <c r="S1594" s="15"/>
      <c r="T1594" s="15"/>
      <c r="U1594" s="15"/>
      <c r="V1594" s="15"/>
      <c r="W1594" s="15"/>
      <c r="X1594" s="15"/>
      <c r="Y1594" s="15"/>
      <c r="Z1594" s="15"/>
      <c r="AA1594" s="15"/>
      <c r="AB1594" s="15"/>
      <c r="AC1594" s="15"/>
      <c r="AD1594" s="15"/>
      <c r="AE1594" s="15"/>
      <c r="AF1594" s="15"/>
      <c r="AG1594" s="15"/>
      <c r="AH1594" s="15"/>
      <c r="AI1594" s="15"/>
      <c r="AJ1594" s="15"/>
      <c r="AK1594" s="15"/>
      <c r="AL1594" s="15"/>
      <c r="AM1594" s="15"/>
      <c r="AN1594" s="15"/>
      <c r="AO1594" s="15"/>
      <c r="AP1594" s="15"/>
      <c r="AQ1594" s="15"/>
      <c r="AR1594" s="15"/>
      <c r="AS1594" s="15"/>
      <c r="AT1594" s="15"/>
      <c r="AU1594" s="15"/>
      <c r="AV1594" s="15"/>
      <c r="AW1594" s="15"/>
      <c r="AX1594" s="15"/>
      <c r="AY1594" s="15"/>
      <c r="AZ1594" s="15"/>
      <c r="BA1594" s="15"/>
      <c r="BB1594" s="15"/>
      <c r="BC1594" s="15"/>
      <c r="BD1594" s="15"/>
      <c r="BE1594" s="15"/>
      <c r="BF1594" s="15"/>
      <c r="BG1594" s="15"/>
      <c r="BH1594" s="15"/>
      <c r="BI1594" s="15"/>
      <c r="BJ1594" s="15"/>
      <c r="BK1594" s="15"/>
      <c r="BL1594" s="15"/>
      <c r="BM1594" s="15"/>
      <c r="BN1594" s="15"/>
      <c r="BO1594" s="15"/>
      <c r="BP1594" s="15"/>
      <c r="BQ1594" s="15"/>
      <c r="BR1594" s="15"/>
      <c r="BS1594" s="15"/>
      <c r="BT1594" s="15"/>
      <c r="BU1594" s="15"/>
      <c r="BV1594" s="15"/>
      <c r="BW1594" s="15"/>
      <c r="BX1594" s="15"/>
      <c r="BY1594" s="15"/>
      <c r="BZ1594" s="15"/>
      <c r="CA1594" s="15"/>
      <c r="CB1594" s="15"/>
    </row>
    <row r="1595" spans="1:80" ht="12.75" hidden="1" customHeight="1">
      <c r="A1595" s="20">
        <f ca="1">IFERROR(__xludf.DUMMYFUNCTION("""COMPUTED_VALUE"""),2022)</f>
        <v>2022</v>
      </c>
      <c r="B1595" s="45">
        <f ca="1">IFERROR(__xludf.DUMMYFUNCTION("""COMPUTED_VALUE"""),44569)</f>
        <v>44569</v>
      </c>
      <c r="C1595" s="46"/>
      <c r="D1595" s="47" t="str">
        <f ca="1">IFERROR(__xludf.DUMMYFUNCTION("""COMPUTED_VALUE"""),"Great Northern Diver")</f>
        <v>Great Northern Diver</v>
      </c>
      <c r="E1595" s="52">
        <f ca="1">IFERROR(__xludf.DUMMYFUNCTION("""COMPUTED_VALUE"""),1)</f>
        <v>1</v>
      </c>
      <c r="F1595" s="25"/>
      <c r="G1595" s="48" t="str">
        <f ca="1">IFERROR(__xludf.DUMMYFUNCTION("""COMPUTED_VALUE"""),"Shotwick Lake (Wales)")</f>
        <v>Shotwick Lake (Wales)</v>
      </c>
      <c r="H1595" s="22">
        <f ca="1">IFERROR(__xludf.DUMMYFUNCTION("""COMPUTED_VALUE"""),44568)</f>
        <v>44568</v>
      </c>
      <c r="I1595" s="22">
        <f ca="1">IFERROR(__xludf.DUMMYFUNCTION("""COMPUTED_VALUE"""),44569)</f>
        <v>44569</v>
      </c>
      <c r="J1595" s="24" t="str">
        <f ca="1">IFERROR(__xludf.DUMMYFUNCTION("""COMPUTED_VALUE"""),"French, Neil")</f>
        <v>French, Neil</v>
      </c>
      <c r="K1595" s="25" t="str">
        <f ca="1">IFERROR(__xludf.DUMMYFUNCTION("""COMPUTED_VALUE"""),"Andy Livemore")</f>
        <v>Andy Livemore</v>
      </c>
      <c r="L1595" s="27" t="str">
        <f ca="1">IFERROR(__xludf.DUMMYFUNCTION("""COMPUTED_VALUE"""),"closed")</f>
        <v>closed</v>
      </c>
      <c r="M1595" s="27" t="str">
        <f ca="1">IFERROR(__xludf.DUMMYFUNCTION("""COMPUTED_VALUE"""),"photo")</f>
        <v>photo</v>
      </c>
      <c r="N1595" s="25" t="str">
        <f ca="1">IFERROR(__xludf.DUMMYFUNCTION("""COMPUTED_VALUE"""),"Accepted - Out of region")</f>
        <v>Accepted - Out of region</v>
      </c>
      <c r="O1595" s="28"/>
      <c r="P1595" s="25"/>
      <c r="Q1595" s="25"/>
      <c r="R1595" s="25"/>
      <c r="S1595" s="25"/>
      <c r="T1595" s="25"/>
      <c r="U1595" s="25"/>
      <c r="V1595" s="25"/>
      <c r="W1595" s="25"/>
      <c r="X1595" s="25"/>
      <c r="Y1595" s="25"/>
      <c r="Z1595" s="25"/>
      <c r="AA1595" s="25"/>
      <c r="AB1595" s="25"/>
      <c r="AC1595" s="25"/>
      <c r="AD1595" s="25"/>
      <c r="AE1595" s="25"/>
      <c r="AF1595" s="25"/>
      <c r="AG1595" s="25"/>
      <c r="AH1595" s="25"/>
      <c r="AI1595" s="25"/>
      <c r="AJ1595" s="25"/>
      <c r="AK1595" s="25"/>
      <c r="AL1595" s="25"/>
      <c r="AM1595" s="25"/>
      <c r="AN1595" s="25"/>
      <c r="AO1595" s="25"/>
      <c r="AP1595" s="25"/>
      <c r="AQ1595" s="25"/>
      <c r="AR1595" s="25"/>
      <c r="AS1595" s="25"/>
      <c r="AT1595" s="25"/>
      <c r="AU1595" s="25"/>
      <c r="AV1595" s="25"/>
      <c r="AW1595" s="25"/>
      <c r="AX1595" s="25"/>
      <c r="AY1595" s="25"/>
      <c r="AZ1595" s="25"/>
      <c r="BA1595" s="25"/>
      <c r="BB1595" s="25"/>
      <c r="BC1595" s="25"/>
      <c r="BD1595" s="25"/>
      <c r="BE1595" s="25"/>
      <c r="BF1595" s="25"/>
      <c r="BG1595" s="25"/>
      <c r="BH1595" s="25"/>
      <c r="BI1595" s="25"/>
      <c r="BJ1595" s="25"/>
      <c r="BK1595" s="25"/>
      <c r="BL1595" s="25"/>
      <c r="BM1595" s="25"/>
      <c r="BN1595" s="25"/>
      <c r="BO1595" s="25"/>
      <c r="BP1595" s="25"/>
      <c r="BQ1595" s="25"/>
      <c r="BR1595" s="25"/>
      <c r="BS1595" s="25"/>
      <c r="BT1595" s="25"/>
      <c r="BU1595" s="25"/>
      <c r="BV1595" s="25"/>
      <c r="BW1595" s="25"/>
      <c r="BX1595" s="25"/>
      <c r="BY1595" s="25"/>
      <c r="BZ1595" s="25"/>
      <c r="CA1595" s="25"/>
      <c r="CB1595" s="25"/>
    </row>
    <row r="1596" spans="1:80" ht="12.75" hidden="1" customHeight="1">
      <c r="A1596" s="10">
        <f ca="1">IFERROR(__xludf.DUMMYFUNCTION("""COMPUTED_VALUE"""),2022)</f>
        <v>2022</v>
      </c>
      <c r="B1596" s="50">
        <f ca="1">IFERROR(__xludf.DUMMYFUNCTION("""COMPUTED_VALUE"""),44571)</f>
        <v>44571</v>
      </c>
      <c r="C1596" s="41"/>
      <c r="D1596" s="42" t="str">
        <f ca="1">IFERROR(__xludf.DUMMYFUNCTION("""COMPUTED_VALUE"""),"Great Northern Diver")</f>
        <v>Great Northern Diver</v>
      </c>
      <c r="E1596" s="53">
        <f ca="1">IFERROR(__xludf.DUMMYFUNCTION("""COMPUTED_VALUE"""),1)</f>
        <v>1</v>
      </c>
      <c r="F1596" s="15" t="str">
        <f ca="1">IFERROR(__xludf.DUMMYFUNCTION("""COMPUTED_VALUE"""),"juv")</f>
        <v>juv</v>
      </c>
      <c r="G1596" s="44" t="str">
        <f ca="1">IFERROR(__xludf.DUMMYFUNCTION("""COMPUTED_VALUE"""),"Chelford, East Lake MFQ")</f>
        <v>Chelford, East Lake MFQ</v>
      </c>
      <c r="H1596" s="12">
        <f ca="1">IFERROR(__xludf.DUMMYFUNCTION("""COMPUTED_VALUE"""),44571)</f>
        <v>44571</v>
      </c>
      <c r="I1596" s="12">
        <f ca="1">IFERROR(__xludf.DUMMYFUNCTION("""COMPUTED_VALUE"""),44572)</f>
        <v>44572</v>
      </c>
      <c r="J1596" s="14" t="str">
        <f ca="1">IFERROR(__xludf.DUMMYFUNCTION("""COMPUTED_VALUE"""),"County recorder")</f>
        <v>County recorder</v>
      </c>
      <c r="K1596" s="15" t="str">
        <f ca="1">IFERROR(__xludf.DUMMYFUNCTION("""COMPUTED_VALUE"""),"""Brian""")</f>
        <v>"Brian"</v>
      </c>
      <c r="L1596" s="17" t="str">
        <f ca="1">IFERROR(__xludf.DUMMYFUNCTION("""COMPUTED_VALUE"""),"closed")</f>
        <v>closed</v>
      </c>
      <c r="M1596" s="17" t="str">
        <f ca="1">IFERROR(__xludf.DUMMYFUNCTION("""COMPUTED_VALUE"""),"photo")</f>
        <v>photo</v>
      </c>
      <c r="N1596" s="15" t="str">
        <f ca="1">IFERROR(__xludf.DUMMYFUNCTION("""COMPUTED_VALUE"""),"Accepted w/o circ")</f>
        <v>Accepted w/o circ</v>
      </c>
      <c r="O1596" s="18"/>
      <c r="P1596" s="15"/>
      <c r="Q1596" s="15"/>
      <c r="R1596" s="15"/>
      <c r="S1596" s="15"/>
      <c r="T1596" s="15"/>
      <c r="U1596" s="15"/>
      <c r="V1596" s="15"/>
      <c r="W1596" s="15"/>
      <c r="X1596" s="15"/>
      <c r="Y1596" s="15"/>
      <c r="Z1596" s="15"/>
      <c r="AA1596" s="15"/>
      <c r="AB1596" s="15"/>
      <c r="AC1596" s="15"/>
      <c r="AD1596" s="15"/>
      <c r="AE1596" s="15"/>
      <c r="AF1596" s="15"/>
      <c r="AG1596" s="15"/>
      <c r="AH1596" s="15"/>
      <c r="AI1596" s="15"/>
      <c r="AJ1596" s="15"/>
      <c r="AK1596" s="15"/>
      <c r="AL1596" s="15"/>
      <c r="AM1596" s="15"/>
      <c r="AN1596" s="15"/>
      <c r="AO1596" s="15"/>
      <c r="AP1596" s="15"/>
      <c r="AQ1596" s="15"/>
      <c r="AR1596" s="15"/>
      <c r="AS1596" s="15"/>
      <c r="AT1596" s="15"/>
      <c r="AU1596" s="15"/>
      <c r="AV1596" s="15"/>
      <c r="AW1596" s="15"/>
      <c r="AX1596" s="15"/>
      <c r="AY1596" s="15"/>
      <c r="AZ1596" s="15"/>
      <c r="BA1596" s="15"/>
      <c r="BB1596" s="15"/>
      <c r="BC1596" s="15"/>
      <c r="BD1596" s="15"/>
      <c r="BE1596" s="15"/>
      <c r="BF1596" s="15"/>
      <c r="BG1596" s="15"/>
      <c r="BH1596" s="15"/>
      <c r="BI1596" s="15"/>
      <c r="BJ1596" s="15"/>
      <c r="BK1596" s="15"/>
      <c r="BL1596" s="15"/>
      <c r="BM1596" s="15"/>
      <c r="BN1596" s="15"/>
      <c r="BO1596" s="15"/>
      <c r="BP1596" s="15"/>
      <c r="BQ1596" s="15"/>
      <c r="BR1596" s="15"/>
      <c r="BS1596" s="15"/>
      <c r="BT1596" s="15"/>
      <c r="BU1596" s="15"/>
      <c r="BV1596" s="15"/>
      <c r="BW1596" s="15"/>
      <c r="BX1596" s="15"/>
      <c r="BY1596" s="15"/>
      <c r="BZ1596" s="15"/>
      <c r="CA1596" s="15"/>
      <c r="CB1596" s="15"/>
    </row>
    <row r="1597" spans="1:80" ht="12.75" hidden="1" customHeight="1">
      <c r="A1597" s="20">
        <f ca="1">IFERROR(__xludf.DUMMYFUNCTION("""COMPUTED_VALUE"""),2022)</f>
        <v>2022</v>
      </c>
      <c r="B1597" s="45">
        <f ca="1">IFERROR(__xludf.DUMMYFUNCTION("""COMPUTED_VALUE"""),44573)</f>
        <v>44573</v>
      </c>
      <c r="C1597" s="46"/>
      <c r="D1597" s="47" t="str">
        <f ca="1">IFERROR(__xludf.DUMMYFUNCTION("""COMPUTED_VALUE"""),"Great Northern Diver")</f>
        <v>Great Northern Diver</v>
      </c>
      <c r="E1597" s="52">
        <f ca="1">IFERROR(__xludf.DUMMYFUNCTION("""COMPUTED_VALUE"""),1)</f>
        <v>1</v>
      </c>
      <c r="F1597" s="25"/>
      <c r="G1597" s="48" t="str">
        <f ca="1">IFERROR(__xludf.DUMMYFUNCTION("""COMPUTED_VALUE"""),"Hoylake")</f>
        <v>Hoylake</v>
      </c>
      <c r="H1597" s="22">
        <f ca="1">IFERROR(__xludf.DUMMYFUNCTION("""COMPUTED_VALUE"""),44573)</f>
        <v>44573</v>
      </c>
      <c r="I1597" s="23"/>
      <c r="J1597" s="24"/>
      <c r="K1597" s="25"/>
      <c r="L1597" s="27" t="str">
        <f ca="1">IFERROR(__xludf.DUMMYFUNCTION("""COMPUTED_VALUE"""),"limbo")</f>
        <v>limbo</v>
      </c>
      <c r="M1597" s="27"/>
      <c r="N1597" s="25" t="str">
        <f ca="1">IFERROR(__xludf.DUMMYFUNCTION("""COMPUTED_VALUE"""),"not submitted")</f>
        <v>not submitted</v>
      </c>
      <c r="O1597" s="28" t="str">
        <f ca="1">IFERROR(__xludf.DUMMYFUNCTION("""COMPUTED_VALUE"""),"offshore")</f>
        <v>offshore</v>
      </c>
      <c r="P1597" s="25"/>
      <c r="Q1597" s="25"/>
      <c r="R1597" s="25"/>
      <c r="S1597" s="25"/>
      <c r="T1597" s="25"/>
      <c r="U1597" s="25"/>
      <c r="V1597" s="25"/>
      <c r="W1597" s="25"/>
      <c r="X1597" s="25"/>
      <c r="Y1597" s="25"/>
      <c r="Z1597" s="25"/>
      <c r="AA1597" s="25"/>
      <c r="AB1597" s="25"/>
      <c r="AC1597" s="25"/>
      <c r="AD1597" s="25"/>
      <c r="AE1597" s="25"/>
      <c r="AF1597" s="25"/>
      <c r="AG1597" s="25"/>
      <c r="AH1597" s="25"/>
      <c r="AI1597" s="25"/>
      <c r="AJ1597" s="25"/>
      <c r="AK1597" s="25"/>
      <c r="AL1597" s="25"/>
      <c r="AM1597" s="25"/>
      <c r="AN1597" s="25"/>
      <c r="AO1597" s="25"/>
      <c r="AP1597" s="25"/>
      <c r="AQ1597" s="25"/>
      <c r="AR1597" s="25"/>
      <c r="AS1597" s="25"/>
      <c r="AT1597" s="25"/>
      <c r="AU1597" s="25"/>
      <c r="AV1597" s="25"/>
      <c r="AW1597" s="25"/>
      <c r="AX1597" s="25"/>
      <c r="AY1597" s="25"/>
      <c r="AZ1597" s="25"/>
      <c r="BA1597" s="25"/>
      <c r="BB1597" s="25"/>
      <c r="BC1597" s="25"/>
      <c r="BD1597" s="25"/>
      <c r="BE1597" s="25"/>
      <c r="BF1597" s="25"/>
      <c r="BG1597" s="25"/>
      <c r="BH1597" s="25"/>
      <c r="BI1597" s="25"/>
      <c r="BJ1597" s="25"/>
      <c r="BK1597" s="25"/>
      <c r="BL1597" s="25"/>
      <c r="BM1597" s="25"/>
      <c r="BN1597" s="25"/>
      <c r="BO1597" s="25"/>
      <c r="BP1597" s="25"/>
      <c r="BQ1597" s="25"/>
      <c r="BR1597" s="25"/>
      <c r="BS1597" s="25"/>
      <c r="BT1597" s="25"/>
      <c r="BU1597" s="25"/>
      <c r="BV1597" s="25"/>
      <c r="BW1597" s="25"/>
      <c r="BX1597" s="25"/>
      <c r="BY1597" s="25"/>
      <c r="BZ1597" s="25"/>
      <c r="CA1597" s="25"/>
      <c r="CB1597" s="25"/>
    </row>
    <row r="1598" spans="1:80" ht="12.75" hidden="1" customHeight="1">
      <c r="A1598" s="10">
        <f ca="1">IFERROR(__xludf.DUMMYFUNCTION("""COMPUTED_VALUE"""),2022)</f>
        <v>2022</v>
      </c>
      <c r="B1598" s="50">
        <f ca="1">IFERROR(__xludf.DUMMYFUNCTION("""COMPUTED_VALUE"""),44706)</f>
        <v>44706</v>
      </c>
      <c r="C1598" s="41">
        <f ca="1">IFERROR(__xludf.DUMMYFUNCTION("""COMPUTED_VALUE"""),44706)</f>
        <v>44706</v>
      </c>
      <c r="D1598" s="42" t="str">
        <f ca="1">IFERROR(__xludf.DUMMYFUNCTION("""COMPUTED_VALUE"""),"Balearic Shearwater")</f>
        <v>Balearic Shearwater</v>
      </c>
      <c r="E1598" s="53">
        <f ca="1">IFERROR(__xludf.DUMMYFUNCTION("""COMPUTED_VALUE"""),1)</f>
        <v>1</v>
      </c>
      <c r="F1598" s="15"/>
      <c r="G1598" s="44" t="str">
        <f ca="1">IFERROR(__xludf.DUMMYFUNCTION("""COMPUTED_VALUE"""),"Hilbre")</f>
        <v>Hilbre</v>
      </c>
      <c r="H1598" s="12">
        <f ca="1">IFERROR(__xludf.DUMMYFUNCTION("""COMPUTED_VALUE"""),44693)</f>
        <v>44693</v>
      </c>
      <c r="I1598" s="13"/>
      <c r="J1598" s="14"/>
      <c r="K1598" s="15"/>
      <c r="L1598" s="17" t="str">
        <f ca="1">IFERROR(__xludf.DUMMYFUNCTION("""COMPUTED_VALUE"""),"open")</f>
        <v>open</v>
      </c>
      <c r="M1598" s="17"/>
      <c r="N1598" s="15" t="str">
        <f ca="1">IFERROR(__xludf.DUMMYFUNCTION("""COMPUTED_VALUE"""),"in circulation")</f>
        <v>in circulation</v>
      </c>
      <c r="O1598" s="18"/>
      <c r="P1598" s="15"/>
      <c r="Q1598" s="15"/>
      <c r="R1598" s="15"/>
      <c r="S1598" s="15"/>
      <c r="T1598" s="15"/>
      <c r="U1598" s="15"/>
      <c r="V1598" s="15"/>
      <c r="W1598" s="15"/>
      <c r="X1598" s="15"/>
      <c r="Y1598" s="15"/>
      <c r="Z1598" s="15"/>
      <c r="AA1598" s="15"/>
      <c r="AB1598" s="15"/>
      <c r="AC1598" s="15"/>
      <c r="AD1598" s="15"/>
      <c r="AE1598" s="15"/>
      <c r="AF1598" s="15"/>
      <c r="AG1598" s="15"/>
      <c r="AH1598" s="15"/>
      <c r="AI1598" s="15"/>
      <c r="AJ1598" s="15"/>
      <c r="AK1598" s="15"/>
      <c r="AL1598" s="15"/>
      <c r="AM1598" s="15"/>
      <c r="AN1598" s="15"/>
      <c r="AO1598" s="15"/>
      <c r="AP1598" s="15"/>
      <c r="AQ1598" s="15"/>
      <c r="AR1598" s="15"/>
      <c r="AS1598" s="15"/>
      <c r="AT1598" s="15"/>
      <c r="AU1598" s="15"/>
      <c r="AV1598" s="15"/>
      <c r="AW1598" s="15"/>
      <c r="AX1598" s="15"/>
      <c r="AY1598" s="15"/>
      <c r="AZ1598" s="15"/>
      <c r="BA1598" s="15"/>
      <c r="BB1598" s="15"/>
      <c r="BC1598" s="15"/>
      <c r="BD1598" s="15"/>
      <c r="BE1598" s="15"/>
      <c r="BF1598" s="15"/>
      <c r="BG1598" s="15"/>
      <c r="BH1598" s="15"/>
      <c r="BI1598" s="15"/>
      <c r="BJ1598" s="15"/>
      <c r="BK1598" s="15"/>
      <c r="BL1598" s="15"/>
      <c r="BM1598" s="15"/>
      <c r="BN1598" s="15"/>
      <c r="BO1598" s="15"/>
      <c r="BP1598" s="15"/>
      <c r="BQ1598" s="15"/>
      <c r="BR1598" s="15"/>
      <c r="BS1598" s="15"/>
      <c r="BT1598" s="15"/>
      <c r="BU1598" s="15"/>
      <c r="BV1598" s="15"/>
      <c r="BW1598" s="15"/>
      <c r="BX1598" s="15"/>
      <c r="BY1598" s="15"/>
      <c r="BZ1598" s="15"/>
      <c r="CA1598" s="15"/>
      <c r="CB1598" s="15"/>
    </row>
    <row r="1599" spans="1:80" ht="12.75" hidden="1" customHeight="1">
      <c r="A1599" s="20">
        <f ca="1">IFERROR(__xludf.DUMMYFUNCTION("""COMPUTED_VALUE"""),2022)</f>
        <v>2022</v>
      </c>
      <c r="B1599" s="45">
        <f ca="1">IFERROR(__xludf.DUMMYFUNCTION("""COMPUTED_VALUE"""),44974)</f>
        <v>44974</v>
      </c>
      <c r="C1599" s="46"/>
      <c r="D1599" s="47" t="str">
        <f ca="1">IFERROR(__xludf.DUMMYFUNCTION("""COMPUTED_VALUE"""),"Great Northern Diver")</f>
        <v>Great Northern Diver</v>
      </c>
      <c r="E1599" s="52">
        <f ca="1">IFERROR(__xludf.DUMMYFUNCTION("""COMPUTED_VALUE"""),1)</f>
        <v>1</v>
      </c>
      <c r="F1599" s="25"/>
      <c r="G1599" s="48" t="str">
        <f ca="1">IFERROR(__xludf.DUMMYFUNCTION("""COMPUTED_VALUE"""),"New Brighton Marine Lake")</f>
        <v>New Brighton Marine Lake</v>
      </c>
      <c r="H1599" s="22">
        <f ca="1">IFERROR(__xludf.DUMMYFUNCTION("""COMPUTED_VALUE"""),44830)</f>
        <v>44830</v>
      </c>
      <c r="I1599" s="23"/>
      <c r="J1599" s="24"/>
      <c r="K1599" s="25"/>
      <c r="L1599" s="27" t="str">
        <f ca="1">IFERROR(__xludf.DUMMYFUNCTION("""COMPUTED_VALUE"""),"limbo")</f>
        <v>limbo</v>
      </c>
      <c r="M1599" s="27"/>
      <c r="N1599" s="25" t="str">
        <f ca="1">IFERROR(__xludf.DUMMYFUNCTION("""COMPUTED_VALUE"""),"not submitted")</f>
        <v>not submitted</v>
      </c>
      <c r="O1599" s="28"/>
      <c r="P1599" s="25"/>
      <c r="Q1599" s="25"/>
      <c r="R1599" s="25"/>
      <c r="S1599" s="25"/>
      <c r="T1599" s="25"/>
      <c r="U1599" s="25"/>
      <c r="V1599" s="25"/>
      <c r="W1599" s="25"/>
      <c r="X1599" s="25"/>
      <c r="Y1599" s="25"/>
      <c r="Z1599" s="25"/>
      <c r="AA1599" s="25"/>
      <c r="AB1599" s="25"/>
      <c r="AC1599" s="25"/>
      <c r="AD1599" s="25"/>
      <c r="AE1599" s="25"/>
      <c r="AF1599" s="25"/>
      <c r="AG1599" s="25"/>
      <c r="AH1599" s="25"/>
      <c r="AI1599" s="25"/>
      <c r="AJ1599" s="25"/>
      <c r="AK1599" s="25"/>
      <c r="AL1599" s="25"/>
      <c r="AM1599" s="25"/>
      <c r="AN1599" s="25"/>
      <c r="AO1599" s="25"/>
      <c r="AP1599" s="25"/>
      <c r="AQ1599" s="25"/>
      <c r="AR1599" s="25"/>
      <c r="AS1599" s="25"/>
      <c r="AT1599" s="25"/>
      <c r="AU1599" s="25"/>
      <c r="AV1599" s="25"/>
      <c r="AW1599" s="25"/>
      <c r="AX1599" s="25"/>
      <c r="AY1599" s="25"/>
      <c r="AZ1599" s="25"/>
      <c r="BA1599" s="25"/>
      <c r="BB1599" s="25"/>
      <c r="BC1599" s="25"/>
      <c r="BD1599" s="25"/>
      <c r="BE1599" s="25"/>
      <c r="BF1599" s="25"/>
      <c r="BG1599" s="25"/>
      <c r="BH1599" s="25"/>
      <c r="BI1599" s="25"/>
      <c r="BJ1599" s="25"/>
      <c r="BK1599" s="25"/>
      <c r="BL1599" s="25"/>
      <c r="BM1599" s="25"/>
      <c r="BN1599" s="25"/>
      <c r="BO1599" s="25"/>
      <c r="BP1599" s="25"/>
      <c r="BQ1599" s="25"/>
      <c r="BR1599" s="25"/>
      <c r="BS1599" s="25"/>
      <c r="BT1599" s="25"/>
      <c r="BU1599" s="25"/>
      <c r="BV1599" s="25"/>
      <c r="BW1599" s="25"/>
      <c r="BX1599" s="25"/>
      <c r="BY1599" s="25"/>
      <c r="BZ1599" s="25"/>
      <c r="CA1599" s="25"/>
      <c r="CB1599" s="25"/>
    </row>
    <row r="1600" spans="1:80" ht="12.75" hidden="1" customHeight="1">
      <c r="A1600" s="10">
        <f ca="1">IFERROR(__xludf.DUMMYFUNCTION("""COMPUTED_VALUE"""),2022)</f>
        <v>2022</v>
      </c>
      <c r="B1600" s="50">
        <f ca="1">IFERROR(__xludf.DUMMYFUNCTION("""COMPUTED_VALUE"""),44884)</f>
        <v>44884</v>
      </c>
      <c r="C1600" s="41"/>
      <c r="D1600" s="42" t="str">
        <f ca="1">IFERROR(__xludf.DUMMYFUNCTION("""COMPUTED_VALUE"""),"Great Northern Diver")</f>
        <v>Great Northern Diver</v>
      </c>
      <c r="E1600" s="53">
        <f ca="1">IFERROR(__xludf.DUMMYFUNCTION("""COMPUTED_VALUE"""),1)</f>
        <v>1</v>
      </c>
      <c r="F1600" s="15"/>
      <c r="G1600" s="44" t="str">
        <f ca="1">IFERROR(__xludf.DUMMYFUNCTION("""COMPUTED_VALUE"""),"New Brighton Marine Lake")</f>
        <v>New Brighton Marine Lake</v>
      </c>
      <c r="H1600" s="12">
        <f ca="1">IFERROR(__xludf.DUMMYFUNCTION("""COMPUTED_VALUE"""),44830)</f>
        <v>44830</v>
      </c>
      <c r="I1600" s="13"/>
      <c r="J1600" s="14"/>
      <c r="K1600" s="15"/>
      <c r="L1600" s="17" t="str">
        <f ca="1">IFERROR(__xludf.DUMMYFUNCTION("""COMPUTED_VALUE"""),"limbo")</f>
        <v>limbo</v>
      </c>
      <c r="M1600" s="17"/>
      <c r="N1600" s="15" t="str">
        <f ca="1">IFERROR(__xludf.DUMMYFUNCTION("""COMPUTED_VALUE"""),"not submitted")</f>
        <v>not submitted</v>
      </c>
      <c r="O1600" s="18"/>
      <c r="P1600" s="15"/>
      <c r="Q1600" s="15"/>
      <c r="R1600" s="15"/>
      <c r="S1600" s="15"/>
      <c r="T1600" s="15"/>
      <c r="U1600" s="15"/>
      <c r="V1600" s="15"/>
      <c r="W1600" s="15"/>
      <c r="X1600" s="15"/>
      <c r="Y1600" s="15"/>
      <c r="Z1600" s="15"/>
      <c r="AA1600" s="15"/>
      <c r="AB1600" s="15"/>
      <c r="AC1600" s="15"/>
      <c r="AD1600" s="15"/>
      <c r="AE1600" s="15"/>
      <c r="AF1600" s="15"/>
      <c r="AG1600" s="15"/>
      <c r="AH1600" s="15"/>
      <c r="AI1600" s="15"/>
      <c r="AJ1600" s="15"/>
      <c r="AK1600" s="15"/>
      <c r="AL1600" s="15"/>
      <c r="AM1600" s="15"/>
      <c r="AN1600" s="15"/>
      <c r="AO1600" s="15"/>
      <c r="AP1600" s="15"/>
      <c r="AQ1600" s="15"/>
      <c r="AR1600" s="15"/>
      <c r="AS1600" s="15"/>
      <c r="AT1600" s="15"/>
      <c r="AU1600" s="15"/>
      <c r="AV1600" s="15"/>
      <c r="AW1600" s="15"/>
      <c r="AX1600" s="15"/>
      <c r="AY1600" s="15"/>
      <c r="AZ1600" s="15"/>
      <c r="BA1600" s="15"/>
      <c r="BB1600" s="15"/>
      <c r="BC1600" s="15"/>
      <c r="BD1600" s="15"/>
      <c r="BE1600" s="15"/>
      <c r="BF1600" s="15"/>
      <c r="BG1600" s="15"/>
      <c r="BH1600" s="15"/>
      <c r="BI1600" s="15"/>
      <c r="BJ1600" s="15"/>
      <c r="BK1600" s="15"/>
      <c r="BL1600" s="15"/>
      <c r="BM1600" s="15"/>
      <c r="BN1600" s="15"/>
      <c r="BO1600" s="15"/>
      <c r="BP1600" s="15"/>
      <c r="BQ1600" s="15"/>
      <c r="BR1600" s="15"/>
      <c r="BS1600" s="15"/>
      <c r="BT1600" s="15"/>
      <c r="BU1600" s="15"/>
      <c r="BV1600" s="15"/>
      <c r="BW1600" s="15"/>
      <c r="BX1600" s="15"/>
      <c r="BY1600" s="15"/>
      <c r="BZ1600" s="15"/>
      <c r="CA1600" s="15"/>
      <c r="CB1600" s="15"/>
    </row>
    <row r="1601" spans="1:80" ht="12.75" hidden="1" customHeight="1">
      <c r="A1601" s="20">
        <f ca="1">IFERROR(__xludf.DUMMYFUNCTION("""COMPUTED_VALUE"""),2022)</f>
        <v>2022</v>
      </c>
      <c r="B1601" s="45">
        <f ca="1">IFERROR(__xludf.DUMMYFUNCTION("""COMPUTED_VALUE"""),44974)</f>
        <v>44974</v>
      </c>
      <c r="C1601" s="46"/>
      <c r="D1601" s="47" t="str">
        <f ca="1">IFERROR(__xludf.DUMMYFUNCTION("""COMPUTED_VALUE"""),"Great Northern Diver")</f>
        <v>Great Northern Diver</v>
      </c>
      <c r="E1601" s="52">
        <f ca="1">IFERROR(__xludf.DUMMYFUNCTION("""COMPUTED_VALUE"""),1)</f>
        <v>1</v>
      </c>
      <c r="F1601" s="25"/>
      <c r="G1601" s="48" t="str">
        <f ca="1">IFERROR(__xludf.DUMMYFUNCTION("""COMPUTED_VALUE"""),"Redesmere")</f>
        <v>Redesmere</v>
      </c>
      <c r="H1601" s="22">
        <f ca="1">IFERROR(__xludf.DUMMYFUNCTION("""COMPUTED_VALUE"""),44878)</f>
        <v>44878</v>
      </c>
      <c r="I1601" s="23"/>
      <c r="J1601" s="24"/>
      <c r="K1601" s="25"/>
      <c r="L1601" s="27" t="str">
        <f ca="1">IFERROR(__xludf.DUMMYFUNCTION("""COMPUTED_VALUE"""),"limbo")</f>
        <v>limbo</v>
      </c>
      <c r="M1601" s="27"/>
      <c r="N1601" s="25" t="str">
        <f ca="1">IFERROR(__xludf.DUMMYFUNCTION("""COMPUTED_VALUE"""),"not submitted")</f>
        <v>not submitted</v>
      </c>
      <c r="O1601" s="28"/>
      <c r="P1601" s="25"/>
      <c r="Q1601" s="25"/>
      <c r="R1601" s="25"/>
      <c r="S1601" s="25"/>
      <c r="T1601" s="25"/>
      <c r="U1601" s="25"/>
      <c r="V1601" s="25"/>
      <c r="W1601" s="25"/>
      <c r="X1601" s="25"/>
      <c r="Y1601" s="25"/>
      <c r="Z1601" s="25"/>
      <c r="AA1601" s="25"/>
      <c r="AB1601" s="25"/>
      <c r="AC1601" s="25"/>
      <c r="AD1601" s="25"/>
      <c r="AE1601" s="25"/>
      <c r="AF1601" s="25"/>
      <c r="AG1601" s="25"/>
      <c r="AH1601" s="25"/>
      <c r="AI1601" s="25"/>
      <c r="AJ1601" s="25"/>
      <c r="AK1601" s="25"/>
      <c r="AL1601" s="25"/>
      <c r="AM1601" s="25"/>
      <c r="AN1601" s="25"/>
      <c r="AO1601" s="25"/>
      <c r="AP1601" s="25"/>
      <c r="AQ1601" s="25"/>
      <c r="AR1601" s="25"/>
      <c r="AS1601" s="25"/>
      <c r="AT1601" s="25"/>
      <c r="AU1601" s="25"/>
      <c r="AV1601" s="25"/>
      <c r="AW1601" s="25"/>
      <c r="AX1601" s="25"/>
      <c r="AY1601" s="25"/>
      <c r="AZ1601" s="25"/>
      <c r="BA1601" s="25"/>
      <c r="BB1601" s="25"/>
      <c r="BC1601" s="25"/>
      <c r="BD1601" s="25"/>
      <c r="BE1601" s="25"/>
      <c r="BF1601" s="25"/>
      <c r="BG1601" s="25"/>
      <c r="BH1601" s="25"/>
      <c r="BI1601" s="25"/>
      <c r="BJ1601" s="25"/>
      <c r="BK1601" s="25"/>
      <c r="BL1601" s="25"/>
      <c r="BM1601" s="25"/>
      <c r="BN1601" s="25"/>
      <c r="BO1601" s="25"/>
      <c r="BP1601" s="25"/>
      <c r="BQ1601" s="25"/>
      <c r="BR1601" s="25"/>
      <c r="BS1601" s="25"/>
      <c r="BT1601" s="25"/>
      <c r="BU1601" s="25"/>
      <c r="BV1601" s="25"/>
      <c r="BW1601" s="25"/>
      <c r="BX1601" s="25"/>
      <c r="BY1601" s="25"/>
      <c r="BZ1601" s="25"/>
      <c r="CA1601" s="25"/>
      <c r="CB1601" s="25"/>
    </row>
    <row r="1602" spans="1:80" ht="12.75" hidden="1" customHeight="1">
      <c r="A1602" s="10">
        <f ca="1">IFERROR(__xludf.DUMMYFUNCTION("""COMPUTED_VALUE"""),2022)</f>
        <v>2022</v>
      </c>
      <c r="B1602" s="50">
        <f ca="1">IFERROR(__xludf.DUMMYFUNCTION("""COMPUTED_VALUE"""),44884)</f>
        <v>44884</v>
      </c>
      <c r="C1602" s="41"/>
      <c r="D1602" s="42" t="str">
        <f ca="1">IFERROR(__xludf.DUMMYFUNCTION("""COMPUTED_VALUE"""),"Great Northern Diver")</f>
        <v>Great Northern Diver</v>
      </c>
      <c r="E1602" s="53">
        <f ca="1">IFERROR(__xludf.DUMMYFUNCTION("""COMPUTED_VALUE"""),1)</f>
        <v>1</v>
      </c>
      <c r="F1602" s="15" t="str">
        <f ca="1">IFERROR(__xludf.DUMMYFUNCTION("""COMPUTED_VALUE"""),"juv")</f>
        <v>juv</v>
      </c>
      <c r="G1602" s="44" t="str">
        <f ca="1">IFERROR(__xludf.DUMMYFUNCTION("""COMPUTED_VALUE"""),"Redesmere")</f>
        <v>Redesmere</v>
      </c>
      <c r="H1602" s="12">
        <f ca="1">IFERROR(__xludf.DUMMYFUNCTION("""COMPUTED_VALUE"""),44878)</f>
        <v>44878</v>
      </c>
      <c r="I1602" s="12">
        <f ca="1">IFERROR(__xludf.DUMMYFUNCTION("""COMPUTED_VALUE"""),44920)</f>
        <v>44920</v>
      </c>
      <c r="J1602" s="14"/>
      <c r="K1602" s="15"/>
      <c r="L1602" s="17" t="str">
        <f ca="1">IFERROR(__xludf.DUMMYFUNCTION("""COMPUTED_VALUE"""),"closed")</f>
        <v>closed</v>
      </c>
      <c r="M1602" s="17"/>
      <c r="N1602" s="15" t="str">
        <f ca="1">IFERROR(__xludf.DUMMYFUNCTION("""COMPUTED_VALUE"""),"Accepted w/o circ")</f>
        <v>Accepted w/o circ</v>
      </c>
      <c r="O1602" s="18" t="str">
        <f ca="1">IFERROR(__xludf.DUMMYFUNCTION("""COMPUTED_VALUE"""),"photo")</f>
        <v>photo</v>
      </c>
      <c r="P1602" s="15"/>
      <c r="Q1602" s="15"/>
      <c r="R1602" s="15"/>
      <c r="S1602" s="15"/>
      <c r="T1602" s="15"/>
      <c r="U1602" s="15"/>
      <c r="V1602" s="15"/>
      <c r="W1602" s="15"/>
      <c r="X1602" s="15"/>
      <c r="Y1602" s="15"/>
      <c r="Z1602" s="15"/>
      <c r="AA1602" s="15"/>
      <c r="AB1602" s="15"/>
      <c r="AC1602" s="15"/>
      <c r="AD1602" s="15"/>
      <c r="AE1602" s="15"/>
      <c r="AF1602" s="15"/>
      <c r="AG1602" s="15"/>
      <c r="AH1602" s="15"/>
      <c r="AI1602" s="15"/>
      <c r="AJ1602" s="15"/>
      <c r="AK1602" s="15"/>
      <c r="AL1602" s="15"/>
      <c r="AM1602" s="15"/>
      <c r="AN1602" s="15"/>
      <c r="AO1602" s="15"/>
      <c r="AP1602" s="15"/>
      <c r="AQ1602" s="15"/>
      <c r="AR1602" s="15"/>
      <c r="AS1602" s="15"/>
      <c r="AT1602" s="15"/>
      <c r="AU1602" s="15"/>
      <c r="AV1602" s="15"/>
      <c r="AW1602" s="15"/>
      <c r="AX1602" s="15"/>
      <c r="AY1602" s="15"/>
      <c r="AZ1602" s="15"/>
      <c r="BA1602" s="15"/>
      <c r="BB1602" s="15"/>
      <c r="BC1602" s="15"/>
      <c r="BD1602" s="15"/>
      <c r="BE1602" s="15"/>
      <c r="BF1602" s="15"/>
      <c r="BG1602" s="15"/>
      <c r="BH1602" s="15"/>
      <c r="BI1602" s="15"/>
      <c r="BJ1602" s="15"/>
      <c r="BK1602" s="15"/>
      <c r="BL1602" s="15"/>
      <c r="BM1602" s="15"/>
      <c r="BN1602" s="15"/>
      <c r="BO1602" s="15"/>
      <c r="BP1602" s="15"/>
      <c r="BQ1602" s="15"/>
      <c r="BR1602" s="15"/>
      <c r="BS1602" s="15"/>
      <c r="BT1602" s="15"/>
      <c r="BU1602" s="15"/>
      <c r="BV1602" s="15"/>
      <c r="BW1602" s="15"/>
      <c r="BX1602" s="15"/>
      <c r="BY1602" s="15"/>
      <c r="BZ1602" s="15"/>
      <c r="CA1602" s="15"/>
      <c r="CB1602" s="15"/>
    </row>
    <row r="1603" spans="1:80" ht="12.75" hidden="1" customHeight="1">
      <c r="A1603" s="20">
        <f ca="1">IFERROR(__xludf.DUMMYFUNCTION("""COMPUTED_VALUE"""),2022)</f>
        <v>2022</v>
      </c>
      <c r="B1603" s="45">
        <f ca="1">IFERROR(__xludf.DUMMYFUNCTION("""COMPUTED_VALUE"""),44885)</f>
        <v>44885</v>
      </c>
      <c r="C1603" s="46"/>
      <c r="D1603" s="47" t="str">
        <f ca="1">IFERROR(__xludf.DUMMYFUNCTION("""COMPUTED_VALUE"""),"Great Northern Diver")</f>
        <v>Great Northern Diver</v>
      </c>
      <c r="E1603" s="52">
        <f ca="1">IFERROR(__xludf.DUMMYFUNCTION("""COMPUTED_VALUE"""),1)</f>
        <v>1</v>
      </c>
      <c r="F1603" s="25"/>
      <c r="G1603" s="48" t="str">
        <f ca="1">IFERROR(__xludf.DUMMYFUNCTION("""COMPUTED_VALUE"""),"Hale")</f>
        <v>Hale</v>
      </c>
      <c r="H1603" s="22">
        <f ca="1">IFERROR(__xludf.DUMMYFUNCTION("""COMPUTED_VALUE"""),44885)</f>
        <v>44885</v>
      </c>
      <c r="I1603" s="23"/>
      <c r="J1603" s="24"/>
      <c r="K1603" s="25"/>
      <c r="L1603" s="27" t="str">
        <f ca="1">IFERROR(__xludf.DUMMYFUNCTION("""COMPUTED_VALUE"""),"limbo")</f>
        <v>limbo</v>
      </c>
      <c r="M1603" s="27"/>
      <c r="N1603" s="25" t="str">
        <f ca="1">IFERROR(__xludf.DUMMYFUNCTION("""COMPUTED_VALUE"""),"not submitted")</f>
        <v>not submitted</v>
      </c>
      <c r="O1603" s="28"/>
      <c r="P1603" s="25"/>
      <c r="Q1603" s="25"/>
      <c r="R1603" s="25"/>
      <c r="S1603" s="25"/>
      <c r="T1603" s="25"/>
      <c r="U1603" s="25"/>
      <c r="V1603" s="25"/>
      <c r="W1603" s="25"/>
      <c r="X1603" s="25"/>
      <c r="Y1603" s="25"/>
      <c r="Z1603" s="25"/>
      <c r="AA1603" s="25"/>
      <c r="AB1603" s="25"/>
      <c r="AC1603" s="25"/>
      <c r="AD1603" s="25"/>
      <c r="AE1603" s="25"/>
      <c r="AF1603" s="25"/>
      <c r="AG1603" s="25"/>
      <c r="AH1603" s="25"/>
      <c r="AI1603" s="25"/>
      <c r="AJ1603" s="25"/>
      <c r="AK1603" s="25"/>
      <c r="AL1603" s="25"/>
      <c r="AM1603" s="25"/>
      <c r="AN1603" s="25"/>
      <c r="AO1603" s="25"/>
      <c r="AP1603" s="25"/>
      <c r="AQ1603" s="25"/>
      <c r="AR1603" s="25"/>
      <c r="AS1603" s="25"/>
      <c r="AT1603" s="25"/>
      <c r="AU1603" s="25"/>
      <c r="AV1603" s="25"/>
      <c r="AW1603" s="25"/>
      <c r="AX1603" s="25"/>
      <c r="AY1603" s="25"/>
      <c r="AZ1603" s="25"/>
      <c r="BA1603" s="25"/>
      <c r="BB1603" s="25"/>
      <c r="BC1603" s="25"/>
      <c r="BD1603" s="25"/>
      <c r="BE1603" s="25"/>
      <c r="BF1603" s="25"/>
      <c r="BG1603" s="25"/>
      <c r="BH1603" s="25"/>
      <c r="BI1603" s="25"/>
      <c r="BJ1603" s="25"/>
      <c r="BK1603" s="25"/>
      <c r="BL1603" s="25"/>
      <c r="BM1603" s="25"/>
      <c r="BN1603" s="25"/>
      <c r="BO1603" s="25"/>
      <c r="BP1603" s="25"/>
      <c r="BQ1603" s="25"/>
      <c r="BR1603" s="25"/>
      <c r="BS1603" s="25"/>
      <c r="BT1603" s="25"/>
      <c r="BU1603" s="25"/>
      <c r="BV1603" s="25"/>
      <c r="BW1603" s="25"/>
      <c r="BX1603" s="25"/>
      <c r="BY1603" s="25"/>
      <c r="BZ1603" s="25"/>
      <c r="CA1603" s="25"/>
      <c r="CB1603" s="25"/>
    </row>
    <row r="1604" spans="1:80" ht="12.75" hidden="1" customHeight="1">
      <c r="A1604" s="10">
        <f ca="1">IFERROR(__xludf.DUMMYFUNCTION("""COMPUTED_VALUE"""),2022)</f>
        <v>2022</v>
      </c>
      <c r="B1604" s="50">
        <f ca="1">IFERROR(__xludf.DUMMYFUNCTION("""COMPUTED_VALUE"""),44885)</f>
        <v>44885</v>
      </c>
      <c r="C1604" s="41"/>
      <c r="D1604" s="42" t="str">
        <f ca="1">IFERROR(__xludf.DUMMYFUNCTION("""COMPUTED_VALUE"""),"Great Northern Diver")</f>
        <v>Great Northern Diver</v>
      </c>
      <c r="E1604" s="53">
        <f ca="1">IFERROR(__xludf.DUMMYFUNCTION("""COMPUTED_VALUE"""),1)</f>
        <v>1</v>
      </c>
      <c r="F1604" s="15"/>
      <c r="G1604" s="44" t="str">
        <f ca="1">IFERROR(__xludf.DUMMYFUNCTION("""COMPUTED_VALUE"""),"Meols")</f>
        <v>Meols</v>
      </c>
      <c r="H1604" s="12">
        <f ca="1">IFERROR(__xludf.DUMMYFUNCTION("""COMPUTED_VALUE"""),44885)</f>
        <v>44885</v>
      </c>
      <c r="I1604" s="13"/>
      <c r="J1604" s="14"/>
      <c r="K1604" s="15"/>
      <c r="L1604" s="17" t="str">
        <f ca="1">IFERROR(__xludf.DUMMYFUNCTION("""COMPUTED_VALUE"""),"limbo")</f>
        <v>limbo</v>
      </c>
      <c r="M1604" s="17"/>
      <c r="N1604" s="15" t="str">
        <f ca="1">IFERROR(__xludf.DUMMYFUNCTION("""COMPUTED_VALUE"""),"not submitted")</f>
        <v>not submitted</v>
      </c>
      <c r="O1604" s="18"/>
      <c r="P1604" s="15"/>
      <c r="Q1604" s="15"/>
      <c r="R1604" s="15"/>
      <c r="S1604" s="15"/>
      <c r="T1604" s="15"/>
      <c r="U1604" s="15"/>
      <c r="V1604" s="15"/>
      <c r="W1604" s="15"/>
      <c r="X1604" s="15"/>
      <c r="Y1604" s="15"/>
      <c r="Z1604" s="15"/>
      <c r="AA1604" s="15"/>
      <c r="AB1604" s="15"/>
      <c r="AC1604" s="15"/>
      <c r="AD1604" s="15"/>
      <c r="AE1604" s="15"/>
      <c r="AF1604" s="15"/>
      <c r="AG1604" s="15"/>
      <c r="AH1604" s="15"/>
      <c r="AI1604" s="15"/>
      <c r="AJ1604" s="15"/>
      <c r="AK1604" s="15"/>
      <c r="AL1604" s="15"/>
      <c r="AM1604" s="15"/>
      <c r="AN1604" s="15"/>
      <c r="AO1604" s="15"/>
      <c r="AP1604" s="15"/>
      <c r="AQ1604" s="15"/>
      <c r="AR1604" s="15"/>
      <c r="AS1604" s="15"/>
      <c r="AT1604" s="15"/>
      <c r="AU1604" s="15"/>
      <c r="AV1604" s="15"/>
      <c r="AW1604" s="15"/>
      <c r="AX1604" s="15"/>
      <c r="AY1604" s="15"/>
      <c r="AZ1604" s="15"/>
      <c r="BA1604" s="15"/>
      <c r="BB1604" s="15"/>
      <c r="BC1604" s="15"/>
      <c r="BD1604" s="15"/>
      <c r="BE1604" s="15"/>
      <c r="BF1604" s="15"/>
      <c r="BG1604" s="15"/>
      <c r="BH1604" s="15"/>
      <c r="BI1604" s="15"/>
      <c r="BJ1604" s="15"/>
      <c r="BK1604" s="15"/>
      <c r="BL1604" s="15"/>
      <c r="BM1604" s="15"/>
      <c r="BN1604" s="15"/>
      <c r="BO1604" s="15"/>
      <c r="BP1604" s="15"/>
      <c r="BQ1604" s="15"/>
      <c r="BR1604" s="15"/>
      <c r="BS1604" s="15"/>
      <c r="BT1604" s="15"/>
      <c r="BU1604" s="15"/>
      <c r="BV1604" s="15"/>
      <c r="BW1604" s="15"/>
      <c r="BX1604" s="15"/>
      <c r="BY1604" s="15"/>
      <c r="BZ1604" s="15"/>
      <c r="CA1604" s="15"/>
      <c r="CB1604" s="15"/>
    </row>
    <row r="1605" spans="1:80" ht="12.75" hidden="1" customHeight="1">
      <c r="A1605" s="20">
        <f ca="1">IFERROR(__xludf.DUMMYFUNCTION("""COMPUTED_VALUE"""),2022)</f>
        <v>2022</v>
      </c>
      <c r="B1605" s="45">
        <f ca="1">IFERROR(__xludf.DUMMYFUNCTION("""COMPUTED_VALUE"""),44598)</f>
        <v>44598</v>
      </c>
      <c r="C1605" s="46"/>
      <c r="D1605" s="47" t="str">
        <f ca="1">IFERROR(__xludf.DUMMYFUNCTION("""COMPUTED_VALUE"""),"Glossy Ibis")</f>
        <v>Glossy Ibis</v>
      </c>
      <c r="E1605" s="52">
        <f ca="1">IFERROR(__xludf.DUMMYFUNCTION("""COMPUTED_VALUE"""),2)</f>
        <v>2</v>
      </c>
      <c r="F1605" s="25"/>
      <c r="G1605" s="48" t="str">
        <f ca="1">IFERROR(__xludf.DUMMYFUNCTION("""COMPUTED_VALUE"""),"Woolston Eyes")</f>
        <v>Woolston Eyes</v>
      </c>
      <c r="H1605" s="22">
        <f ca="1">IFERROR(__xludf.DUMMYFUNCTION("""COMPUTED_VALUE"""),44598)</f>
        <v>44598</v>
      </c>
      <c r="I1605" s="23"/>
      <c r="J1605" s="24"/>
      <c r="K1605" s="25"/>
      <c r="L1605" s="27" t="str">
        <f ca="1">IFERROR(__xludf.DUMMYFUNCTION("""COMPUTED_VALUE"""),"closed")</f>
        <v>closed</v>
      </c>
      <c r="M1605" s="27"/>
      <c r="N1605" s="25" t="str">
        <f ca="1">IFERROR(__xludf.DUMMYFUNCTION("""COMPUTED_VALUE"""),"Accepted")</f>
        <v>Accepted</v>
      </c>
      <c r="O1605" s="28" t="str">
        <f ca="1">IFERROR(__xludf.DUMMYFUNCTION("""COMPUTED_VALUE"""),"photo (not submitted)")</f>
        <v>photo (not submitted)</v>
      </c>
      <c r="P1605" s="25"/>
      <c r="Q1605" s="25"/>
      <c r="R1605" s="25"/>
      <c r="S1605" s="25"/>
      <c r="T1605" s="25"/>
      <c r="U1605" s="25"/>
      <c r="V1605" s="25"/>
      <c r="W1605" s="25"/>
      <c r="X1605" s="25"/>
      <c r="Y1605" s="25"/>
      <c r="Z1605" s="25"/>
      <c r="AA1605" s="25"/>
      <c r="AB1605" s="25"/>
      <c r="AC1605" s="25"/>
      <c r="AD1605" s="25"/>
      <c r="AE1605" s="25"/>
      <c r="AF1605" s="25"/>
      <c r="AG1605" s="25"/>
      <c r="AH1605" s="25"/>
      <c r="AI1605" s="25"/>
      <c r="AJ1605" s="25"/>
      <c r="AK1605" s="25"/>
      <c r="AL1605" s="25"/>
      <c r="AM1605" s="25"/>
      <c r="AN1605" s="25"/>
      <c r="AO1605" s="25"/>
      <c r="AP1605" s="25"/>
      <c r="AQ1605" s="25"/>
      <c r="AR1605" s="25"/>
      <c r="AS1605" s="25"/>
      <c r="AT1605" s="25"/>
      <c r="AU1605" s="25"/>
      <c r="AV1605" s="25"/>
      <c r="AW1605" s="25"/>
      <c r="AX1605" s="25"/>
      <c r="AY1605" s="25"/>
      <c r="AZ1605" s="25"/>
      <c r="BA1605" s="25"/>
      <c r="BB1605" s="25"/>
      <c r="BC1605" s="25"/>
      <c r="BD1605" s="25"/>
      <c r="BE1605" s="25"/>
      <c r="BF1605" s="25"/>
      <c r="BG1605" s="25"/>
      <c r="BH1605" s="25"/>
      <c r="BI1605" s="25"/>
      <c r="BJ1605" s="25"/>
      <c r="BK1605" s="25"/>
      <c r="BL1605" s="25"/>
      <c r="BM1605" s="25"/>
      <c r="BN1605" s="25"/>
      <c r="BO1605" s="25"/>
      <c r="BP1605" s="25"/>
      <c r="BQ1605" s="25"/>
      <c r="BR1605" s="25"/>
      <c r="BS1605" s="25"/>
      <c r="BT1605" s="25"/>
      <c r="BU1605" s="25"/>
      <c r="BV1605" s="25"/>
      <c r="BW1605" s="25"/>
      <c r="BX1605" s="25"/>
      <c r="BY1605" s="25"/>
      <c r="BZ1605" s="25"/>
      <c r="CA1605" s="25"/>
      <c r="CB1605" s="25"/>
    </row>
    <row r="1606" spans="1:80" ht="12.75" hidden="1" customHeight="1">
      <c r="A1606" s="10">
        <f ca="1">IFERROR(__xludf.DUMMYFUNCTION("""COMPUTED_VALUE"""),2022)</f>
        <v>2022</v>
      </c>
      <c r="B1606" s="50">
        <f ca="1">IFERROR(__xludf.DUMMYFUNCTION("""COMPUTED_VALUE"""),45525)</f>
        <v>45525</v>
      </c>
      <c r="C1606" s="41"/>
      <c r="D1606" s="42" t="str">
        <f ca="1">IFERROR(__xludf.DUMMYFUNCTION("""COMPUTED_VALUE"""),"Glossy Ibis")</f>
        <v>Glossy Ibis</v>
      </c>
      <c r="E1606" s="53">
        <f ca="1">IFERROR(__xludf.DUMMYFUNCTION("""COMPUTED_VALUE"""),1)</f>
        <v>1</v>
      </c>
      <c r="F1606" s="15"/>
      <c r="G1606" s="44" t="str">
        <f ca="1">IFERROR(__xludf.DUMMYFUNCTION("""COMPUTED_VALUE"""),"Burton Mere Wetlands")</f>
        <v>Burton Mere Wetlands</v>
      </c>
      <c r="H1606" s="12">
        <f ca="1">IFERROR(__xludf.DUMMYFUNCTION("""COMPUTED_VALUE"""),44873)</f>
        <v>44873</v>
      </c>
      <c r="I1606" s="12">
        <f ca="1">IFERROR(__xludf.DUMMYFUNCTION("""COMPUTED_VALUE"""),44895)</f>
        <v>44895</v>
      </c>
      <c r="J1606" s="14" t="str">
        <f ca="1">IFERROR(__xludf.DUMMYFUNCTION("""COMPUTED_VALUE"""),"Jones, Graham")</f>
        <v>Jones, Graham</v>
      </c>
      <c r="K1606" s="15" t="str">
        <f ca="1">IFERROR(__xludf.DUMMYFUNCTION("""COMPUTED_VALUE"""),"Tony Lovatt, Graham Jones")</f>
        <v>Tony Lovatt, Graham Jones</v>
      </c>
      <c r="L1606" s="17" t="str">
        <f ca="1">IFERROR(__xludf.DUMMYFUNCTION("""COMPUTED_VALUE"""),"closed")</f>
        <v>closed</v>
      </c>
      <c r="M1606" s="17" t="str">
        <f ca="1">IFERROR(__xludf.DUMMYFUNCTION("""COMPUTED_VALUE"""),"photo")</f>
        <v>photo</v>
      </c>
      <c r="N1606" s="15" t="str">
        <f ca="1">IFERROR(__xludf.DUMMYFUNCTION("""COMPUTED_VALUE"""),"Accepted w/o circ")</f>
        <v>Accepted w/o circ</v>
      </c>
      <c r="O1606" s="18"/>
      <c r="P1606" s="15"/>
      <c r="Q1606" s="15"/>
      <c r="R1606" s="15"/>
      <c r="S1606" s="15"/>
      <c r="T1606" s="15"/>
      <c r="U1606" s="15"/>
      <c r="V1606" s="15"/>
      <c r="W1606" s="15"/>
      <c r="X1606" s="15"/>
      <c r="Y1606" s="15"/>
      <c r="Z1606" s="15"/>
      <c r="AA1606" s="15"/>
      <c r="AB1606" s="15"/>
      <c r="AC1606" s="15"/>
      <c r="AD1606" s="15"/>
      <c r="AE1606" s="15"/>
      <c r="AF1606" s="15"/>
      <c r="AG1606" s="15"/>
      <c r="AH1606" s="15"/>
      <c r="AI1606" s="15"/>
      <c r="AJ1606" s="15"/>
      <c r="AK1606" s="15"/>
      <c r="AL1606" s="15"/>
      <c r="AM1606" s="15"/>
      <c r="AN1606" s="15"/>
      <c r="AO1606" s="15"/>
      <c r="AP1606" s="15"/>
      <c r="AQ1606" s="15"/>
      <c r="AR1606" s="15"/>
      <c r="AS1606" s="15"/>
      <c r="AT1606" s="15"/>
      <c r="AU1606" s="15"/>
      <c r="AV1606" s="15"/>
      <c r="AW1606" s="15"/>
      <c r="AX1606" s="15"/>
      <c r="AY1606" s="15"/>
      <c r="AZ1606" s="15"/>
      <c r="BA1606" s="15"/>
      <c r="BB1606" s="15"/>
      <c r="BC1606" s="15"/>
      <c r="BD1606" s="15"/>
      <c r="BE1606" s="15"/>
      <c r="BF1606" s="15"/>
      <c r="BG1606" s="15"/>
      <c r="BH1606" s="15"/>
      <c r="BI1606" s="15"/>
      <c r="BJ1606" s="15"/>
      <c r="BK1606" s="15"/>
      <c r="BL1606" s="15"/>
      <c r="BM1606" s="15"/>
      <c r="BN1606" s="15"/>
      <c r="BO1606" s="15"/>
      <c r="BP1606" s="15"/>
      <c r="BQ1606" s="15"/>
      <c r="BR1606" s="15"/>
      <c r="BS1606" s="15"/>
      <c r="BT1606" s="15"/>
      <c r="BU1606" s="15"/>
      <c r="BV1606" s="15"/>
      <c r="BW1606" s="15"/>
      <c r="BX1606" s="15"/>
      <c r="BY1606" s="15"/>
      <c r="BZ1606" s="15"/>
      <c r="CA1606" s="15"/>
      <c r="CB1606" s="15"/>
    </row>
    <row r="1607" spans="1:80" ht="12.75" customHeight="1">
      <c r="A1607" s="20">
        <f ca="1">IFERROR(__xludf.DUMMYFUNCTION("""COMPUTED_VALUE"""),2022)</f>
        <v>2022</v>
      </c>
      <c r="B1607" s="45">
        <f ca="1">IFERROR(__xludf.DUMMYFUNCTION("""COMPUTED_VALUE"""),45111)</f>
        <v>45111</v>
      </c>
      <c r="C1607" s="46">
        <f ca="1">IFERROR(__xludf.DUMMYFUNCTION("""COMPUTED_VALUE"""),45111)</f>
        <v>45111</v>
      </c>
      <c r="D1607" s="47" t="str">
        <f ca="1">IFERROR(__xludf.DUMMYFUNCTION("""COMPUTED_VALUE"""),"Honey-Buzzard")</f>
        <v>Honey-Buzzard</v>
      </c>
      <c r="E1607" s="52">
        <f ca="1">IFERROR(__xludf.DUMMYFUNCTION("""COMPUTED_VALUE"""),1)</f>
        <v>1</v>
      </c>
      <c r="F1607" s="25"/>
      <c r="G1607" s="48" t="str">
        <f ca="1">IFERROR(__xludf.DUMMYFUNCTION("""COMPUTED_VALUE"""),"Hale")</f>
        <v>Hale</v>
      </c>
      <c r="H1607" s="22">
        <f ca="1">IFERROR(__xludf.DUMMYFUNCTION("""COMPUTED_VALUE"""),44750)</f>
        <v>44750</v>
      </c>
      <c r="I1607" s="23"/>
      <c r="J1607" s="24" t="str">
        <f ca="1">IFERROR(__xludf.DUMMYFUNCTION("""COMPUTED_VALUE"""),"Craven, D")</f>
        <v>Craven, D</v>
      </c>
      <c r="K1607" s="25" t="str">
        <f ca="1">IFERROR(__xludf.DUMMYFUNCTION("""COMPUTED_VALUE"""),"Craven, D")</f>
        <v>Craven, D</v>
      </c>
      <c r="L1607" s="27" t="str">
        <f ca="1">IFERROR(__xludf.DUMMYFUNCTION("""COMPUTED_VALUE"""),"accepted")</f>
        <v>accepted</v>
      </c>
      <c r="M1607" s="27" t="str">
        <f ca="1">IFERROR(__xludf.DUMMYFUNCTION("""COMPUTED_VALUE"""),"1st u")</f>
        <v>1st u</v>
      </c>
      <c r="N1607" s="25" t="str">
        <f ca="1">IFERROR(__xludf.DUMMYFUNCTION("""COMPUTED_VALUE"""),"accepted")</f>
        <v>accepted</v>
      </c>
      <c r="O1607" s="28"/>
      <c r="P1607" s="25"/>
      <c r="Q1607" s="25"/>
      <c r="R1607" s="25"/>
      <c r="S1607" s="25"/>
      <c r="T1607" s="25"/>
      <c r="U1607" s="25"/>
      <c r="V1607" s="25"/>
      <c r="W1607" s="25"/>
      <c r="X1607" s="25"/>
      <c r="Y1607" s="25"/>
      <c r="Z1607" s="25"/>
      <c r="AA1607" s="25"/>
      <c r="AB1607" s="25"/>
      <c r="AC1607" s="25"/>
      <c r="AD1607" s="25"/>
      <c r="AE1607" s="25"/>
      <c r="AF1607" s="25"/>
      <c r="AG1607" s="25"/>
      <c r="AH1607" s="25"/>
      <c r="AI1607" s="25"/>
      <c r="AJ1607" s="25"/>
      <c r="AK1607" s="25"/>
      <c r="AL1607" s="25"/>
      <c r="AM1607" s="25"/>
      <c r="AN1607" s="25"/>
      <c r="AO1607" s="25"/>
      <c r="AP1607" s="25"/>
      <c r="AQ1607" s="25"/>
      <c r="AR1607" s="25"/>
      <c r="AS1607" s="25"/>
      <c r="AT1607" s="25"/>
      <c r="AU1607" s="25"/>
      <c r="AV1607" s="25"/>
      <c r="AW1607" s="25"/>
      <c r="AX1607" s="25"/>
      <c r="AY1607" s="25"/>
      <c r="AZ1607" s="25"/>
      <c r="BA1607" s="25"/>
      <c r="BB1607" s="25"/>
      <c r="BC1607" s="25"/>
      <c r="BD1607" s="25"/>
      <c r="BE1607" s="25"/>
      <c r="BF1607" s="25"/>
      <c r="BG1607" s="25"/>
      <c r="BH1607" s="25"/>
      <c r="BI1607" s="25"/>
      <c r="BJ1607" s="25"/>
      <c r="BK1607" s="25"/>
      <c r="BL1607" s="25"/>
      <c r="BM1607" s="25"/>
      <c r="BN1607" s="25"/>
      <c r="BO1607" s="25"/>
      <c r="BP1607" s="25"/>
      <c r="BQ1607" s="25"/>
      <c r="BR1607" s="25"/>
      <c r="BS1607" s="25"/>
      <c r="BT1607" s="25"/>
      <c r="BU1607" s="25"/>
      <c r="BV1607" s="25"/>
      <c r="BW1607" s="25"/>
      <c r="BX1607" s="25"/>
      <c r="BY1607" s="25"/>
      <c r="BZ1607" s="25"/>
      <c r="CA1607" s="25"/>
      <c r="CB1607" s="25"/>
    </row>
    <row r="1608" spans="1:80" ht="12.75" customHeight="1">
      <c r="A1608" s="10">
        <f ca="1">IFERROR(__xludf.DUMMYFUNCTION("""COMPUTED_VALUE"""),2022)</f>
        <v>2022</v>
      </c>
      <c r="B1608" s="50">
        <f ca="1">IFERROR(__xludf.DUMMYFUNCTION("""COMPUTED_VALUE"""),45111)</f>
        <v>45111</v>
      </c>
      <c r="C1608" s="41"/>
      <c r="D1608" s="42" t="str">
        <f ca="1">IFERROR(__xludf.DUMMYFUNCTION("""COMPUTED_VALUE"""),"Goshawk")</f>
        <v>Goshawk</v>
      </c>
      <c r="E1608" s="53">
        <f ca="1">IFERROR(__xludf.DUMMYFUNCTION("""COMPUTED_VALUE"""),1)</f>
        <v>1</v>
      </c>
      <c r="F1608" s="15"/>
      <c r="G1608" s="44" t="str">
        <f ca="1">IFERROR(__xludf.DUMMYFUNCTION("""COMPUTED_VALUE"""),"Macclesfield Forest, Trentabank")</f>
        <v>Macclesfield Forest, Trentabank</v>
      </c>
      <c r="H1608" s="12">
        <f ca="1">IFERROR(__xludf.DUMMYFUNCTION("""COMPUTED_VALUE"""),44621)</f>
        <v>44621</v>
      </c>
      <c r="I1608" s="13"/>
      <c r="J1608" s="14"/>
      <c r="K1608" s="15"/>
      <c r="L1608" s="17" t="str">
        <f ca="1">IFERROR(__xludf.DUMMYFUNCTION("""COMPUTED_VALUE"""),"limbo")</f>
        <v>limbo</v>
      </c>
      <c r="M1608" s="17"/>
      <c r="N1608" s="15" t="str">
        <f ca="1">IFERROR(__xludf.DUMMYFUNCTION("""COMPUTED_VALUE"""),"not submitted")</f>
        <v>not submitted</v>
      </c>
      <c r="O1608" s="18"/>
      <c r="P1608" s="15"/>
      <c r="Q1608" s="15"/>
      <c r="R1608" s="15"/>
      <c r="S1608" s="15"/>
      <c r="T1608" s="15"/>
      <c r="U1608" s="15"/>
      <c r="V1608" s="15"/>
      <c r="W1608" s="15"/>
      <c r="X1608" s="15"/>
      <c r="Y1608" s="15"/>
      <c r="Z1608" s="15"/>
      <c r="AA1608" s="15"/>
      <c r="AB1608" s="15"/>
      <c r="AC1608" s="15"/>
      <c r="AD1608" s="15"/>
      <c r="AE1608" s="15"/>
      <c r="AF1608" s="15"/>
      <c r="AG1608" s="15"/>
      <c r="AH1608" s="15"/>
      <c r="AI1608" s="15"/>
      <c r="AJ1608" s="15"/>
      <c r="AK1608" s="15"/>
      <c r="AL1608" s="15"/>
      <c r="AM1608" s="15"/>
      <c r="AN1608" s="15"/>
      <c r="AO1608" s="15"/>
      <c r="AP1608" s="15"/>
      <c r="AQ1608" s="15"/>
      <c r="AR1608" s="15"/>
      <c r="AS1608" s="15"/>
      <c r="AT1608" s="15"/>
      <c r="AU1608" s="15"/>
      <c r="AV1608" s="15"/>
      <c r="AW1608" s="15"/>
      <c r="AX1608" s="15"/>
      <c r="AY1608" s="15"/>
      <c r="AZ1608" s="15"/>
      <c r="BA1608" s="15"/>
      <c r="BB1608" s="15"/>
      <c r="BC1608" s="15"/>
      <c r="BD1608" s="15"/>
      <c r="BE1608" s="15"/>
      <c r="BF1608" s="15"/>
      <c r="BG1608" s="15"/>
      <c r="BH1608" s="15"/>
      <c r="BI1608" s="15"/>
      <c r="BJ1608" s="15"/>
      <c r="BK1608" s="15"/>
      <c r="BL1608" s="15"/>
      <c r="BM1608" s="15"/>
      <c r="BN1608" s="15"/>
      <c r="BO1608" s="15"/>
      <c r="BP1608" s="15"/>
      <c r="BQ1608" s="15"/>
      <c r="BR1608" s="15"/>
      <c r="BS1608" s="15"/>
      <c r="BT1608" s="15"/>
      <c r="BU1608" s="15"/>
      <c r="BV1608" s="15"/>
      <c r="BW1608" s="15"/>
      <c r="BX1608" s="15"/>
      <c r="BY1608" s="15"/>
      <c r="BZ1608" s="15"/>
      <c r="CA1608" s="15"/>
      <c r="CB1608" s="15"/>
    </row>
    <row r="1609" spans="1:80" ht="12.75" customHeight="1">
      <c r="A1609" s="20">
        <f ca="1">IFERROR(__xludf.DUMMYFUNCTION("""COMPUTED_VALUE"""),2022)</f>
        <v>2022</v>
      </c>
      <c r="B1609" s="45">
        <f ca="1">IFERROR(__xludf.DUMMYFUNCTION("""COMPUTED_VALUE"""),44974)</f>
        <v>44974</v>
      </c>
      <c r="C1609" s="46"/>
      <c r="D1609" s="47" t="str">
        <f ca="1">IFERROR(__xludf.DUMMYFUNCTION("""COMPUTED_VALUE"""),"Goshawk")</f>
        <v>Goshawk</v>
      </c>
      <c r="E1609" s="52">
        <f ca="1">IFERROR(__xludf.DUMMYFUNCTION("""COMPUTED_VALUE"""),1)</f>
        <v>1</v>
      </c>
      <c r="F1609" s="25"/>
      <c r="G1609" s="48" t="str">
        <f ca="1">IFERROR(__xludf.DUMMYFUNCTION("""COMPUTED_VALUE"""),"Macclesfield Forest")</f>
        <v>Macclesfield Forest</v>
      </c>
      <c r="H1609" s="22">
        <f ca="1">IFERROR(__xludf.DUMMYFUNCTION("""COMPUTED_VALUE"""),44632)</f>
        <v>44632</v>
      </c>
      <c r="I1609" s="23"/>
      <c r="J1609" s="24"/>
      <c r="K1609" s="25"/>
      <c r="L1609" s="27" t="str">
        <f ca="1">IFERROR(__xludf.DUMMYFUNCTION("""COMPUTED_VALUE"""),"limbo")</f>
        <v>limbo</v>
      </c>
      <c r="M1609" s="27"/>
      <c r="N1609" s="25" t="str">
        <f ca="1">IFERROR(__xludf.DUMMYFUNCTION("""COMPUTED_VALUE"""),"not submitted")</f>
        <v>not submitted</v>
      </c>
      <c r="O1609" s="28"/>
      <c r="P1609" s="25"/>
      <c r="Q1609" s="25"/>
      <c r="R1609" s="25"/>
      <c r="S1609" s="25"/>
      <c r="T1609" s="25"/>
      <c r="U1609" s="25"/>
      <c r="V1609" s="25"/>
      <c r="W1609" s="25"/>
      <c r="X1609" s="25"/>
      <c r="Y1609" s="25"/>
      <c r="Z1609" s="25"/>
      <c r="AA1609" s="25"/>
      <c r="AB1609" s="25"/>
      <c r="AC1609" s="25"/>
      <c r="AD1609" s="25"/>
      <c r="AE1609" s="25"/>
      <c r="AF1609" s="25"/>
      <c r="AG1609" s="25"/>
      <c r="AH1609" s="25"/>
      <c r="AI1609" s="25"/>
      <c r="AJ1609" s="25"/>
      <c r="AK1609" s="25"/>
      <c r="AL1609" s="25"/>
      <c r="AM1609" s="25"/>
      <c r="AN1609" s="25"/>
      <c r="AO1609" s="25"/>
      <c r="AP1609" s="25"/>
      <c r="AQ1609" s="25"/>
      <c r="AR1609" s="25"/>
      <c r="AS1609" s="25"/>
      <c r="AT1609" s="25"/>
      <c r="AU1609" s="25"/>
      <c r="AV1609" s="25"/>
      <c r="AW1609" s="25"/>
      <c r="AX1609" s="25"/>
      <c r="AY1609" s="25"/>
      <c r="AZ1609" s="25"/>
      <c r="BA1609" s="25"/>
      <c r="BB1609" s="25"/>
      <c r="BC1609" s="25"/>
      <c r="BD1609" s="25"/>
      <c r="BE1609" s="25"/>
      <c r="BF1609" s="25"/>
      <c r="BG1609" s="25"/>
      <c r="BH1609" s="25"/>
      <c r="BI1609" s="25"/>
      <c r="BJ1609" s="25"/>
      <c r="BK1609" s="25"/>
      <c r="BL1609" s="25"/>
      <c r="BM1609" s="25"/>
      <c r="BN1609" s="25"/>
      <c r="BO1609" s="25"/>
      <c r="BP1609" s="25"/>
      <c r="BQ1609" s="25"/>
      <c r="BR1609" s="25"/>
      <c r="BS1609" s="25"/>
      <c r="BT1609" s="25"/>
      <c r="BU1609" s="25"/>
      <c r="BV1609" s="25"/>
      <c r="BW1609" s="25"/>
      <c r="BX1609" s="25"/>
      <c r="BY1609" s="25"/>
      <c r="BZ1609" s="25"/>
      <c r="CA1609" s="25"/>
      <c r="CB1609" s="25"/>
    </row>
    <row r="1610" spans="1:80" ht="12.75" customHeight="1">
      <c r="A1610" s="10">
        <f ca="1">IFERROR(__xludf.DUMMYFUNCTION("""COMPUTED_VALUE"""),2022)</f>
        <v>2022</v>
      </c>
      <c r="B1610" s="50">
        <f ca="1">IFERROR(__xludf.DUMMYFUNCTION("""COMPUTED_VALUE"""),44974)</f>
        <v>44974</v>
      </c>
      <c r="C1610" s="41"/>
      <c r="D1610" s="42" t="str">
        <f ca="1">IFERROR(__xludf.DUMMYFUNCTION("""COMPUTED_VALUE"""),"Goshawk")</f>
        <v>Goshawk</v>
      </c>
      <c r="E1610" s="53">
        <f ca="1">IFERROR(__xludf.DUMMYFUNCTION("""COMPUTED_VALUE"""),1)</f>
        <v>1</v>
      </c>
      <c r="F1610" s="15"/>
      <c r="G1610" s="44" t="str">
        <f ca="1">IFERROR(__xludf.DUMMYFUNCTION("""COMPUTED_VALUE"""),"Delamere")</f>
        <v>Delamere</v>
      </c>
      <c r="H1610" s="12">
        <f ca="1">IFERROR(__xludf.DUMMYFUNCTION("""COMPUTED_VALUE"""),44670)</f>
        <v>44670</v>
      </c>
      <c r="I1610" s="13"/>
      <c r="J1610" s="14"/>
      <c r="K1610" s="15"/>
      <c r="L1610" s="17" t="str">
        <f ca="1">IFERROR(__xludf.DUMMYFUNCTION("""COMPUTED_VALUE"""),"limbo")</f>
        <v>limbo</v>
      </c>
      <c r="M1610" s="17"/>
      <c r="N1610" s="15" t="str">
        <f ca="1">IFERROR(__xludf.DUMMYFUNCTION("""COMPUTED_VALUE"""),"not submitted")</f>
        <v>not submitted</v>
      </c>
      <c r="O1610" s="18"/>
      <c r="P1610" s="15"/>
      <c r="Q1610" s="15"/>
      <c r="R1610" s="15"/>
      <c r="S1610" s="15"/>
      <c r="T1610" s="15"/>
      <c r="U1610" s="15"/>
      <c r="V1610" s="15"/>
      <c r="W1610" s="15"/>
      <c r="X1610" s="15"/>
      <c r="Y1610" s="15"/>
      <c r="Z1610" s="15"/>
      <c r="AA1610" s="15"/>
      <c r="AB1610" s="15"/>
      <c r="AC1610" s="15"/>
      <c r="AD1610" s="15"/>
      <c r="AE1610" s="15"/>
      <c r="AF1610" s="15"/>
      <c r="AG1610" s="15"/>
      <c r="AH1610" s="15"/>
      <c r="AI1610" s="15"/>
      <c r="AJ1610" s="15"/>
      <c r="AK1610" s="15"/>
      <c r="AL1610" s="15"/>
      <c r="AM1610" s="15"/>
      <c r="AN1610" s="15"/>
      <c r="AO1610" s="15"/>
      <c r="AP1610" s="15"/>
      <c r="AQ1610" s="15"/>
      <c r="AR1610" s="15"/>
      <c r="AS1610" s="15"/>
      <c r="AT1610" s="15"/>
      <c r="AU1610" s="15"/>
      <c r="AV1610" s="15"/>
      <c r="AW1610" s="15"/>
      <c r="AX1610" s="15"/>
      <c r="AY1610" s="15"/>
      <c r="AZ1610" s="15"/>
      <c r="BA1610" s="15"/>
      <c r="BB1610" s="15"/>
      <c r="BC1610" s="15"/>
      <c r="BD1610" s="15"/>
      <c r="BE1610" s="15"/>
      <c r="BF1610" s="15"/>
      <c r="BG1610" s="15"/>
      <c r="BH1610" s="15"/>
      <c r="BI1610" s="15"/>
      <c r="BJ1610" s="15"/>
      <c r="BK1610" s="15"/>
      <c r="BL1610" s="15"/>
      <c r="BM1610" s="15"/>
      <c r="BN1610" s="15"/>
      <c r="BO1610" s="15"/>
      <c r="BP1610" s="15"/>
      <c r="BQ1610" s="15"/>
      <c r="BR1610" s="15"/>
      <c r="BS1610" s="15"/>
      <c r="BT1610" s="15"/>
      <c r="BU1610" s="15"/>
      <c r="BV1610" s="15"/>
      <c r="BW1610" s="15"/>
      <c r="BX1610" s="15"/>
      <c r="BY1610" s="15"/>
      <c r="BZ1610" s="15"/>
      <c r="CA1610" s="15"/>
      <c r="CB1610" s="15"/>
    </row>
    <row r="1611" spans="1:80" ht="12.75" hidden="1" customHeight="1">
      <c r="A1611" s="20">
        <f ca="1">IFERROR(__xludf.DUMMYFUNCTION("""COMPUTED_VALUE"""),2022)</f>
        <v>2022</v>
      </c>
      <c r="B1611" s="45">
        <f ca="1">IFERROR(__xludf.DUMMYFUNCTION("""COMPUTED_VALUE"""),45111)</f>
        <v>45111</v>
      </c>
      <c r="C1611" s="46"/>
      <c r="D1611" s="47" t="str">
        <f ca="1">IFERROR(__xludf.DUMMYFUNCTION("""COMPUTED_VALUE"""),"Goshawk")</f>
        <v>Goshawk</v>
      </c>
      <c r="E1611" s="52">
        <f ca="1">IFERROR(__xludf.DUMMYFUNCTION("""COMPUTED_VALUE"""),1)</f>
        <v>1</v>
      </c>
      <c r="F1611" s="25"/>
      <c r="G1611" s="48" t="str">
        <f ca="1">IFERROR(__xludf.DUMMYFUNCTION("""COMPUTED_VALUE"""),"Macclesfield Forest, Teggs Nose")</f>
        <v>Macclesfield Forest, Teggs Nose</v>
      </c>
      <c r="H1611" s="22">
        <f ca="1">IFERROR(__xludf.DUMMYFUNCTION("""COMPUTED_VALUE"""),44705)</f>
        <v>44705</v>
      </c>
      <c r="I1611" s="23"/>
      <c r="J1611" s="24"/>
      <c r="K1611" s="25"/>
      <c r="L1611" s="27"/>
      <c r="M1611" s="27"/>
      <c r="N1611" s="25"/>
      <c r="O1611" s="28" t="str">
        <f ca="1">IFERROR(__xludf.DUMMYFUNCTION("""COMPUTED_VALUE"""),"prob only")</f>
        <v>prob only</v>
      </c>
      <c r="P1611" s="25"/>
      <c r="Q1611" s="25"/>
      <c r="R1611" s="25"/>
      <c r="S1611" s="25"/>
      <c r="T1611" s="25"/>
      <c r="U1611" s="25"/>
      <c r="V1611" s="25"/>
      <c r="W1611" s="25"/>
      <c r="X1611" s="25"/>
      <c r="Y1611" s="25"/>
      <c r="Z1611" s="25"/>
      <c r="AA1611" s="25"/>
      <c r="AB1611" s="25"/>
      <c r="AC1611" s="25"/>
      <c r="AD1611" s="25"/>
      <c r="AE1611" s="25"/>
      <c r="AF1611" s="25"/>
      <c r="AG1611" s="25"/>
      <c r="AH1611" s="25"/>
      <c r="AI1611" s="25"/>
      <c r="AJ1611" s="25"/>
      <c r="AK1611" s="25"/>
      <c r="AL1611" s="25"/>
      <c r="AM1611" s="25"/>
      <c r="AN1611" s="25"/>
      <c r="AO1611" s="25"/>
      <c r="AP1611" s="25"/>
      <c r="AQ1611" s="25"/>
      <c r="AR1611" s="25"/>
      <c r="AS1611" s="25"/>
      <c r="AT1611" s="25"/>
      <c r="AU1611" s="25"/>
      <c r="AV1611" s="25"/>
      <c r="AW1611" s="25"/>
      <c r="AX1611" s="25"/>
      <c r="AY1611" s="25"/>
      <c r="AZ1611" s="25"/>
      <c r="BA1611" s="25"/>
      <c r="BB1611" s="25"/>
      <c r="BC1611" s="25"/>
      <c r="BD1611" s="25"/>
      <c r="BE1611" s="25"/>
      <c r="BF1611" s="25"/>
      <c r="BG1611" s="25"/>
      <c r="BH1611" s="25"/>
      <c r="BI1611" s="25"/>
      <c r="BJ1611" s="25"/>
      <c r="BK1611" s="25"/>
      <c r="BL1611" s="25"/>
      <c r="BM1611" s="25"/>
      <c r="BN1611" s="25"/>
      <c r="BO1611" s="25"/>
      <c r="BP1611" s="25"/>
      <c r="BQ1611" s="25"/>
      <c r="BR1611" s="25"/>
      <c r="BS1611" s="25"/>
      <c r="BT1611" s="25"/>
      <c r="BU1611" s="25"/>
      <c r="BV1611" s="25"/>
      <c r="BW1611" s="25"/>
      <c r="BX1611" s="25"/>
      <c r="BY1611" s="25"/>
      <c r="BZ1611" s="25"/>
      <c r="CA1611" s="25"/>
      <c r="CB1611" s="25"/>
    </row>
    <row r="1612" spans="1:80" ht="12.75" hidden="1" customHeight="1">
      <c r="A1612" s="10">
        <f ca="1">IFERROR(__xludf.DUMMYFUNCTION("""COMPUTED_VALUE"""),2022)</f>
        <v>2022</v>
      </c>
      <c r="B1612" s="50">
        <f ca="1">IFERROR(__xludf.DUMMYFUNCTION("""COMPUTED_VALUE"""),44974)</f>
        <v>44974</v>
      </c>
      <c r="C1612" s="41"/>
      <c r="D1612" s="42" t="str">
        <f ca="1">IFERROR(__xludf.DUMMYFUNCTION("""COMPUTED_VALUE"""),"Goshawk")</f>
        <v>Goshawk</v>
      </c>
      <c r="E1612" s="53">
        <f ca="1">IFERROR(__xludf.DUMMYFUNCTION("""COMPUTED_VALUE"""),1)</f>
        <v>1</v>
      </c>
      <c r="F1612" s="15"/>
      <c r="G1612" s="44" t="str">
        <f ca="1">IFERROR(__xludf.DUMMYFUNCTION("""COMPUTED_VALUE"""),"Sandymoor, Runcorn")</f>
        <v>Sandymoor, Runcorn</v>
      </c>
      <c r="H1612" s="12">
        <f ca="1">IFERROR(__xludf.DUMMYFUNCTION("""COMPUTED_VALUE"""),44850)</f>
        <v>44850</v>
      </c>
      <c r="I1612" s="13"/>
      <c r="J1612" s="14"/>
      <c r="K1612" s="15"/>
      <c r="L1612" s="17" t="str">
        <f ca="1">IFERROR(__xludf.DUMMYFUNCTION("""COMPUTED_VALUE"""),"limbo")</f>
        <v>limbo</v>
      </c>
      <c r="M1612" s="17"/>
      <c r="N1612" s="15" t="str">
        <f ca="1">IFERROR(__xludf.DUMMYFUNCTION("""COMPUTED_VALUE"""),"not submitted")</f>
        <v>not submitted</v>
      </c>
      <c r="O1612" s="18"/>
      <c r="P1612" s="15"/>
      <c r="Q1612" s="15"/>
      <c r="R1612" s="15"/>
      <c r="S1612" s="15"/>
      <c r="T1612" s="15"/>
      <c r="U1612" s="15"/>
      <c r="V1612" s="15"/>
      <c r="W1612" s="15"/>
      <c r="X1612" s="15"/>
      <c r="Y1612" s="15"/>
      <c r="Z1612" s="15"/>
      <c r="AA1612" s="15"/>
      <c r="AB1612" s="15"/>
      <c r="AC1612" s="15"/>
      <c r="AD1612" s="15"/>
      <c r="AE1612" s="15"/>
      <c r="AF1612" s="15"/>
      <c r="AG1612" s="15"/>
      <c r="AH1612" s="15"/>
      <c r="AI1612" s="15"/>
      <c r="AJ1612" s="15"/>
      <c r="AK1612" s="15"/>
      <c r="AL1612" s="15"/>
      <c r="AM1612" s="15"/>
      <c r="AN1612" s="15"/>
      <c r="AO1612" s="15"/>
      <c r="AP1612" s="15"/>
      <c r="AQ1612" s="15"/>
      <c r="AR1612" s="15"/>
      <c r="AS1612" s="15"/>
      <c r="AT1612" s="15"/>
      <c r="AU1612" s="15"/>
      <c r="AV1612" s="15"/>
      <c r="AW1612" s="15"/>
      <c r="AX1612" s="15"/>
      <c r="AY1612" s="15"/>
      <c r="AZ1612" s="15"/>
      <c r="BA1612" s="15"/>
      <c r="BB1612" s="15"/>
      <c r="BC1612" s="15"/>
      <c r="BD1612" s="15"/>
      <c r="BE1612" s="15"/>
      <c r="BF1612" s="15"/>
      <c r="BG1612" s="15"/>
      <c r="BH1612" s="15"/>
      <c r="BI1612" s="15"/>
      <c r="BJ1612" s="15"/>
      <c r="BK1612" s="15"/>
      <c r="BL1612" s="15"/>
      <c r="BM1612" s="15"/>
      <c r="BN1612" s="15"/>
      <c r="BO1612" s="15"/>
      <c r="BP1612" s="15"/>
      <c r="BQ1612" s="15"/>
      <c r="BR1612" s="15"/>
      <c r="BS1612" s="15"/>
      <c r="BT1612" s="15"/>
      <c r="BU1612" s="15"/>
      <c r="BV1612" s="15"/>
      <c r="BW1612" s="15"/>
      <c r="BX1612" s="15"/>
      <c r="BY1612" s="15"/>
      <c r="BZ1612" s="15"/>
      <c r="CA1612" s="15"/>
      <c r="CB1612" s="15"/>
    </row>
    <row r="1613" spans="1:80" ht="12.75" hidden="1" customHeight="1">
      <c r="A1613" s="20">
        <f ca="1">IFERROR(__xludf.DUMMYFUNCTION("""COMPUTED_VALUE"""),2022)</f>
        <v>2022</v>
      </c>
      <c r="B1613" s="45">
        <f ca="1">IFERROR(__xludf.DUMMYFUNCTION("""COMPUTED_VALUE"""),45111)</f>
        <v>45111</v>
      </c>
      <c r="C1613" s="46"/>
      <c r="D1613" s="47" t="str">
        <f ca="1">IFERROR(__xludf.DUMMYFUNCTION("""COMPUTED_VALUE"""),"White-tailed Eagle")</f>
        <v>White-tailed Eagle</v>
      </c>
      <c r="E1613" s="52">
        <f ca="1">IFERROR(__xludf.DUMMYFUNCTION("""COMPUTED_VALUE"""),1)</f>
        <v>1</v>
      </c>
      <c r="F1613" s="25"/>
      <c r="G1613" s="48" t="str">
        <f ca="1">IFERROR(__xludf.DUMMYFUNCTION("""COMPUTED_VALUE"""),"Delamere Forest, Blakemere Moss")</f>
        <v>Delamere Forest, Blakemere Moss</v>
      </c>
      <c r="H1613" s="22">
        <f ca="1">IFERROR(__xludf.DUMMYFUNCTION("""COMPUTED_VALUE"""),44808)</f>
        <v>44808</v>
      </c>
      <c r="I1613" s="23"/>
      <c r="J1613" s="24"/>
      <c r="K1613" s="25"/>
      <c r="L1613" s="27" t="str">
        <f ca="1">IFERROR(__xludf.DUMMYFUNCTION("""COMPUTED_VALUE"""),"limbo")</f>
        <v>limbo</v>
      </c>
      <c r="M1613" s="27"/>
      <c r="N1613" s="25" t="str">
        <f ca="1">IFERROR(__xludf.DUMMYFUNCTION("""COMPUTED_VALUE"""),"not submitted")</f>
        <v>not submitted</v>
      </c>
      <c r="O1613" s="28"/>
      <c r="P1613" s="25"/>
      <c r="Q1613" s="25"/>
      <c r="R1613" s="25"/>
      <c r="S1613" s="25"/>
      <c r="T1613" s="25"/>
      <c r="U1613" s="25"/>
      <c r="V1613" s="25"/>
      <c r="W1613" s="25"/>
      <c r="X1613" s="25"/>
      <c r="Y1613" s="25"/>
      <c r="Z1613" s="25"/>
      <c r="AA1613" s="25"/>
      <c r="AB1613" s="25"/>
      <c r="AC1613" s="25"/>
      <c r="AD1613" s="25"/>
      <c r="AE1613" s="25"/>
      <c r="AF1613" s="25"/>
      <c r="AG1613" s="25"/>
      <c r="AH1613" s="25"/>
      <c r="AI1613" s="25"/>
      <c r="AJ1613" s="25"/>
      <c r="AK1613" s="25"/>
      <c r="AL1613" s="25"/>
      <c r="AM1613" s="25"/>
      <c r="AN1613" s="25"/>
      <c r="AO1613" s="25"/>
      <c r="AP1613" s="25"/>
      <c r="AQ1613" s="25"/>
      <c r="AR1613" s="25"/>
      <c r="AS1613" s="25"/>
      <c r="AT1613" s="25"/>
      <c r="AU1613" s="25"/>
      <c r="AV1613" s="25"/>
      <c r="AW1613" s="25"/>
      <c r="AX1613" s="25"/>
      <c r="AY1613" s="25"/>
      <c r="AZ1613" s="25"/>
      <c r="BA1613" s="25"/>
      <c r="BB1613" s="25"/>
      <c r="BC1613" s="25"/>
      <c r="BD1613" s="25"/>
      <c r="BE1613" s="25"/>
      <c r="BF1613" s="25"/>
      <c r="BG1613" s="25"/>
      <c r="BH1613" s="25"/>
      <c r="BI1613" s="25"/>
      <c r="BJ1613" s="25"/>
      <c r="BK1613" s="25"/>
      <c r="BL1613" s="25"/>
      <c r="BM1613" s="25"/>
      <c r="BN1613" s="25"/>
      <c r="BO1613" s="25"/>
      <c r="BP1613" s="25"/>
      <c r="BQ1613" s="25"/>
      <c r="BR1613" s="25"/>
      <c r="BS1613" s="25"/>
      <c r="BT1613" s="25"/>
      <c r="BU1613" s="25"/>
      <c r="BV1613" s="25"/>
      <c r="BW1613" s="25"/>
      <c r="BX1613" s="25"/>
      <c r="BY1613" s="25"/>
      <c r="BZ1613" s="25"/>
      <c r="CA1613" s="25"/>
      <c r="CB1613" s="25"/>
    </row>
    <row r="1614" spans="1:80" ht="12.75" hidden="1" customHeight="1">
      <c r="A1614" s="10">
        <f ca="1">IFERROR(__xludf.DUMMYFUNCTION("""COMPUTED_VALUE"""),2022)</f>
        <v>2022</v>
      </c>
      <c r="B1614" s="50">
        <f ca="1">IFERROR(__xludf.DUMMYFUNCTION("""COMPUTED_VALUE"""),45111)</f>
        <v>45111</v>
      </c>
      <c r="C1614" s="41"/>
      <c r="D1614" s="42" t="str">
        <f ca="1">IFERROR(__xludf.DUMMYFUNCTION("""COMPUTED_VALUE"""),"Long-eared Owl")</f>
        <v>Long-eared Owl</v>
      </c>
      <c r="E1614" s="53">
        <f ca="1">IFERROR(__xludf.DUMMYFUNCTION("""COMPUTED_VALUE"""),1)</f>
        <v>1</v>
      </c>
      <c r="F1614" s="15"/>
      <c r="G1614" s="44" t="str">
        <f ca="1">IFERROR(__xludf.DUMMYFUNCTION("""COMPUTED_VALUE"""),"Sandbach Flashes")</f>
        <v>Sandbach Flashes</v>
      </c>
      <c r="H1614" s="12">
        <f ca="1">IFERROR(__xludf.DUMMYFUNCTION("""COMPUTED_VALUE"""),44562)</f>
        <v>44562</v>
      </c>
      <c r="I1614" s="13"/>
      <c r="J1614" s="14"/>
      <c r="K1614" s="15"/>
      <c r="L1614" s="17" t="str">
        <f ca="1">IFERROR(__xludf.DUMMYFUNCTION("""COMPUTED_VALUE"""),"closed")</f>
        <v>closed</v>
      </c>
      <c r="M1614" s="17"/>
      <c r="N1614" s="15" t="str">
        <f ca="1">IFERROR(__xludf.DUMMYFUNCTION("""COMPUTED_VALUE"""),"description  not needed")</f>
        <v>description  not needed</v>
      </c>
      <c r="O1614" s="18"/>
      <c r="P1614" s="15"/>
      <c r="Q1614" s="15"/>
      <c r="R1614" s="15"/>
      <c r="S1614" s="15"/>
      <c r="T1614" s="15"/>
      <c r="U1614" s="15"/>
      <c r="V1614" s="15"/>
      <c r="W1614" s="15"/>
      <c r="X1614" s="15"/>
      <c r="Y1614" s="15"/>
      <c r="Z1614" s="15"/>
      <c r="AA1614" s="15"/>
      <c r="AB1614" s="15"/>
      <c r="AC1614" s="15"/>
      <c r="AD1614" s="15"/>
      <c r="AE1614" s="15"/>
      <c r="AF1614" s="15"/>
      <c r="AG1614" s="15"/>
      <c r="AH1614" s="15"/>
      <c r="AI1614" s="15"/>
      <c r="AJ1614" s="15"/>
      <c r="AK1614" s="15"/>
      <c r="AL1614" s="15"/>
      <c r="AM1614" s="15"/>
      <c r="AN1614" s="15"/>
      <c r="AO1614" s="15"/>
      <c r="AP1614" s="15"/>
      <c r="AQ1614" s="15"/>
      <c r="AR1614" s="15"/>
      <c r="AS1614" s="15"/>
      <c r="AT1614" s="15"/>
      <c r="AU1614" s="15"/>
      <c r="AV1614" s="15"/>
      <c r="AW1614" s="15"/>
      <c r="AX1614" s="15"/>
      <c r="AY1614" s="15"/>
      <c r="AZ1614" s="15"/>
      <c r="BA1614" s="15"/>
      <c r="BB1614" s="15"/>
      <c r="BC1614" s="15"/>
      <c r="BD1614" s="15"/>
      <c r="BE1614" s="15"/>
      <c r="BF1614" s="15"/>
      <c r="BG1614" s="15"/>
      <c r="BH1614" s="15"/>
      <c r="BI1614" s="15"/>
      <c r="BJ1614" s="15"/>
      <c r="BK1614" s="15"/>
      <c r="BL1614" s="15"/>
      <c r="BM1614" s="15"/>
      <c r="BN1614" s="15"/>
      <c r="BO1614" s="15"/>
      <c r="BP1614" s="15"/>
      <c r="BQ1614" s="15"/>
      <c r="BR1614" s="15"/>
      <c r="BS1614" s="15"/>
      <c r="BT1614" s="15"/>
      <c r="BU1614" s="15"/>
      <c r="BV1614" s="15"/>
      <c r="BW1614" s="15"/>
      <c r="BX1614" s="15"/>
      <c r="BY1614" s="15"/>
      <c r="BZ1614" s="15"/>
      <c r="CA1614" s="15"/>
      <c r="CB1614" s="15"/>
    </row>
    <row r="1615" spans="1:80" ht="12.75" hidden="1" customHeight="1">
      <c r="A1615" s="20">
        <f ca="1">IFERROR(__xludf.DUMMYFUNCTION("""COMPUTED_VALUE"""),2022)</f>
        <v>2022</v>
      </c>
      <c r="B1615" s="45">
        <f ca="1">IFERROR(__xludf.DUMMYFUNCTION("""COMPUTED_VALUE"""),45111)</f>
        <v>45111</v>
      </c>
      <c r="C1615" s="46"/>
      <c r="D1615" s="47" t="str">
        <f ca="1">IFERROR(__xludf.DUMMYFUNCTION("""COMPUTED_VALUE"""),"Long-eared Owl")</f>
        <v>Long-eared Owl</v>
      </c>
      <c r="E1615" s="52">
        <f ca="1">IFERROR(__xludf.DUMMYFUNCTION("""COMPUTED_VALUE"""),1)</f>
        <v>1</v>
      </c>
      <c r="F1615" s="25"/>
      <c r="G1615" s="48" t="str">
        <f ca="1">IFERROR(__xludf.DUMMYFUNCTION("""COMPUTED_VALUE"""),"Crewe")</f>
        <v>Crewe</v>
      </c>
      <c r="H1615" s="22">
        <f ca="1">IFERROR(__xludf.DUMMYFUNCTION("""COMPUTED_VALUE"""),44567)</f>
        <v>44567</v>
      </c>
      <c r="I1615" s="23"/>
      <c r="J1615" s="24"/>
      <c r="K1615" s="25"/>
      <c r="L1615" s="27" t="str">
        <f ca="1">IFERROR(__xludf.DUMMYFUNCTION("""COMPUTED_VALUE"""),"closed")</f>
        <v>closed</v>
      </c>
      <c r="M1615" s="27"/>
      <c r="N1615" s="25"/>
      <c r="O1615" s="28"/>
      <c r="P1615" s="25"/>
      <c r="Q1615" s="25"/>
      <c r="R1615" s="25"/>
      <c r="S1615" s="25"/>
      <c r="T1615" s="25"/>
      <c r="U1615" s="25"/>
      <c r="V1615" s="25"/>
      <c r="W1615" s="25"/>
      <c r="X1615" s="25"/>
      <c r="Y1615" s="25"/>
      <c r="Z1615" s="25"/>
      <c r="AA1615" s="25"/>
      <c r="AB1615" s="25"/>
      <c r="AC1615" s="25"/>
      <c r="AD1615" s="25"/>
      <c r="AE1615" s="25"/>
      <c r="AF1615" s="25"/>
      <c r="AG1615" s="25"/>
      <c r="AH1615" s="25"/>
      <c r="AI1615" s="25"/>
      <c r="AJ1615" s="25"/>
      <c r="AK1615" s="25"/>
      <c r="AL1615" s="25"/>
      <c r="AM1615" s="25"/>
      <c r="AN1615" s="25"/>
      <c r="AO1615" s="25"/>
      <c r="AP1615" s="25"/>
      <c r="AQ1615" s="25"/>
      <c r="AR1615" s="25"/>
      <c r="AS1615" s="25"/>
      <c r="AT1615" s="25"/>
      <c r="AU1615" s="25"/>
      <c r="AV1615" s="25"/>
      <c r="AW1615" s="25"/>
      <c r="AX1615" s="25"/>
      <c r="AY1615" s="25"/>
      <c r="AZ1615" s="25"/>
      <c r="BA1615" s="25"/>
      <c r="BB1615" s="25"/>
      <c r="BC1615" s="25"/>
      <c r="BD1615" s="25"/>
      <c r="BE1615" s="25"/>
      <c r="BF1615" s="25"/>
      <c r="BG1615" s="25"/>
      <c r="BH1615" s="25"/>
      <c r="BI1615" s="25"/>
      <c r="BJ1615" s="25"/>
      <c r="BK1615" s="25"/>
      <c r="BL1615" s="25"/>
      <c r="BM1615" s="25"/>
      <c r="BN1615" s="25"/>
      <c r="BO1615" s="25"/>
      <c r="BP1615" s="25"/>
      <c r="BQ1615" s="25"/>
      <c r="BR1615" s="25"/>
      <c r="BS1615" s="25"/>
      <c r="BT1615" s="25"/>
      <c r="BU1615" s="25"/>
      <c r="BV1615" s="25"/>
      <c r="BW1615" s="25"/>
      <c r="BX1615" s="25"/>
      <c r="BY1615" s="25"/>
      <c r="BZ1615" s="25"/>
      <c r="CA1615" s="25"/>
      <c r="CB1615" s="25"/>
    </row>
    <row r="1616" spans="1:80" ht="12.75" hidden="1" customHeight="1">
      <c r="A1616" s="10">
        <f ca="1">IFERROR(__xludf.DUMMYFUNCTION("""COMPUTED_VALUE"""),2022)</f>
        <v>2022</v>
      </c>
      <c r="B1616" s="50">
        <f ca="1">IFERROR(__xludf.DUMMYFUNCTION("""COMPUTED_VALUE"""),45111)</f>
        <v>45111</v>
      </c>
      <c r="C1616" s="41"/>
      <c r="D1616" s="42" t="str">
        <f ca="1">IFERROR(__xludf.DUMMYFUNCTION("""COMPUTED_VALUE"""),"Long-eared Owl")</f>
        <v>Long-eared Owl</v>
      </c>
      <c r="E1616" s="53">
        <f ca="1">IFERROR(__xludf.DUMMYFUNCTION("""COMPUTED_VALUE"""),1)</f>
        <v>1</v>
      </c>
      <c r="F1616" s="15"/>
      <c r="G1616" s="44" t="str">
        <f ca="1">IFERROR(__xludf.DUMMYFUNCTION("""COMPUTED_VALUE"""),"Groby Flash, Sandbach Flash")</f>
        <v>Groby Flash, Sandbach Flash</v>
      </c>
      <c r="H1616" s="12">
        <f ca="1">IFERROR(__xludf.DUMMYFUNCTION("""COMPUTED_VALUE"""),44571)</f>
        <v>44571</v>
      </c>
      <c r="I1616" s="13"/>
      <c r="J1616" s="14"/>
      <c r="K1616" s="15"/>
      <c r="L1616" s="17" t="str">
        <f ca="1">IFERROR(__xludf.DUMMYFUNCTION("""COMPUTED_VALUE"""),"closed")</f>
        <v>closed</v>
      </c>
      <c r="M1616" s="17"/>
      <c r="N1616" s="15"/>
      <c r="O1616" s="18"/>
      <c r="P1616" s="15"/>
      <c r="Q1616" s="15"/>
      <c r="R1616" s="15"/>
      <c r="S1616" s="15"/>
      <c r="T1616" s="15"/>
      <c r="U1616" s="15"/>
      <c r="V1616" s="15"/>
      <c r="W1616" s="15"/>
      <c r="X1616" s="15"/>
      <c r="Y1616" s="15"/>
      <c r="Z1616" s="15"/>
      <c r="AA1616" s="15"/>
      <c r="AB1616" s="15"/>
      <c r="AC1616" s="15"/>
      <c r="AD1616" s="15"/>
      <c r="AE1616" s="15"/>
      <c r="AF1616" s="15"/>
      <c r="AG1616" s="15"/>
      <c r="AH1616" s="15"/>
      <c r="AI1616" s="15"/>
      <c r="AJ1616" s="15"/>
      <c r="AK1616" s="15"/>
      <c r="AL1616" s="15"/>
      <c r="AM1616" s="15"/>
      <c r="AN1616" s="15"/>
      <c r="AO1616" s="15"/>
      <c r="AP1616" s="15"/>
      <c r="AQ1616" s="15"/>
      <c r="AR1616" s="15"/>
      <c r="AS1616" s="15"/>
      <c r="AT1616" s="15"/>
      <c r="AU1616" s="15"/>
      <c r="AV1616" s="15"/>
      <c r="AW1616" s="15"/>
      <c r="AX1616" s="15"/>
      <c r="AY1616" s="15"/>
      <c r="AZ1616" s="15"/>
      <c r="BA1616" s="15"/>
      <c r="BB1616" s="15"/>
      <c r="BC1616" s="15"/>
      <c r="BD1616" s="15"/>
      <c r="BE1616" s="15"/>
      <c r="BF1616" s="15"/>
      <c r="BG1616" s="15"/>
      <c r="BH1616" s="15"/>
      <c r="BI1616" s="15"/>
      <c r="BJ1616" s="15"/>
      <c r="BK1616" s="15"/>
      <c r="BL1616" s="15"/>
      <c r="BM1616" s="15"/>
      <c r="BN1616" s="15"/>
      <c r="BO1616" s="15"/>
      <c r="BP1616" s="15"/>
      <c r="BQ1616" s="15"/>
      <c r="BR1616" s="15"/>
      <c r="BS1616" s="15"/>
      <c r="BT1616" s="15"/>
      <c r="BU1616" s="15"/>
      <c r="BV1616" s="15"/>
      <c r="BW1616" s="15"/>
      <c r="BX1616" s="15"/>
      <c r="BY1616" s="15"/>
      <c r="BZ1616" s="15"/>
      <c r="CA1616" s="15"/>
      <c r="CB1616" s="15"/>
    </row>
    <row r="1617" spans="1:80" ht="12.75" hidden="1" customHeight="1">
      <c r="A1617" s="20">
        <f ca="1">IFERROR(__xludf.DUMMYFUNCTION("""COMPUTED_VALUE"""),2022)</f>
        <v>2022</v>
      </c>
      <c r="B1617" s="45">
        <f ca="1">IFERROR(__xludf.DUMMYFUNCTION("""COMPUTED_VALUE"""),45111)</f>
        <v>45111</v>
      </c>
      <c r="C1617" s="46"/>
      <c r="D1617" s="47" t="str">
        <f ca="1">IFERROR(__xludf.DUMMYFUNCTION("""COMPUTED_VALUE"""),"Long-eared Owl")</f>
        <v>Long-eared Owl</v>
      </c>
      <c r="E1617" s="52">
        <f ca="1">IFERROR(__xludf.DUMMYFUNCTION("""COMPUTED_VALUE"""),1)</f>
        <v>1</v>
      </c>
      <c r="F1617" s="25"/>
      <c r="G1617" s="48" t="str">
        <f ca="1">IFERROR(__xludf.DUMMYFUNCTION("""COMPUTED_VALUE"""),"Groby Flash, Sandbach Flash")</f>
        <v>Groby Flash, Sandbach Flash</v>
      </c>
      <c r="H1617" s="22">
        <f ca="1">IFERROR(__xludf.DUMMYFUNCTION("""COMPUTED_VALUE"""),44592)</f>
        <v>44592</v>
      </c>
      <c r="I1617" s="23"/>
      <c r="J1617" s="24"/>
      <c r="K1617" s="25"/>
      <c r="L1617" s="27" t="str">
        <f ca="1">IFERROR(__xludf.DUMMYFUNCTION("""COMPUTED_VALUE"""),"closed")</f>
        <v>closed</v>
      </c>
      <c r="M1617" s="27"/>
      <c r="N1617" s="25"/>
      <c r="O1617" s="28"/>
      <c r="P1617" s="25"/>
      <c r="Q1617" s="25"/>
      <c r="R1617" s="25"/>
      <c r="S1617" s="25"/>
      <c r="T1617" s="25"/>
      <c r="U1617" s="25"/>
      <c r="V1617" s="25"/>
      <c r="W1617" s="25"/>
      <c r="X1617" s="25"/>
      <c r="Y1617" s="25"/>
      <c r="Z1617" s="25"/>
      <c r="AA1617" s="25"/>
      <c r="AB1617" s="25"/>
      <c r="AC1617" s="25"/>
      <c r="AD1617" s="25"/>
      <c r="AE1617" s="25"/>
      <c r="AF1617" s="25"/>
      <c r="AG1617" s="25"/>
      <c r="AH1617" s="25"/>
      <c r="AI1617" s="25"/>
      <c r="AJ1617" s="25"/>
      <c r="AK1617" s="25"/>
      <c r="AL1617" s="25"/>
      <c r="AM1617" s="25"/>
      <c r="AN1617" s="25"/>
      <c r="AO1617" s="25"/>
      <c r="AP1617" s="25"/>
      <c r="AQ1617" s="25"/>
      <c r="AR1617" s="25"/>
      <c r="AS1617" s="25"/>
      <c r="AT1617" s="25"/>
      <c r="AU1617" s="25"/>
      <c r="AV1617" s="25"/>
      <c r="AW1617" s="25"/>
      <c r="AX1617" s="25"/>
      <c r="AY1617" s="25"/>
      <c r="AZ1617" s="25"/>
      <c r="BA1617" s="25"/>
      <c r="BB1617" s="25"/>
      <c r="BC1617" s="25"/>
      <c r="BD1617" s="25"/>
      <c r="BE1617" s="25"/>
      <c r="BF1617" s="25"/>
      <c r="BG1617" s="25"/>
      <c r="BH1617" s="25"/>
      <c r="BI1617" s="25"/>
      <c r="BJ1617" s="25"/>
      <c r="BK1617" s="25"/>
      <c r="BL1617" s="25"/>
      <c r="BM1617" s="25"/>
      <c r="BN1617" s="25"/>
      <c r="BO1617" s="25"/>
      <c r="BP1617" s="25"/>
      <c r="BQ1617" s="25"/>
      <c r="BR1617" s="25"/>
      <c r="BS1617" s="25"/>
      <c r="BT1617" s="25"/>
      <c r="BU1617" s="25"/>
      <c r="BV1617" s="25"/>
      <c r="BW1617" s="25"/>
      <c r="BX1617" s="25"/>
      <c r="BY1617" s="25"/>
      <c r="BZ1617" s="25"/>
      <c r="CA1617" s="25"/>
      <c r="CB1617" s="25"/>
    </row>
    <row r="1618" spans="1:80" ht="12.75" hidden="1" customHeight="1">
      <c r="A1618" s="10">
        <f ca="1">IFERROR(__xludf.DUMMYFUNCTION("""COMPUTED_VALUE"""),2022)</f>
        <v>2022</v>
      </c>
      <c r="B1618" s="50">
        <f ca="1">IFERROR(__xludf.DUMMYFUNCTION("""COMPUTED_VALUE"""),45111)</f>
        <v>45111</v>
      </c>
      <c r="C1618" s="41"/>
      <c r="D1618" s="42" t="str">
        <f ca="1">IFERROR(__xludf.DUMMYFUNCTION("""COMPUTED_VALUE"""),"Long-eared Owl")</f>
        <v>Long-eared Owl</v>
      </c>
      <c r="E1618" s="53">
        <f ca="1">IFERROR(__xludf.DUMMYFUNCTION("""COMPUTED_VALUE"""),1)</f>
        <v>1</v>
      </c>
      <c r="F1618" s="15"/>
      <c r="G1618" s="44" t="str">
        <f ca="1">IFERROR(__xludf.DUMMYFUNCTION("""COMPUTED_VALUE"""),"Sandbach Flashes")</f>
        <v>Sandbach Flashes</v>
      </c>
      <c r="H1618" s="12">
        <f ca="1">IFERROR(__xludf.DUMMYFUNCTION("""COMPUTED_VALUE"""),44592)</f>
        <v>44592</v>
      </c>
      <c r="I1618" s="13"/>
      <c r="J1618" s="14"/>
      <c r="K1618" s="15"/>
      <c r="L1618" s="17" t="str">
        <f ca="1">IFERROR(__xludf.DUMMYFUNCTION("""COMPUTED_VALUE"""),"closed")</f>
        <v>closed</v>
      </c>
      <c r="M1618" s="17"/>
      <c r="N1618" s="15"/>
      <c r="O1618" s="18"/>
      <c r="P1618" s="15"/>
      <c r="Q1618" s="15"/>
      <c r="R1618" s="15"/>
      <c r="S1618" s="15"/>
      <c r="T1618" s="15"/>
      <c r="U1618" s="15"/>
      <c r="V1618" s="15"/>
      <c r="W1618" s="15"/>
      <c r="X1618" s="15"/>
      <c r="Y1618" s="15"/>
      <c r="Z1618" s="15"/>
      <c r="AA1618" s="15"/>
      <c r="AB1618" s="15"/>
      <c r="AC1618" s="15"/>
      <c r="AD1618" s="15"/>
      <c r="AE1618" s="15"/>
      <c r="AF1618" s="15"/>
      <c r="AG1618" s="15"/>
      <c r="AH1618" s="15"/>
      <c r="AI1618" s="15"/>
      <c r="AJ1618" s="15"/>
      <c r="AK1618" s="15"/>
      <c r="AL1618" s="15"/>
      <c r="AM1618" s="15"/>
      <c r="AN1618" s="15"/>
      <c r="AO1618" s="15"/>
      <c r="AP1618" s="15"/>
      <c r="AQ1618" s="15"/>
      <c r="AR1618" s="15"/>
      <c r="AS1618" s="15"/>
      <c r="AT1618" s="15"/>
      <c r="AU1618" s="15"/>
      <c r="AV1618" s="15"/>
      <c r="AW1618" s="15"/>
      <c r="AX1618" s="15"/>
      <c r="AY1618" s="15"/>
      <c r="AZ1618" s="15"/>
      <c r="BA1618" s="15"/>
      <c r="BB1618" s="15"/>
      <c r="BC1618" s="15"/>
      <c r="BD1618" s="15"/>
      <c r="BE1618" s="15"/>
      <c r="BF1618" s="15"/>
      <c r="BG1618" s="15"/>
      <c r="BH1618" s="15"/>
      <c r="BI1618" s="15"/>
      <c r="BJ1618" s="15"/>
      <c r="BK1618" s="15"/>
      <c r="BL1618" s="15"/>
      <c r="BM1618" s="15"/>
      <c r="BN1618" s="15"/>
      <c r="BO1618" s="15"/>
      <c r="BP1618" s="15"/>
      <c r="BQ1618" s="15"/>
      <c r="BR1618" s="15"/>
      <c r="BS1618" s="15"/>
      <c r="BT1618" s="15"/>
      <c r="BU1618" s="15"/>
      <c r="BV1618" s="15"/>
      <c r="BW1618" s="15"/>
      <c r="BX1618" s="15"/>
      <c r="BY1618" s="15"/>
      <c r="BZ1618" s="15"/>
      <c r="CA1618" s="15"/>
      <c r="CB1618" s="15"/>
    </row>
    <row r="1619" spans="1:80" ht="12.75" hidden="1" customHeight="1">
      <c r="A1619" s="20">
        <f ca="1">IFERROR(__xludf.DUMMYFUNCTION("""COMPUTED_VALUE"""),2022)</f>
        <v>2022</v>
      </c>
      <c r="B1619" s="45">
        <f ca="1">IFERROR(__xludf.DUMMYFUNCTION("""COMPUTED_VALUE"""),45111)</f>
        <v>45111</v>
      </c>
      <c r="C1619" s="46"/>
      <c r="D1619" s="47" t="str">
        <f ca="1">IFERROR(__xludf.DUMMYFUNCTION("""COMPUTED_VALUE"""),"Long-eared Owl")</f>
        <v>Long-eared Owl</v>
      </c>
      <c r="E1619" s="52">
        <f ca="1">IFERROR(__xludf.DUMMYFUNCTION("""COMPUTED_VALUE"""),1)</f>
        <v>1</v>
      </c>
      <c r="F1619" s="25"/>
      <c r="G1619" s="48" t="str">
        <f ca="1">IFERROR(__xludf.DUMMYFUNCTION("""COMPUTED_VALUE"""),"Maw Green, Sandbach")</f>
        <v>Maw Green, Sandbach</v>
      </c>
      <c r="H1619" s="22">
        <f ca="1">IFERROR(__xludf.DUMMYFUNCTION("""COMPUTED_VALUE"""),44743)</f>
        <v>44743</v>
      </c>
      <c r="I1619" s="23"/>
      <c r="J1619" s="24"/>
      <c r="K1619" s="25"/>
      <c r="L1619" s="27" t="str">
        <f ca="1">IFERROR(__xludf.DUMMYFUNCTION("""COMPUTED_VALUE"""),"closed")</f>
        <v>closed</v>
      </c>
      <c r="M1619" s="27"/>
      <c r="N1619" s="25"/>
      <c r="O1619" s="28"/>
      <c r="P1619" s="25"/>
      <c r="Q1619" s="25"/>
      <c r="R1619" s="25"/>
      <c r="S1619" s="25"/>
      <c r="T1619" s="25"/>
      <c r="U1619" s="25"/>
      <c r="V1619" s="25"/>
      <c r="W1619" s="25"/>
      <c r="X1619" s="25"/>
      <c r="Y1619" s="25"/>
      <c r="Z1619" s="25"/>
      <c r="AA1619" s="25"/>
      <c r="AB1619" s="25"/>
      <c r="AC1619" s="25"/>
      <c r="AD1619" s="25"/>
      <c r="AE1619" s="25"/>
      <c r="AF1619" s="25"/>
      <c r="AG1619" s="25"/>
      <c r="AH1619" s="25"/>
      <c r="AI1619" s="25"/>
      <c r="AJ1619" s="25"/>
      <c r="AK1619" s="25"/>
      <c r="AL1619" s="25"/>
      <c r="AM1619" s="25"/>
      <c r="AN1619" s="25"/>
      <c r="AO1619" s="25"/>
      <c r="AP1619" s="25"/>
      <c r="AQ1619" s="25"/>
      <c r="AR1619" s="25"/>
      <c r="AS1619" s="25"/>
      <c r="AT1619" s="25"/>
      <c r="AU1619" s="25"/>
      <c r="AV1619" s="25"/>
      <c r="AW1619" s="25"/>
      <c r="AX1619" s="25"/>
      <c r="AY1619" s="25"/>
      <c r="AZ1619" s="25"/>
      <c r="BA1619" s="25"/>
      <c r="BB1619" s="25"/>
      <c r="BC1619" s="25"/>
      <c r="BD1619" s="25"/>
      <c r="BE1619" s="25"/>
      <c r="BF1619" s="25"/>
      <c r="BG1619" s="25"/>
      <c r="BH1619" s="25"/>
      <c r="BI1619" s="25"/>
      <c r="BJ1619" s="25"/>
      <c r="BK1619" s="25"/>
      <c r="BL1619" s="25"/>
      <c r="BM1619" s="25"/>
      <c r="BN1619" s="25"/>
      <c r="BO1619" s="25"/>
      <c r="BP1619" s="25"/>
      <c r="BQ1619" s="25"/>
      <c r="BR1619" s="25"/>
      <c r="BS1619" s="25"/>
      <c r="BT1619" s="25"/>
      <c r="BU1619" s="25"/>
      <c r="BV1619" s="25"/>
      <c r="BW1619" s="25"/>
      <c r="BX1619" s="25"/>
      <c r="BY1619" s="25"/>
      <c r="BZ1619" s="25"/>
      <c r="CA1619" s="25"/>
      <c r="CB1619" s="25"/>
    </row>
    <row r="1620" spans="1:80" ht="12.75" hidden="1" customHeight="1">
      <c r="A1620" s="10">
        <f ca="1">IFERROR(__xludf.DUMMYFUNCTION("""COMPUTED_VALUE"""),2022)</f>
        <v>2022</v>
      </c>
      <c r="B1620" s="50">
        <f ca="1">IFERROR(__xludf.DUMMYFUNCTION("""COMPUTED_VALUE"""),45111)</f>
        <v>45111</v>
      </c>
      <c r="C1620" s="41"/>
      <c r="D1620" s="42" t="str">
        <f ca="1">IFERROR(__xludf.DUMMYFUNCTION("""COMPUTED_VALUE"""),"Long-eared Owl")</f>
        <v>Long-eared Owl</v>
      </c>
      <c r="E1620" s="53">
        <f ca="1">IFERROR(__xludf.DUMMYFUNCTION("""COMPUTED_VALUE"""),1)</f>
        <v>1</v>
      </c>
      <c r="F1620" s="15"/>
      <c r="G1620" s="44" t="str">
        <f ca="1">IFERROR(__xludf.DUMMYFUNCTION("""COMPUTED_VALUE"""),"Marbury Country Park")</f>
        <v>Marbury Country Park</v>
      </c>
      <c r="H1620" s="12">
        <f ca="1">IFERROR(__xludf.DUMMYFUNCTION("""COMPUTED_VALUE"""),44810)</f>
        <v>44810</v>
      </c>
      <c r="I1620" s="13"/>
      <c r="J1620" s="14"/>
      <c r="K1620" s="15"/>
      <c r="L1620" s="17" t="str">
        <f ca="1">IFERROR(__xludf.DUMMYFUNCTION("""COMPUTED_VALUE"""),"closed")</f>
        <v>closed</v>
      </c>
      <c r="M1620" s="17"/>
      <c r="N1620" s="15"/>
      <c r="O1620" s="18"/>
      <c r="P1620" s="15"/>
      <c r="Q1620" s="15"/>
      <c r="R1620" s="15"/>
      <c r="S1620" s="15"/>
      <c r="T1620" s="15"/>
      <c r="U1620" s="15"/>
      <c r="V1620" s="15"/>
      <c r="W1620" s="15"/>
      <c r="X1620" s="15"/>
      <c r="Y1620" s="15"/>
      <c r="Z1620" s="15"/>
      <c r="AA1620" s="15"/>
      <c r="AB1620" s="15"/>
      <c r="AC1620" s="15"/>
      <c r="AD1620" s="15"/>
      <c r="AE1620" s="15"/>
      <c r="AF1620" s="15"/>
      <c r="AG1620" s="15"/>
      <c r="AH1620" s="15"/>
      <c r="AI1620" s="15"/>
      <c r="AJ1620" s="15"/>
      <c r="AK1620" s="15"/>
      <c r="AL1620" s="15"/>
      <c r="AM1620" s="15"/>
      <c r="AN1620" s="15"/>
      <c r="AO1620" s="15"/>
      <c r="AP1620" s="15"/>
      <c r="AQ1620" s="15"/>
      <c r="AR1620" s="15"/>
      <c r="AS1620" s="15"/>
      <c r="AT1620" s="15"/>
      <c r="AU1620" s="15"/>
      <c r="AV1620" s="15"/>
      <c r="AW1620" s="15"/>
      <c r="AX1620" s="15"/>
      <c r="AY1620" s="15"/>
      <c r="AZ1620" s="15"/>
      <c r="BA1620" s="15"/>
      <c r="BB1620" s="15"/>
      <c r="BC1620" s="15"/>
      <c r="BD1620" s="15"/>
      <c r="BE1620" s="15"/>
      <c r="BF1620" s="15"/>
      <c r="BG1620" s="15"/>
      <c r="BH1620" s="15"/>
      <c r="BI1620" s="15"/>
      <c r="BJ1620" s="15"/>
      <c r="BK1620" s="15"/>
      <c r="BL1620" s="15"/>
      <c r="BM1620" s="15"/>
      <c r="BN1620" s="15"/>
      <c r="BO1620" s="15"/>
      <c r="BP1620" s="15"/>
      <c r="BQ1620" s="15"/>
      <c r="BR1620" s="15"/>
      <c r="BS1620" s="15"/>
      <c r="BT1620" s="15"/>
      <c r="BU1620" s="15"/>
      <c r="BV1620" s="15"/>
      <c r="BW1620" s="15"/>
      <c r="BX1620" s="15"/>
      <c r="BY1620" s="15"/>
      <c r="BZ1620" s="15"/>
      <c r="CA1620" s="15"/>
      <c r="CB1620" s="15"/>
    </row>
    <row r="1621" spans="1:80" ht="12.75" hidden="1" customHeight="1">
      <c r="A1621" s="20">
        <f ca="1">IFERROR(__xludf.DUMMYFUNCTION("""COMPUTED_VALUE"""),2022)</f>
        <v>2022</v>
      </c>
      <c r="B1621" s="45">
        <f ca="1">IFERROR(__xludf.DUMMYFUNCTION("""COMPUTED_VALUE"""),45111)</f>
        <v>45111</v>
      </c>
      <c r="C1621" s="46"/>
      <c r="D1621" s="47" t="str">
        <f ca="1">IFERROR(__xludf.DUMMYFUNCTION("""COMPUTED_VALUE"""),"Long-eared Owl")</f>
        <v>Long-eared Owl</v>
      </c>
      <c r="E1621" s="52">
        <f ca="1">IFERROR(__xludf.DUMMYFUNCTION("""COMPUTED_VALUE"""),1)</f>
        <v>1</v>
      </c>
      <c r="F1621" s="25"/>
      <c r="G1621" s="48" t="str">
        <f ca="1">IFERROR(__xludf.DUMMYFUNCTION("""COMPUTED_VALUE"""),"Marbury, nr Wrenbury")</f>
        <v>Marbury, nr Wrenbury</v>
      </c>
      <c r="H1621" s="22">
        <f ca="1">IFERROR(__xludf.DUMMYFUNCTION("""COMPUTED_VALUE"""),44810)</f>
        <v>44810</v>
      </c>
      <c r="I1621" s="23"/>
      <c r="J1621" s="24"/>
      <c r="K1621" s="25"/>
      <c r="L1621" s="27" t="str">
        <f ca="1">IFERROR(__xludf.DUMMYFUNCTION("""COMPUTED_VALUE"""),"closed")</f>
        <v>closed</v>
      </c>
      <c r="M1621" s="27"/>
      <c r="N1621" s="25"/>
      <c r="O1621" s="28"/>
      <c r="P1621" s="25"/>
      <c r="Q1621" s="25"/>
      <c r="R1621" s="25"/>
      <c r="S1621" s="25"/>
      <c r="T1621" s="25"/>
      <c r="U1621" s="25"/>
      <c r="V1621" s="25"/>
      <c r="W1621" s="25"/>
      <c r="X1621" s="25"/>
      <c r="Y1621" s="25"/>
      <c r="Z1621" s="25"/>
      <c r="AA1621" s="25"/>
      <c r="AB1621" s="25"/>
      <c r="AC1621" s="25"/>
      <c r="AD1621" s="25"/>
      <c r="AE1621" s="25"/>
      <c r="AF1621" s="25"/>
      <c r="AG1621" s="25"/>
      <c r="AH1621" s="25"/>
      <c r="AI1621" s="25"/>
      <c r="AJ1621" s="25"/>
      <c r="AK1621" s="25"/>
      <c r="AL1621" s="25"/>
      <c r="AM1621" s="25"/>
      <c r="AN1621" s="25"/>
      <c r="AO1621" s="25"/>
      <c r="AP1621" s="25"/>
      <c r="AQ1621" s="25"/>
      <c r="AR1621" s="25"/>
      <c r="AS1621" s="25"/>
      <c r="AT1621" s="25"/>
      <c r="AU1621" s="25"/>
      <c r="AV1621" s="25"/>
      <c r="AW1621" s="25"/>
      <c r="AX1621" s="25"/>
      <c r="AY1621" s="25"/>
      <c r="AZ1621" s="25"/>
      <c r="BA1621" s="25"/>
      <c r="BB1621" s="25"/>
      <c r="BC1621" s="25"/>
      <c r="BD1621" s="25"/>
      <c r="BE1621" s="25"/>
      <c r="BF1621" s="25"/>
      <c r="BG1621" s="25"/>
      <c r="BH1621" s="25"/>
      <c r="BI1621" s="25"/>
      <c r="BJ1621" s="25"/>
      <c r="BK1621" s="25"/>
      <c r="BL1621" s="25"/>
      <c r="BM1621" s="25"/>
      <c r="BN1621" s="25"/>
      <c r="BO1621" s="25"/>
      <c r="BP1621" s="25"/>
      <c r="BQ1621" s="25"/>
      <c r="BR1621" s="25"/>
      <c r="BS1621" s="25"/>
      <c r="BT1621" s="25"/>
      <c r="BU1621" s="25"/>
      <c r="BV1621" s="25"/>
      <c r="BW1621" s="25"/>
      <c r="BX1621" s="25"/>
      <c r="BY1621" s="25"/>
      <c r="BZ1621" s="25"/>
      <c r="CA1621" s="25"/>
      <c r="CB1621" s="25"/>
    </row>
    <row r="1622" spans="1:80" ht="12.75" hidden="1" customHeight="1">
      <c r="A1622" s="10">
        <f ca="1">IFERROR(__xludf.DUMMYFUNCTION("""COMPUTED_VALUE"""),2022)</f>
        <v>2022</v>
      </c>
      <c r="B1622" s="50">
        <f ca="1">IFERROR(__xludf.DUMMYFUNCTION("""COMPUTED_VALUE"""),45111)</f>
        <v>45111</v>
      </c>
      <c r="C1622" s="41"/>
      <c r="D1622" s="42" t="str">
        <f ca="1">IFERROR(__xludf.DUMMYFUNCTION("""COMPUTED_VALUE"""),"Long-eared Owl")</f>
        <v>Long-eared Owl</v>
      </c>
      <c r="E1622" s="53">
        <f ca="1">IFERROR(__xludf.DUMMYFUNCTION("""COMPUTED_VALUE"""),1)</f>
        <v>1</v>
      </c>
      <c r="F1622" s="15"/>
      <c r="G1622" s="44" t="str">
        <f ca="1">IFERROR(__xludf.DUMMYFUNCTION("""COMPUTED_VALUE"""),"Hale Head, Hale")</f>
        <v>Hale Head, Hale</v>
      </c>
      <c r="H1622" s="12">
        <f ca="1">IFERROR(__xludf.DUMMYFUNCTION("""COMPUTED_VALUE"""),44864)</f>
        <v>44864</v>
      </c>
      <c r="I1622" s="13"/>
      <c r="J1622" s="14"/>
      <c r="K1622" s="15"/>
      <c r="L1622" s="17" t="str">
        <f ca="1">IFERROR(__xludf.DUMMYFUNCTION("""COMPUTED_VALUE"""),"closed")</f>
        <v>closed</v>
      </c>
      <c r="M1622" s="17"/>
      <c r="N1622" s="15"/>
      <c r="O1622" s="18"/>
      <c r="P1622" s="15"/>
      <c r="Q1622" s="15"/>
      <c r="R1622" s="15"/>
      <c r="S1622" s="15"/>
      <c r="T1622" s="15"/>
      <c r="U1622" s="15"/>
      <c r="V1622" s="15"/>
      <c r="W1622" s="15"/>
      <c r="X1622" s="15"/>
      <c r="Y1622" s="15"/>
      <c r="Z1622" s="15"/>
      <c r="AA1622" s="15"/>
      <c r="AB1622" s="15"/>
      <c r="AC1622" s="15"/>
      <c r="AD1622" s="15"/>
      <c r="AE1622" s="15"/>
      <c r="AF1622" s="15"/>
      <c r="AG1622" s="15"/>
      <c r="AH1622" s="15"/>
      <c r="AI1622" s="15"/>
      <c r="AJ1622" s="15"/>
      <c r="AK1622" s="15"/>
      <c r="AL1622" s="15"/>
      <c r="AM1622" s="15"/>
      <c r="AN1622" s="15"/>
      <c r="AO1622" s="15"/>
      <c r="AP1622" s="15"/>
      <c r="AQ1622" s="15"/>
      <c r="AR1622" s="15"/>
      <c r="AS1622" s="15"/>
      <c r="AT1622" s="15"/>
      <c r="AU1622" s="15"/>
      <c r="AV1622" s="15"/>
      <c r="AW1622" s="15"/>
      <c r="AX1622" s="15"/>
      <c r="AY1622" s="15"/>
      <c r="AZ1622" s="15"/>
      <c r="BA1622" s="15"/>
      <c r="BB1622" s="15"/>
      <c r="BC1622" s="15"/>
      <c r="BD1622" s="15"/>
      <c r="BE1622" s="15"/>
      <c r="BF1622" s="15"/>
      <c r="BG1622" s="15"/>
      <c r="BH1622" s="15"/>
      <c r="BI1622" s="15"/>
      <c r="BJ1622" s="15"/>
      <c r="BK1622" s="15"/>
      <c r="BL1622" s="15"/>
      <c r="BM1622" s="15"/>
      <c r="BN1622" s="15"/>
      <c r="BO1622" s="15"/>
      <c r="BP1622" s="15"/>
      <c r="BQ1622" s="15"/>
      <c r="BR1622" s="15"/>
      <c r="BS1622" s="15"/>
      <c r="BT1622" s="15"/>
      <c r="BU1622" s="15"/>
      <c r="BV1622" s="15"/>
      <c r="BW1622" s="15"/>
      <c r="BX1622" s="15"/>
      <c r="BY1622" s="15"/>
      <c r="BZ1622" s="15"/>
      <c r="CA1622" s="15"/>
      <c r="CB1622" s="15"/>
    </row>
    <row r="1623" spans="1:80" ht="12.75" hidden="1" customHeight="1">
      <c r="A1623" s="20">
        <f ca="1">IFERROR(__xludf.DUMMYFUNCTION("""COMPUTED_VALUE"""),2022)</f>
        <v>2022</v>
      </c>
      <c r="B1623" s="45">
        <f ca="1">IFERROR(__xludf.DUMMYFUNCTION("""COMPUTED_VALUE"""),45111)</f>
        <v>45111</v>
      </c>
      <c r="C1623" s="46"/>
      <c r="D1623" s="47" t="str">
        <f ca="1">IFERROR(__xludf.DUMMYFUNCTION("""COMPUTED_VALUE"""),"Long-eared Owl")</f>
        <v>Long-eared Owl</v>
      </c>
      <c r="E1623" s="52">
        <f ca="1">IFERROR(__xludf.DUMMYFUNCTION("""COMPUTED_VALUE"""),1)</f>
        <v>1</v>
      </c>
      <c r="F1623" s="25"/>
      <c r="G1623" s="48" t="str">
        <f ca="1">IFERROR(__xludf.DUMMYFUNCTION("""COMPUTED_VALUE"""),"Burton Mere Wetlands (BMW) RSPB")</f>
        <v>Burton Mere Wetlands (BMW) RSPB</v>
      </c>
      <c r="H1623" s="22">
        <f ca="1">IFERROR(__xludf.DUMMYFUNCTION("""COMPUTED_VALUE"""),44883)</f>
        <v>44883</v>
      </c>
      <c r="I1623" s="23"/>
      <c r="J1623" s="24"/>
      <c r="K1623" s="25"/>
      <c r="L1623" s="27" t="str">
        <f ca="1">IFERROR(__xludf.DUMMYFUNCTION("""COMPUTED_VALUE"""),"closed")</f>
        <v>closed</v>
      </c>
      <c r="M1623" s="27"/>
      <c r="N1623" s="25"/>
      <c r="O1623" s="28"/>
      <c r="P1623" s="25"/>
      <c r="Q1623" s="25"/>
      <c r="R1623" s="25"/>
      <c r="S1623" s="25"/>
      <c r="T1623" s="25"/>
      <c r="U1623" s="25"/>
      <c r="V1623" s="25"/>
      <c r="W1623" s="25"/>
      <c r="X1623" s="25"/>
      <c r="Y1623" s="25"/>
      <c r="Z1623" s="25"/>
      <c r="AA1623" s="25"/>
      <c r="AB1623" s="25"/>
      <c r="AC1623" s="25"/>
      <c r="AD1623" s="25"/>
      <c r="AE1623" s="25"/>
      <c r="AF1623" s="25"/>
      <c r="AG1623" s="25"/>
      <c r="AH1623" s="25"/>
      <c r="AI1623" s="25"/>
      <c r="AJ1623" s="25"/>
      <c r="AK1623" s="25"/>
      <c r="AL1623" s="25"/>
      <c r="AM1623" s="25"/>
      <c r="AN1623" s="25"/>
      <c r="AO1623" s="25"/>
      <c r="AP1623" s="25"/>
      <c r="AQ1623" s="25"/>
      <c r="AR1623" s="25"/>
      <c r="AS1623" s="25"/>
      <c r="AT1623" s="25"/>
      <c r="AU1623" s="25"/>
      <c r="AV1623" s="25"/>
      <c r="AW1623" s="25"/>
      <c r="AX1623" s="25"/>
      <c r="AY1623" s="25"/>
      <c r="AZ1623" s="25"/>
      <c r="BA1623" s="25"/>
      <c r="BB1623" s="25"/>
      <c r="BC1623" s="25"/>
      <c r="BD1623" s="25"/>
      <c r="BE1623" s="25"/>
      <c r="BF1623" s="25"/>
      <c r="BG1623" s="25"/>
      <c r="BH1623" s="25"/>
      <c r="BI1623" s="25"/>
      <c r="BJ1623" s="25"/>
      <c r="BK1623" s="25"/>
      <c r="BL1623" s="25"/>
      <c r="BM1623" s="25"/>
      <c r="BN1623" s="25"/>
      <c r="BO1623" s="25"/>
      <c r="BP1623" s="25"/>
      <c r="BQ1623" s="25"/>
      <c r="BR1623" s="25"/>
      <c r="BS1623" s="25"/>
      <c r="BT1623" s="25"/>
      <c r="BU1623" s="25"/>
      <c r="BV1623" s="25"/>
      <c r="BW1623" s="25"/>
      <c r="BX1623" s="25"/>
      <c r="BY1623" s="25"/>
      <c r="BZ1623" s="25"/>
      <c r="CA1623" s="25"/>
      <c r="CB1623" s="25"/>
    </row>
    <row r="1624" spans="1:80" ht="12.75" hidden="1" customHeight="1">
      <c r="A1624" s="10">
        <f ca="1">IFERROR(__xludf.DUMMYFUNCTION("""COMPUTED_VALUE"""),2022)</f>
        <v>2022</v>
      </c>
      <c r="B1624" s="50">
        <f ca="1">IFERROR(__xludf.DUMMYFUNCTION("""COMPUTED_VALUE"""),45111)</f>
        <v>45111</v>
      </c>
      <c r="C1624" s="41"/>
      <c r="D1624" s="42" t="str">
        <f ca="1">IFERROR(__xludf.DUMMYFUNCTION("""COMPUTED_VALUE"""),"Marsh Tit")</f>
        <v>Marsh Tit</v>
      </c>
      <c r="E1624" s="53">
        <f ca="1">IFERROR(__xludf.DUMMYFUNCTION("""COMPUTED_VALUE"""),1)</f>
        <v>1</v>
      </c>
      <c r="F1624" s="15"/>
      <c r="G1624" s="44" t="str">
        <f ca="1">IFERROR(__xludf.DUMMYFUNCTION("""COMPUTED_VALUE"""),"Brown Knowl, Tattenhall")</f>
        <v>Brown Knowl, Tattenhall</v>
      </c>
      <c r="H1624" s="12">
        <f ca="1">IFERROR(__xludf.DUMMYFUNCTION("""COMPUTED_VALUE"""),44568)</f>
        <v>44568</v>
      </c>
      <c r="I1624" s="13"/>
      <c r="J1624" s="14"/>
      <c r="K1624" s="15"/>
      <c r="L1624" s="17" t="str">
        <f ca="1">IFERROR(__xludf.DUMMYFUNCTION("""COMPUTED_VALUE"""),"limbo")</f>
        <v>limbo</v>
      </c>
      <c r="M1624" s="17"/>
      <c r="N1624" s="15" t="str">
        <f ca="1">IFERROR(__xludf.DUMMYFUNCTION("""COMPUTED_VALUE"""),"not submitted")</f>
        <v>not submitted</v>
      </c>
      <c r="O1624" s="18" t="str">
        <f ca="1">IFERROR(__xludf.DUMMYFUNCTION("""COMPUTED_VALUE"""),"publish as Willow/Marsh, considerd by obs to be Mrsh if no description")</f>
        <v>publish as Willow/Marsh, considerd by obs to be Mrsh if no description</v>
      </c>
      <c r="P1624" s="15"/>
      <c r="Q1624" s="15"/>
      <c r="R1624" s="15"/>
      <c r="S1624" s="15"/>
      <c r="T1624" s="15"/>
      <c r="U1624" s="15"/>
      <c r="V1624" s="15"/>
      <c r="W1624" s="15"/>
      <c r="X1624" s="15"/>
      <c r="Y1624" s="15"/>
      <c r="Z1624" s="15"/>
      <c r="AA1624" s="15"/>
      <c r="AB1624" s="15"/>
      <c r="AC1624" s="15"/>
      <c r="AD1624" s="15"/>
      <c r="AE1624" s="15"/>
      <c r="AF1624" s="15"/>
      <c r="AG1624" s="15"/>
      <c r="AH1624" s="15"/>
      <c r="AI1624" s="15"/>
      <c r="AJ1624" s="15"/>
      <c r="AK1624" s="15"/>
      <c r="AL1624" s="15"/>
      <c r="AM1624" s="15"/>
      <c r="AN1624" s="15"/>
      <c r="AO1624" s="15"/>
      <c r="AP1624" s="15"/>
      <c r="AQ1624" s="15"/>
      <c r="AR1624" s="15"/>
      <c r="AS1624" s="15"/>
      <c r="AT1624" s="15"/>
      <c r="AU1624" s="15"/>
      <c r="AV1624" s="15"/>
      <c r="AW1624" s="15"/>
      <c r="AX1624" s="15"/>
      <c r="AY1624" s="15"/>
      <c r="AZ1624" s="15"/>
      <c r="BA1624" s="15"/>
      <c r="BB1624" s="15"/>
      <c r="BC1624" s="15"/>
      <c r="BD1624" s="15"/>
      <c r="BE1624" s="15"/>
      <c r="BF1624" s="15"/>
      <c r="BG1624" s="15"/>
      <c r="BH1624" s="15"/>
      <c r="BI1624" s="15"/>
      <c r="BJ1624" s="15"/>
      <c r="BK1624" s="15"/>
      <c r="BL1624" s="15"/>
      <c r="BM1624" s="15"/>
      <c r="BN1624" s="15"/>
      <c r="BO1624" s="15"/>
      <c r="BP1624" s="15"/>
      <c r="BQ1624" s="15"/>
      <c r="BR1624" s="15"/>
      <c r="BS1624" s="15"/>
      <c r="BT1624" s="15"/>
      <c r="BU1624" s="15"/>
      <c r="BV1624" s="15"/>
      <c r="BW1624" s="15"/>
      <c r="BX1624" s="15"/>
      <c r="BY1624" s="15"/>
      <c r="BZ1624" s="15"/>
      <c r="CA1624" s="15"/>
      <c r="CB1624" s="15"/>
    </row>
    <row r="1625" spans="1:80" ht="12.75" hidden="1" customHeight="1">
      <c r="A1625" s="20">
        <f ca="1">IFERROR(__xludf.DUMMYFUNCTION("""COMPUTED_VALUE"""),2022)</f>
        <v>2022</v>
      </c>
      <c r="B1625" s="45">
        <f ca="1">IFERROR(__xludf.DUMMYFUNCTION("""COMPUTED_VALUE"""),45111)</f>
        <v>45111</v>
      </c>
      <c r="C1625" s="46"/>
      <c r="D1625" s="47" t="str">
        <f ca="1">IFERROR(__xludf.DUMMYFUNCTION("""COMPUTED_VALUE"""),"Marsh Tit/Marsh tit")</f>
        <v>Marsh Tit/Marsh tit</v>
      </c>
      <c r="E1625" s="52">
        <f ca="1">IFERROR(__xludf.DUMMYFUNCTION("""COMPUTED_VALUE"""),1)</f>
        <v>1</v>
      </c>
      <c r="F1625" s="25"/>
      <c r="G1625" s="48" t="str">
        <f ca="1">IFERROR(__xludf.DUMMYFUNCTION("""COMPUTED_VALUE"""),"Warrington")</f>
        <v>Warrington</v>
      </c>
      <c r="H1625" s="22">
        <f ca="1">IFERROR(__xludf.DUMMYFUNCTION("""COMPUTED_VALUE"""),44575)</f>
        <v>44575</v>
      </c>
      <c r="I1625" s="23"/>
      <c r="J1625" s="24"/>
      <c r="K1625" s="25"/>
      <c r="L1625" s="27" t="str">
        <f ca="1">IFERROR(__xludf.DUMMYFUNCTION("""COMPUTED_VALUE"""),"limbo")</f>
        <v>limbo</v>
      </c>
      <c r="M1625" s="27"/>
      <c r="N1625" s="25" t="str">
        <f ca="1">IFERROR(__xludf.DUMMYFUNCTION("""COMPUTED_VALUE"""),"not submitted")</f>
        <v>not submitted</v>
      </c>
      <c r="O1625" s="28" t="str">
        <f ca="1">IFERROR(__xludf.DUMMYFUNCTION("""COMPUTED_VALUE"""),"publish as Willow/Marsh,")</f>
        <v>publish as Willow/Marsh,</v>
      </c>
      <c r="P1625" s="25"/>
      <c r="Q1625" s="25"/>
      <c r="R1625" s="25"/>
      <c r="S1625" s="25"/>
      <c r="T1625" s="25"/>
      <c r="U1625" s="25"/>
      <c r="V1625" s="25"/>
      <c r="W1625" s="25"/>
      <c r="X1625" s="25"/>
      <c r="Y1625" s="25"/>
      <c r="Z1625" s="25"/>
      <c r="AA1625" s="25"/>
      <c r="AB1625" s="25"/>
      <c r="AC1625" s="25"/>
      <c r="AD1625" s="25"/>
      <c r="AE1625" s="25"/>
      <c r="AF1625" s="25"/>
      <c r="AG1625" s="25"/>
      <c r="AH1625" s="25"/>
      <c r="AI1625" s="25"/>
      <c r="AJ1625" s="25"/>
      <c r="AK1625" s="25"/>
      <c r="AL1625" s="25"/>
      <c r="AM1625" s="25"/>
      <c r="AN1625" s="25"/>
      <c r="AO1625" s="25"/>
      <c r="AP1625" s="25"/>
      <c r="AQ1625" s="25"/>
      <c r="AR1625" s="25"/>
      <c r="AS1625" s="25"/>
      <c r="AT1625" s="25"/>
      <c r="AU1625" s="25"/>
      <c r="AV1625" s="25"/>
      <c r="AW1625" s="25"/>
      <c r="AX1625" s="25"/>
      <c r="AY1625" s="25"/>
      <c r="AZ1625" s="25"/>
      <c r="BA1625" s="25"/>
      <c r="BB1625" s="25"/>
      <c r="BC1625" s="25"/>
      <c r="BD1625" s="25"/>
      <c r="BE1625" s="25"/>
      <c r="BF1625" s="25"/>
      <c r="BG1625" s="25"/>
      <c r="BH1625" s="25"/>
      <c r="BI1625" s="25"/>
      <c r="BJ1625" s="25"/>
      <c r="BK1625" s="25"/>
      <c r="BL1625" s="25"/>
      <c r="BM1625" s="25"/>
      <c r="BN1625" s="25"/>
      <c r="BO1625" s="25"/>
      <c r="BP1625" s="25"/>
      <c r="BQ1625" s="25"/>
      <c r="BR1625" s="25"/>
      <c r="BS1625" s="25"/>
      <c r="BT1625" s="25"/>
      <c r="BU1625" s="25"/>
      <c r="BV1625" s="25"/>
      <c r="BW1625" s="25"/>
      <c r="BX1625" s="25"/>
      <c r="BY1625" s="25"/>
      <c r="BZ1625" s="25"/>
      <c r="CA1625" s="25"/>
      <c r="CB1625" s="25"/>
    </row>
    <row r="1626" spans="1:80" ht="12.75" hidden="1" customHeight="1">
      <c r="A1626" s="10">
        <f ca="1">IFERROR(__xludf.DUMMYFUNCTION("""COMPUTED_VALUE"""),2022)</f>
        <v>2022</v>
      </c>
      <c r="B1626" s="50">
        <f ca="1">IFERROR(__xludf.DUMMYFUNCTION("""COMPUTED_VALUE"""),45111)</f>
        <v>45111</v>
      </c>
      <c r="C1626" s="41"/>
      <c r="D1626" s="42" t="str">
        <f ca="1">IFERROR(__xludf.DUMMYFUNCTION("""COMPUTED_VALUE"""),"Marsh Tit")</f>
        <v>Marsh Tit</v>
      </c>
      <c r="E1626" s="53">
        <f ca="1">IFERROR(__xludf.DUMMYFUNCTION("""COMPUTED_VALUE"""),1)</f>
        <v>1</v>
      </c>
      <c r="F1626" s="15"/>
      <c r="G1626" s="44" t="str">
        <f ca="1">IFERROR(__xludf.DUMMYFUNCTION("""COMPUTED_VALUE"""),"Wildboarclough")</f>
        <v>Wildboarclough</v>
      </c>
      <c r="H1626" s="12">
        <f ca="1">IFERROR(__xludf.DUMMYFUNCTION("""COMPUTED_VALUE"""),44646)</f>
        <v>44646</v>
      </c>
      <c r="I1626" s="13"/>
      <c r="J1626" s="14"/>
      <c r="K1626" s="15"/>
      <c r="L1626" s="17" t="str">
        <f ca="1">IFERROR(__xludf.DUMMYFUNCTION("""COMPUTED_VALUE"""),"limbo")</f>
        <v>limbo</v>
      </c>
      <c r="M1626" s="17"/>
      <c r="N1626" s="15" t="str">
        <f ca="1">IFERROR(__xludf.DUMMYFUNCTION("""COMPUTED_VALUE"""),"not submitted")</f>
        <v>not submitted</v>
      </c>
      <c r="O1626" s="18" t="str">
        <f ca="1">IFERROR(__xludf.DUMMYFUNCTION("""COMPUTED_VALUE"""),"publish as Willow/Marsh, considerd by obs to be Mrsh if no description")</f>
        <v>publish as Willow/Marsh, considerd by obs to be Mrsh if no description</v>
      </c>
      <c r="P1626" s="15"/>
      <c r="Q1626" s="15"/>
      <c r="R1626" s="15"/>
      <c r="S1626" s="15"/>
      <c r="T1626" s="15"/>
      <c r="U1626" s="15"/>
      <c r="V1626" s="15"/>
      <c r="W1626" s="15"/>
      <c r="X1626" s="15"/>
      <c r="Y1626" s="15"/>
      <c r="Z1626" s="15"/>
      <c r="AA1626" s="15"/>
      <c r="AB1626" s="15"/>
      <c r="AC1626" s="15"/>
      <c r="AD1626" s="15"/>
      <c r="AE1626" s="15"/>
      <c r="AF1626" s="15"/>
      <c r="AG1626" s="15"/>
      <c r="AH1626" s="15"/>
      <c r="AI1626" s="15"/>
      <c r="AJ1626" s="15"/>
      <c r="AK1626" s="15"/>
      <c r="AL1626" s="15"/>
      <c r="AM1626" s="15"/>
      <c r="AN1626" s="15"/>
      <c r="AO1626" s="15"/>
      <c r="AP1626" s="15"/>
      <c r="AQ1626" s="15"/>
      <c r="AR1626" s="15"/>
      <c r="AS1626" s="15"/>
      <c r="AT1626" s="15"/>
      <c r="AU1626" s="15"/>
      <c r="AV1626" s="15"/>
      <c r="AW1626" s="15"/>
      <c r="AX1626" s="15"/>
      <c r="AY1626" s="15"/>
      <c r="AZ1626" s="15"/>
      <c r="BA1626" s="15"/>
      <c r="BB1626" s="15"/>
      <c r="BC1626" s="15"/>
      <c r="BD1626" s="15"/>
      <c r="BE1626" s="15"/>
      <c r="BF1626" s="15"/>
      <c r="BG1626" s="15"/>
      <c r="BH1626" s="15"/>
      <c r="BI1626" s="15"/>
      <c r="BJ1626" s="15"/>
      <c r="BK1626" s="15"/>
      <c r="BL1626" s="15"/>
      <c r="BM1626" s="15"/>
      <c r="BN1626" s="15"/>
      <c r="BO1626" s="15"/>
      <c r="BP1626" s="15"/>
      <c r="BQ1626" s="15"/>
      <c r="BR1626" s="15"/>
      <c r="BS1626" s="15"/>
      <c r="BT1626" s="15"/>
      <c r="BU1626" s="15"/>
      <c r="BV1626" s="15"/>
      <c r="BW1626" s="15"/>
      <c r="BX1626" s="15"/>
      <c r="BY1626" s="15"/>
      <c r="BZ1626" s="15"/>
      <c r="CA1626" s="15"/>
      <c r="CB1626" s="15"/>
    </row>
    <row r="1627" spans="1:80" ht="12.75" hidden="1" customHeight="1">
      <c r="A1627" s="20">
        <f ca="1">IFERROR(__xludf.DUMMYFUNCTION("""COMPUTED_VALUE"""),2022)</f>
        <v>2022</v>
      </c>
      <c r="B1627" s="45">
        <f ca="1">IFERROR(__xludf.DUMMYFUNCTION("""COMPUTED_VALUE"""),45111)</f>
        <v>45111</v>
      </c>
      <c r="C1627" s="46"/>
      <c r="D1627" s="47" t="str">
        <f ca="1">IFERROR(__xludf.DUMMYFUNCTION("""COMPUTED_VALUE"""),"Marsh Tit")</f>
        <v>Marsh Tit</v>
      </c>
      <c r="E1627" s="52">
        <f ca="1">IFERROR(__xludf.DUMMYFUNCTION("""COMPUTED_VALUE"""),1)</f>
        <v>1</v>
      </c>
      <c r="F1627" s="25"/>
      <c r="G1627" s="48" t="str">
        <f ca="1">IFERROR(__xludf.DUMMYFUNCTION("""COMPUTED_VALUE"""),"Neston")</f>
        <v>Neston</v>
      </c>
      <c r="H1627" s="22">
        <f ca="1">IFERROR(__xludf.DUMMYFUNCTION("""COMPUTED_VALUE"""),44894)</f>
        <v>44894</v>
      </c>
      <c r="I1627" s="23"/>
      <c r="J1627" s="24"/>
      <c r="K1627" s="25"/>
      <c r="L1627" s="27" t="str">
        <f ca="1">IFERROR(__xludf.DUMMYFUNCTION("""COMPUTED_VALUE"""),"limbo")</f>
        <v>limbo</v>
      </c>
      <c r="M1627" s="27"/>
      <c r="N1627" s="25" t="str">
        <f ca="1">IFERROR(__xludf.DUMMYFUNCTION("""COMPUTED_VALUE"""),"not submitted")</f>
        <v>not submitted</v>
      </c>
      <c r="O1627" s="28" t="str">
        <f ca="1">IFERROR(__xludf.DUMMYFUNCTION("""COMPUTED_VALUE"""),"publish as Willow/Marsh, considerd by obs to be Mrsh if no description")</f>
        <v>publish as Willow/Marsh, considerd by obs to be Mrsh if no description</v>
      </c>
      <c r="P1627" s="25"/>
      <c r="Q1627" s="25"/>
      <c r="R1627" s="25"/>
      <c r="S1627" s="25"/>
      <c r="T1627" s="25"/>
      <c r="U1627" s="25"/>
      <c r="V1627" s="25"/>
      <c r="W1627" s="25"/>
      <c r="X1627" s="25"/>
      <c r="Y1627" s="25"/>
      <c r="Z1627" s="25"/>
      <c r="AA1627" s="25"/>
      <c r="AB1627" s="25"/>
      <c r="AC1627" s="25"/>
      <c r="AD1627" s="25"/>
      <c r="AE1627" s="25"/>
      <c r="AF1627" s="25"/>
      <c r="AG1627" s="25"/>
      <c r="AH1627" s="25"/>
      <c r="AI1627" s="25"/>
      <c r="AJ1627" s="25"/>
      <c r="AK1627" s="25"/>
      <c r="AL1627" s="25"/>
      <c r="AM1627" s="25"/>
      <c r="AN1627" s="25"/>
      <c r="AO1627" s="25"/>
      <c r="AP1627" s="25"/>
      <c r="AQ1627" s="25"/>
      <c r="AR1627" s="25"/>
      <c r="AS1627" s="25"/>
      <c r="AT1627" s="25"/>
      <c r="AU1627" s="25"/>
      <c r="AV1627" s="25"/>
      <c r="AW1627" s="25"/>
      <c r="AX1627" s="25"/>
      <c r="AY1627" s="25"/>
      <c r="AZ1627" s="25"/>
      <c r="BA1627" s="25"/>
      <c r="BB1627" s="25"/>
      <c r="BC1627" s="25"/>
      <c r="BD1627" s="25"/>
      <c r="BE1627" s="25"/>
      <c r="BF1627" s="25"/>
      <c r="BG1627" s="25"/>
      <c r="BH1627" s="25"/>
      <c r="BI1627" s="25"/>
      <c r="BJ1627" s="25"/>
      <c r="BK1627" s="25"/>
      <c r="BL1627" s="25"/>
      <c r="BM1627" s="25"/>
      <c r="BN1627" s="25"/>
      <c r="BO1627" s="25"/>
      <c r="BP1627" s="25"/>
      <c r="BQ1627" s="25"/>
      <c r="BR1627" s="25"/>
      <c r="BS1627" s="25"/>
      <c r="BT1627" s="25"/>
      <c r="BU1627" s="25"/>
      <c r="BV1627" s="25"/>
      <c r="BW1627" s="25"/>
      <c r="BX1627" s="25"/>
      <c r="BY1627" s="25"/>
      <c r="BZ1627" s="25"/>
      <c r="CA1627" s="25"/>
      <c r="CB1627" s="25"/>
    </row>
    <row r="1628" spans="1:80" ht="12.75" hidden="1" customHeight="1">
      <c r="A1628" s="10">
        <f ca="1">IFERROR(__xludf.DUMMYFUNCTION("""COMPUTED_VALUE"""),2022)</f>
        <v>2022</v>
      </c>
      <c r="B1628" s="50">
        <f ca="1">IFERROR(__xludf.DUMMYFUNCTION("""COMPUTED_VALUE"""),45111)</f>
        <v>45111</v>
      </c>
      <c r="C1628" s="41"/>
      <c r="D1628" s="42" t="str">
        <f ca="1">IFERROR(__xludf.DUMMYFUNCTION("""COMPUTED_VALUE"""),"Willow Tit")</f>
        <v>Willow Tit</v>
      </c>
      <c r="E1628" s="53">
        <f ca="1">IFERROR(__xludf.DUMMYFUNCTION("""COMPUTED_VALUE"""),1)</f>
        <v>1</v>
      </c>
      <c r="F1628" s="15"/>
      <c r="G1628" s="44" t="str">
        <f ca="1">IFERROR(__xludf.DUMMYFUNCTION("""COMPUTED_VALUE"""),"Lymm Dam, Lymm")</f>
        <v>Lymm Dam, Lymm</v>
      </c>
      <c r="H1628" s="12">
        <f ca="1">IFERROR(__xludf.DUMMYFUNCTION("""COMPUTED_VALUE"""),44647)</f>
        <v>44647</v>
      </c>
      <c r="I1628" s="13"/>
      <c r="J1628" s="14"/>
      <c r="K1628" s="15"/>
      <c r="L1628" s="17" t="str">
        <f ca="1">IFERROR(__xludf.DUMMYFUNCTION("""COMPUTED_VALUE"""),"limbo")</f>
        <v>limbo</v>
      </c>
      <c r="M1628" s="17"/>
      <c r="N1628" s="15" t="str">
        <f ca="1">IFERROR(__xludf.DUMMYFUNCTION("""COMPUTED_VALUE"""),"not submitted")</f>
        <v>not submitted</v>
      </c>
      <c r="O1628" s="18" t="str">
        <f ca="1">IFERROR(__xludf.DUMMYFUNCTION("""COMPUTED_VALUE"""),"publish as Willow/Marsh, considerd by obs to be  willow if no description")</f>
        <v>publish as Willow/Marsh, considerd by obs to be  willow if no description</v>
      </c>
      <c r="P1628" s="15"/>
      <c r="Q1628" s="15"/>
      <c r="R1628" s="15"/>
      <c r="S1628" s="15"/>
      <c r="T1628" s="15"/>
      <c r="U1628" s="15"/>
      <c r="V1628" s="15"/>
      <c r="W1628" s="15"/>
      <c r="X1628" s="15"/>
      <c r="Y1628" s="15"/>
      <c r="Z1628" s="15"/>
      <c r="AA1628" s="15"/>
      <c r="AB1628" s="15"/>
      <c r="AC1628" s="15"/>
      <c r="AD1628" s="15"/>
      <c r="AE1628" s="15"/>
      <c r="AF1628" s="15"/>
      <c r="AG1628" s="15"/>
      <c r="AH1628" s="15"/>
      <c r="AI1628" s="15"/>
      <c r="AJ1628" s="15"/>
      <c r="AK1628" s="15"/>
      <c r="AL1628" s="15"/>
      <c r="AM1628" s="15"/>
      <c r="AN1628" s="15"/>
      <c r="AO1628" s="15"/>
      <c r="AP1628" s="15"/>
      <c r="AQ1628" s="15"/>
      <c r="AR1628" s="15"/>
      <c r="AS1628" s="15"/>
      <c r="AT1628" s="15"/>
      <c r="AU1628" s="15"/>
      <c r="AV1628" s="15"/>
      <c r="AW1628" s="15"/>
      <c r="AX1628" s="15"/>
      <c r="AY1628" s="15"/>
      <c r="AZ1628" s="15"/>
      <c r="BA1628" s="15"/>
      <c r="BB1628" s="15"/>
      <c r="BC1628" s="15"/>
      <c r="BD1628" s="15"/>
      <c r="BE1628" s="15"/>
      <c r="BF1628" s="15"/>
      <c r="BG1628" s="15"/>
      <c r="BH1628" s="15"/>
      <c r="BI1628" s="15"/>
      <c r="BJ1628" s="15"/>
      <c r="BK1628" s="15"/>
      <c r="BL1628" s="15"/>
      <c r="BM1628" s="15"/>
      <c r="BN1628" s="15"/>
      <c r="BO1628" s="15"/>
      <c r="BP1628" s="15"/>
      <c r="BQ1628" s="15"/>
      <c r="BR1628" s="15"/>
      <c r="BS1628" s="15"/>
      <c r="BT1628" s="15"/>
      <c r="BU1628" s="15"/>
      <c r="BV1628" s="15"/>
      <c r="BW1628" s="15"/>
      <c r="BX1628" s="15"/>
      <c r="BY1628" s="15"/>
      <c r="BZ1628" s="15"/>
      <c r="CA1628" s="15"/>
      <c r="CB1628" s="15"/>
    </row>
    <row r="1629" spans="1:80" ht="12.75" hidden="1" customHeight="1">
      <c r="A1629" s="20">
        <f ca="1">IFERROR(__xludf.DUMMYFUNCTION("""COMPUTED_VALUE"""),2022)</f>
        <v>2022</v>
      </c>
      <c r="B1629" s="45">
        <f ca="1">IFERROR(__xludf.DUMMYFUNCTION("""COMPUTED_VALUE"""),45111)</f>
        <v>45111</v>
      </c>
      <c r="C1629" s="46"/>
      <c r="D1629" s="47" t="str">
        <f ca="1">IFERROR(__xludf.DUMMYFUNCTION("""COMPUTED_VALUE"""),"Willow Tit")</f>
        <v>Willow Tit</v>
      </c>
      <c r="E1629" s="52">
        <f ca="1">IFERROR(__xludf.DUMMYFUNCTION("""COMPUTED_VALUE"""),1)</f>
        <v>1</v>
      </c>
      <c r="F1629" s="25"/>
      <c r="G1629" s="48" t="str">
        <f ca="1">IFERROR(__xludf.DUMMYFUNCTION("""COMPUTED_VALUE"""),"Burton")</f>
        <v>Burton</v>
      </c>
      <c r="H1629" s="22">
        <f ca="1">IFERROR(__xludf.DUMMYFUNCTION("""COMPUTED_VALUE"""),44652)</f>
        <v>44652</v>
      </c>
      <c r="I1629" s="23"/>
      <c r="J1629" s="24"/>
      <c r="K1629" s="25"/>
      <c r="L1629" s="27" t="str">
        <f ca="1">IFERROR(__xludf.DUMMYFUNCTION("""COMPUTED_VALUE"""),"limbo")</f>
        <v>limbo</v>
      </c>
      <c r="M1629" s="27"/>
      <c r="N1629" s="25" t="str">
        <f ca="1">IFERROR(__xludf.DUMMYFUNCTION("""COMPUTED_VALUE"""),"not submitted")</f>
        <v>not submitted</v>
      </c>
      <c r="O1629" s="28" t="str">
        <f ca="1">IFERROR(__xludf.DUMMYFUNCTION("""COMPUTED_VALUE"""),"publish as Willow/Marsh, considerd by obs to be  willow if no description")</f>
        <v>publish as Willow/Marsh, considerd by obs to be  willow if no description</v>
      </c>
      <c r="P1629" s="25"/>
      <c r="Q1629" s="25"/>
      <c r="R1629" s="25"/>
      <c r="S1629" s="25"/>
      <c r="T1629" s="25"/>
      <c r="U1629" s="25"/>
      <c r="V1629" s="25"/>
      <c r="W1629" s="25"/>
      <c r="X1629" s="25"/>
      <c r="Y1629" s="25"/>
      <c r="Z1629" s="25"/>
      <c r="AA1629" s="25"/>
      <c r="AB1629" s="25"/>
      <c r="AC1629" s="25"/>
      <c r="AD1629" s="25"/>
      <c r="AE1629" s="25"/>
      <c r="AF1629" s="25"/>
      <c r="AG1629" s="25"/>
      <c r="AH1629" s="25"/>
      <c r="AI1629" s="25"/>
      <c r="AJ1629" s="25"/>
      <c r="AK1629" s="25"/>
      <c r="AL1629" s="25"/>
      <c r="AM1629" s="25"/>
      <c r="AN1629" s="25"/>
      <c r="AO1629" s="25"/>
      <c r="AP1629" s="25"/>
      <c r="AQ1629" s="25"/>
      <c r="AR1629" s="25"/>
      <c r="AS1629" s="25"/>
      <c r="AT1629" s="25"/>
      <c r="AU1629" s="25"/>
      <c r="AV1629" s="25"/>
      <c r="AW1629" s="25"/>
      <c r="AX1629" s="25"/>
      <c r="AY1629" s="25"/>
      <c r="AZ1629" s="25"/>
      <c r="BA1629" s="25"/>
      <c r="BB1629" s="25"/>
      <c r="BC1629" s="25"/>
      <c r="BD1629" s="25"/>
      <c r="BE1629" s="25"/>
      <c r="BF1629" s="25"/>
      <c r="BG1629" s="25"/>
      <c r="BH1629" s="25"/>
      <c r="BI1629" s="25"/>
      <c r="BJ1629" s="25"/>
      <c r="BK1629" s="25"/>
      <c r="BL1629" s="25"/>
      <c r="BM1629" s="25"/>
      <c r="BN1629" s="25"/>
      <c r="BO1629" s="25"/>
      <c r="BP1629" s="25"/>
      <c r="BQ1629" s="25"/>
      <c r="BR1629" s="25"/>
      <c r="BS1629" s="25"/>
      <c r="BT1629" s="25"/>
      <c r="BU1629" s="25"/>
      <c r="BV1629" s="25"/>
      <c r="BW1629" s="25"/>
      <c r="BX1629" s="25"/>
      <c r="BY1629" s="25"/>
      <c r="BZ1629" s="25"/>
      <c r="CA1629" s="25"/>
      <c r="CB1629" s="25"/>
    </row>
    <row r="1630" spans="1:80" ht="12.75" hidden="1" customHeight="1">
      <c r="A1630" s="10">
        <f ca="1">IFERROR(__xludf.DUMMYFUNCTION("""COMPUTED_VALUE"""),2022)</f>
        <v>2022</v>
      </c>
      <c r="B1630" s="50">
        <f ca="1">IFERROR(__xludf.DUMMYFUNCTION("""COMPUTED_VALUE"""),45111)</f>
        <v>45111</v>
      </c>
      <c r="C1630" s="41"/>
      <c r="D1630" s="42" t="str">
        <f ca="1">IFERROR(__xludf.DUMMYFUNCTION("""COMPUTED_VALUE"""),"Willow Tit")</f>
        <v>Willow Tit</v>
      </c>
      <c r="E1630" s="53">
        <f ca="1">IFERROR(__xludf.DUMMYFUNCTION("""COMPUTED_VALUE"""),1)</f>
        <v>1</v>
      </c>
      <c r="F1630" s="15"/>
      <c r="G1630" s="44" t="str">
        <f ca="1">IFERROR(__xludf.DUMMYFUNCTION("""COMPUTED_VALUE"""),"Hassall Green SE of Sandbach")</f>
        <v>Hassall Green SE of Sandbach</v>
      </c>
      <c r="H1630" s="12">
        <f ca="1">IFERROR(__xludf.DUMMYFUNCTION("""COMPUTED_VALUE"""),44652)</f>
        <v>44652</v>
      </c>
      <c r="I1630" s="13"/>
      <c r="J1630" s="14"/>
      <c r="K1630" s="15"/>
      <c r="L1630" s="17" t="str">
        <f ca="1">IFERROR(__xludf.DUMMYFUNCTION("""COMPUTED_VALUE"""),"limbo")</f>
        <v>limbo</v>
      </c>
      <c r="M1630" s="17"/>
      <c r="N1630" s="15" t="str">
        <f ca="1">IFERROR(__xludf.DUMMYFUNCTION("""COMPUTED_VALUE"""),"not submitted")</f>
        <v>not submitted</v>
      </c>
      <c r="O1630" s="18" t="str">
        <f ca="1">IFERROR(__xludf.DUMMYFUNCTION("""COMPUTED_VALUE"""),"publish as Willow/Marsh, considerd by obs to be  willow if no description")</f>
        <v>publish as Willow/Marsh, considerd by obs to be  willow if no description</v>
      </c>
      <c r="P1630" s="15"/>
      <c r="Q1630" s="15"/>
      <c r="R1630" s="15"/>
      <c r="S1630" s="15"/>
      <c r="T1630" s="15"/>
      <c r="U1630" s="15"/>
      <c r="V1630" s="15"/>
      <c r="W1630" s="15"/>
      <c r="X1630" s="15"/>
      <c r="Y1630" s="15"/>
      <c r="Z1630" s="15"/>
      <c r="AA1630" s="15"/>
      <c r="AB1630" s="15"/>
      <c r="AC1630" s="15"/>
      <c r="AD1630" s="15"/>
      <c r="AE1630" s="15"/>
      <c r="AF1630" s="15"/>
      <c r="AG1630" s="15"/>
      <c r="AH1630" s="15"/>
      <c r="AI1630" s="15"/>
      <c r="AJ1630" s="15"/>
      <c r="AK1630" s="15"/>
      <c r="AL1630" s="15"/>
      <c r="AM1630" s="15"/>
      <c r="AN1630" s="15"/>
      <c r="AO1630" s="15"/>
      <c r="AP1630" s="15"/>
      <c r="AQ1630" s="15"/>
      <c r="AR1630" s="15"/>
      <c r="AS1630" s="15"/>
      <c r="AT1630" s="15"/>
      <c r="AU1630" s="15"/>
      <c r="AV1630" s="15"/>
      <c r="AW1630" s="15"/>
      <c r="AX1630" s="15"/>
      <c r="AY1630" s="15"/>
      <c r="AZ1630" s="15"/>
      <c r="BA1630" s="15"/>
      <c r="BB1630" s="15"/>
      <c r="BC1630" s="15"/>
      <c r="BD1630" s="15"/>
      <c r="BE1630" s="15"/>
      <c r="BF1630" s="15"/>
      <c r="BG1630" s="15"/>
      <c r="BH1630" s="15"/>
      <c r="BI1630" s="15"/>
      <c r="BJ1630" s="15"/>
      <c r="BK1630" s="15"/>
      <c r="BL1630" s="15"/>
      <c r="BM1630" s="15"/>
      <c r="BN1630" s="15"/>
      <c r="BO1630" s="15"/>
      <c r="BP1630" s="15"/>
      <c r="BQ1630" s="15"/>
      <c r="BR1630" s="15"/>
      <c r="BS1630" s="15"/>
      <c r="BT1630" s="15"/>
      <c r="BU1630" s="15"/>
      <c r="BV1630" s="15"/>
      <c r="BW1630" s="15"/>
      <c r="BX1630" s="15"/>
      <c r="BY1630" s="15"/>
      <c r="BZ1630" s="15"/>
      <c r="CA1630" s="15"/>
      <c r="CB1630" s="15"/>
    </row>
    <row r="1631" spans="1:80" ht="12.75" hidden="1" customHeight="1">
      <c r="A1631" s="20">
        <f ca="1">IFERROR(__xludf.DUMMYFUNCTION("""COMPUTED_VALUE"""),2022)</f>
        <v>2022</v>
      </c>
      <c r="B1631" s="45">
        <f ca="1">IFERROR(__xludf.DUMMYFUNCTION("""COMPUTED_VALUE"""),44876)</f>
        <v>44876</v>
      </c>
      <c r="C1631" s="46">
        <f ca="1">IFERROR(__xludf.DUMMYFUNCTION("""COMPUTED_VALUE"""),44739)</f>
        <v>44739</v>
      </c>
      <c r="D1631" s="47" t="str">
        <f ca="1">IFERROR(__xludf.DUMMYFUNCTION("""COMPUTED_VALUE"""),"Willow Tit")</f>
        <v>Willow Tit</v>
      </c>
      <c r="E1631" s="52">
        <f ca="1">IFERROR(__xludf.DUMMYFUNCTION("""COMPUTED_VALUE"""),1)</f>
        <v>1</v>
      </c>
      <c r="F1631" s="25" t="str">
        <f ca="1">IFERROR(__xludf.DUMMYFUNCTION("""COMPUTED_VALUE"""),"juv")</f>
        <v>juv</v>
      </c>
      <c r="G1631" s="48" t="str">
        <f ca="1">IFERROR(__xludf.DUMMYFUNCTION("""COMPUTED_VALUE"""),"Hoylake")</f>
        <v>Hoylake</v>
      </c>
      <c r="H1631" s="22">
        <f ca="1">IFERROR(__xludf.DUMMYFUNCTION("""COMPUTED_VALUE"""),44736)</f>
        <v>44736</v>
      </c>
      <c r="I1631" s="23"/>
      <c r="J1631" s="24" t="str">
        <f ca="1">IFERROR(__xludf.DUMMYFUNCTION("""COMPUTED_VALUE"""),"Turner, J E")</f>
        <v>Turner, J E</v>
      </c>
      <c r="K1631" s="25" t="str">
        <f ca="1">IFERROR(__xludf.DUMMYFUNCTION("""COMPUTED_VALUE"""),"Sinnott, A")</f>
        <v>Sinnott, A</v>
      </c>
      <c r="L1631" s="27" t="str">
        <f ca="1">IFERROR(__xludf.DUMMYFUNCTION("""COMPUTED_VALUE"""),"closed")</f>
        <v>closed</v>
      </c>
      <c r="M1631" s="27" t="str">
        <f ca="1">IFERROR(__xludf.DUMMYFUNCTION("""COMPUTED_VALUE"""),"1st U")</f>
        <v>1st U</v>
      </c>
      <c r="N1631" s="25" t="str">
        <f ca="1">IFERROR(__xludf.DUMMYFUNCTION("""COMPUTED_VALUE"""),"Accepted")</f>
        <v>Accepted</v>
      </c>
      <c r="O1631" s="28" t="str">
        <f ca="1">IFERROR(__xludf.DUMMYFUNCTION("""COMPUTED_VALUE"""),"trapped and photo    ")</f>
        <v xml:space="preserve">trapped and photo    </v>
      </c>
      <c r="P1631" s="25"/>
      <c r="Q1631" s="25"/>
      <c r="R1631" s="25"/>
      <c r="S1631" s="25"/>
      <c r="T1631" s="25"/>
      <c r="U1631" s="25"/>
      <c r="V1631" s="25"/>
      <c r="W1631" s="25"/>
      <c r="X1631" s="25"/>
      <c r="Y1631" s="25"/>
      <c r="Z1631" s="25"/>
      <c r="AA1631" s="25"/>
      <c r="AB1631" s="25"/>
      <c r="AC1631" s="25"/>
      <c r="AD1631" s="25"/>
      <c r="AE1631" s="25"/>
      <c r="AF1631" s="25"/>
      <c r="AG1631" s="25"/>
      <c r="AH1631" s="25"/>
      <c r="AI1631" s="25"/>
      <c r="AJ1631" s="25"/>
      <c r="AK1631" s="25"/>
      <c r="AL1631" s="25"/>
      <c r="AM1631" s="25"/>
      <c r="AN1631" s="25"/>
      <c r="AO1631" s="25"/>
      <c r="AP1631" s="25"/>
      <c r="AQ1631" s="25"/>
      <c r="AR1631" s="25"/>
      <c r="AS1631" s="25"/>
      <c r="AT1631" s="25"/>
      <c r="AU1631" s="25"/>
      <c r="AV1631" s="25"/>
      <c r="AW1631" s="25"/>
      <c r="AX1631" s="25"/>
      <c r="AY1631" s="25"/>
      <c r="AZ1631" s="25"/>
      <c r="BA1631" s="25"/>
      <c r="BB1631" s="25"/>
      <c r="BC1631" s="25"/>
      <c r="BD1631" s="25"/>
      <c r="BE1631" s="25"/>
      <c r="BF1631" s="25"/>
      <c r="BG1631" s="25"/>
      <c r="BH1631" s="25"/>
      <c r="BI1631" s="25"/>
      <c r="BJ1631" s="25"/>
      <c r="BK1631" s="25"/>
      <c r="BL1631" s="25"/>
      <c r="BM1631" s="25"/>
      <c r="BN1631" s="25"/>
      <c r="BO1631" s="25"/>
      <c r="BP1631" s="25"/>
      <c r="BQ1631" s="25"/>
      <c r="BR1631" s="25"/>
      <c r="BS1631" s="25"/>
      <c r="BT1631" s="25"/>
      <c r="BU1631" s="25"/>
      <c r="BV1631" s="25"/>
      <c r="BW1631" s="25"/>
      <c r="BX1631" s="25"/>
      <c r="BY1631" s="25"/>
      <c r="BZ1631" s="25"/>
      <c r="CA1631" s="25"/>
      <c r="CB1631" s="25"/>
    </row>
    <row r="1632" spans="1:80" ht="12.75" hidden="1" customHeight="1">
      <c r="A1632" s="10">
        <f ca="1">IFERROR(__xludf.DUMMYFUNCTION("""COMPUTED_VALUE"""),2022)</f>
        <v>2022</v>
      </c>
      <c r="B1632" s="50">
        <f ca="1">IFERROR(__xludf.DUMMYFUNCTION("""COMPUTED_VALUE"""),45111)</f>
        <v>45111</v>
      </c>
      <c r="C1632" s="41"/>
      <c r="D1632" s="42" t="str">
        <f ca="1">IFERROR(__xludf.DUMMYFUNCTION("""COMPUTED_VALUE"""),"Willow Tit")</f>
        <v>Willow Tit</v>
      </c>
      <c r="E1632" s="53">
        <f ca="1">IFERROR(__xludf.DUMMYFUNCTION("""COMPUTED_VALUE"""),1)</f>
        <v>1</v>
      </c>
      <c r="F1632" s="15"/>
      <c r="G1632" s="44" t="str">
        <f ca="1">IFERROR(__xludf.DUMMYFUNCTION("""COMPUTED_VALUE"""),"Congleton")</f>
        <v>Congleton</v>
      </c>
      <c r="H1632" s="12">
        <f ca="1">IFERROR(__xludf.DUMMYFUNCTION("""COMPUTED_VALUE"""),44847)</f>
        <v>44847</v>
      </c>
      <c r="I1632" s="13"/>
      <c r="J1632" s="14"/>
      <c r="K1632" s="15"/>
      <c r="L1632" s="17" t="str">
        <f ca="1">IFERROR(__xludf.DUMMYFUNCTION("""COMPUTED_VALUE"""),"limbo")</f>
        <v>limbo</v>
      </c>
      <c r="M1632" s="17"/>
      <c r="N1632" s="15" t="str">
        <f ca="1">IFERROR(__xludf.DUMMYFUNCTION("""COMPUTED_VALUE"""),"not submitted")</f>
        <v>not submitted</v>
      </c>
      <c r="O1632" s="18" t="str">
        <f ca="1">IFERROR(__xludf.DUMMYFUNCTION("""COMPUTED_VALUE"""),"publish as Willow/Marsh, considerd by obs to be  willow if no description")</f>
        <v>publish as Willow/Marsh, considerd by obs to be  willow if no description</v>
      </c>
      <c r="P1632" s="15"/>
      <c r="Q1632" s="15"/>
      <c r="R1632" s="15"/>
      <c r="S1632" s="15"/>
      <c r="T1632" s="15"/>
      <c r="U1632" s="15"/>
      <c r="V1632" s="15"/>
      <c r="W1632" s="15"/>
      <c r="X1632" s="15"/>
      <c r="Y1632" s="15"/>
      <c r="Z1632" s="15"/>
      <c r="AA1632" s="15"/>
      <c r="AB1632" s="15"/>
      <c r="AC1632" s="15"/>
      <c r="AD1632" s="15"/>
      <c r="AE1632" s="15"/>
      <c r="AF1632" s="15"/>
      <c r="AG1632" s="15"/>
      <c r="AH1632" s="15"/>
      <c r="AI1632" s="15"/>
      <c r="AJ1632" s="15"/>
      <c r="AK1632" s="15"/>
      <c r="AL1632" s="15"/>
      <c r="AM1632" s="15"/>
      <c r="AN1632" s="15"/>
      <c r="AO1632" s="15"/>
      <c r="AP1632" s="15"/>
      <c r="AQ1632" s="15"/>
      <c r="AR1632" s="15"/>
      <c r="AS1632" s="15"/>
      <c r="AT1632" s="15"/>
      <c r="AU1632" s="15"/>
      <c r="AV1632" s="15"/>
      <c r="AW1632" s="15"/>
      <c r="AX1632" s="15"/>
      <c r="AY1632" s="15"/>
      <c r="AZ1632" s="15"/>
      <c r="BA1632" s="15"/>
      <c r="BB1632" s="15"/>
      <c r="BC1632" s="15"/>
      <c r="BD1632" s="15"/>
      <c r="BE1632" s="15"/>
      <c r="BF1632" s="15"/>
      <c r="BG1632" s="15"/>
      <c r="BH1632" s="15"/>
      <c r="BI1632" s="15"/>
      <c r="BJ1632" s="15"/>
      <c r="BK1632" s="15"/>
      <c r="BL1632" s="15"/>
      <c r="BM1632" s="15"/>
      <c r="BN1632" s="15"/>
      <c r="BO1632" s="15"/>
      <c r="BP1632" s="15"/>
      <c r="BQ1632" s="15"/>
      <c r="BR1632" s="15"/>
      <c r="BS1632" s="15"/>
      <c r="BT1632" s="15"/>
      <c r="BU1632" s="15"/>
      <c r="BV1632" s="15"/>
      <c r="BW1632" s="15"/>
      <c r="BX1632" s="15"/>
      <c r="BY1632" s="15"/>
      <c r="BZ1632" s="15"/>
      <c r="CA1632" s="15"/>
      <c r="CB1632" s="15"/>
    </row>
    <row r="1633" spans="1:80" ht="12.75" hidden="1" customHeight="1">
      <c r="A1633" s="20">
        <f ca="1">IFERROR(__xludf.DUMMYFUNCTION("""COMPUTED_VALUE"""),2022)</f>
        <v>2022</v>
      </c>
      <c r="B1633" s="45">
        <f ca="1">IFERROR(__xludf.DUMMYFUNCTION("""COMPUTED_VALUE"""),44884)</f>
        <v>44884</v>
      </c>
      <c r="C1633" s="46"/>
      <c r="D1633" s="47" t="str">
        <f ca="1">IFERROR(__xludf.DUMMYFUNCTION("""COMPUTED_VALUE"""),"Penduline Tit")</f>
        <v>Penduline Tit</v>
      </c>
      <c r="E1633" s="52">
        <f ca="1">IFERROR(__xludf.DUMMYFUNCTION("""COMPUTED_VALUE"""),1)</f>
        <v>1</v>
      </c>
      <c r="F1633" s="25" t="str">
        <f ca="1">IFERROR(__xludf.DUMMYFUNCTION("""COMPUTED_VALUE"""),"1st w m")</f>
        <v>1st w m</v>
      </c>
      <c r="G1633" s="48" t="str">
        <f ca="1">IFERROR(__xludf.DUMMYFUNCTION("""COMPUTED_VALUE"""),"Woolston Eyes")</f>
        <v>Woolston Eyes</v>
      </c>
      <c r="H1633" s="22">
        <f ca="1">IFERROR(__xludf.DUMMYFUNCTION("""COMPUTED_VALUE"""),44877)</f>
        <v>44877</v>
      </c>
      <c r="I1633" s="23"/>
      <c r="J1633" s="24"/>
      <c r="K1633" s="25"/>
      <c r="L1633" s="27" t="str">
        <f ca="1">IFERROR(__xludf.DUMMYFUNCTION("""COMPUTED_VALUE"""),"closed")</f>
        <v>closed</v>
      </c>
      <c r="M1633" s="27"/>
      <c r="N1633" s="25" t="str">
        <f ca="1">IFERROR(__xludf.DUMMYFUNCTION("""COMPUTED_VALUE"""),"Accepted")</f>
        <v>Accepted</v>
      </c>
      <c r="O1633" s="28" t="str">
        <f ca="1">IFERROR(__xludf.DUMMYFUNCTION("""COMPUTED_VALUE"""),"trapped and photo    ")</f>
        <v xml:space="preserve">trapped and photo    </v>
      </c>
      <c r="P1633" s="25"/>
      <c r="Q1633" s="25"/>
      <c r="R1633" s="25"/>
      <c r="S1633" s="25"/>
      <c r="T1633" s="25"/>
      <c r="U1633" s="25"/>
      <c r="V1633" s="25"/>
      <c r="W1633" s="25"/>
      <c r="X1633" s="25"/>
      <c r="Y1633" s="25"/>
      <c r="Z1633" s="25"/>
      <c r="AA1633" s="25"/>
      <c r="AB1633" s="25"/>
      <c r="AC1633" s="25"/>
      <c r="AD1633" s="25"/>
      <c r="AE1633" s="25"/>
      <c r="AF1633" s="25"/>
      <c r="AG1633" s="25"/>
      <c r="AH1633" s="25"/>
      <c r="AI1633" s="25"/>
      <c r="AJ1633" s="25"/>
      <c r="AK1633" s="25"/>
      <c r="AL1633" s="25"/>
      <c r="AM1633" s="25"/>
      <c r="AN1633" s="25"/>
      <c r="AO1633" s="25"/>
      <c r="AP1633" s="25"/>
      <c r="AQ1633" s="25"/>
      <c r="AR1633" s="25"/>
      <c r="AS1633" s="25"/>
      <c r="AT1633" s="25"/>
      <c r="AU1633" s="25"/>
      <c r="AV1633" s="25"/>
      <c r="AW1633" s="25"/>
      <c r="AX1633" s="25"/>
      <c r="AY1633" s="25"/>
      <c r="AZ1633" s="25"/>
      <c r="BA1633" s="25"/>
      <c r="BB1633" s="25"/>
      <c r="BC1633" s="25"/>
      <c r="BD1633" s="25"/>
      <c r="BE1633" s="25"/>
      <c r="BF1633" s="25"/>
      <c r="BG1633" s="25"/>
      <c r="BH1633" s="25"/>
      <c r="BI1633" s="25"/>
      <c r="BJ1633" s="25"/>
      <c r="BK1633" s="25"/>
      <c r="BL1633" s="25"/>
      <c r="BM1633" s="25"/>
      <c r="BN1633" s="25"/>
      <c r="BO1633" s="25"/>
      <c r="BP1633" s="25"/>
      <c r="BQ1633" s="25"/>
      <c r="BR1633" s="25"/>
      <c r="BS1633" s="25"/>
      <c r="BT1633" s="25"/>
      <c r="BU1633" s="25"/>
      <c r="BV1633" s="25"/>
      <c r="BW1633" s="25"/>
      <c r="BX1633" s="25"/>
      <c r="BY1633" s="25"/>
      <c r="BZ1633" s="25"/>
      <c r="CA1633" s="25"/>
      <c r="CB1633" s="25"/>
    </row>
    <row r="1634" spans="1:80" ht="12.75" hidden="1" customHeight="1">
      <c r="A1634" s="10">
        <f ca="1">IFERROR(__xludf.DUMMYFUNCTION("""COMPUTED_VALUE"""),2022)</f>
        <v>2022</v>
      </c>
      <c r="B1634" s="50">
        <f ca="1">IFERROR(__xludf.DUMMYFUNCTION("""COMPUTED_VALUE"""),45111)</f>
        <v>45111</v>
      </c>
      <c r="C1634" s="41"/>
      <c r="D1634" s="42" t="str">
        <f ca="1">IFERROR(__xludf.DUMMYFUNCTION("""COMPUTED_VALUE"""),"Bearded Tit")</f>
        <v>Bearded Tit</v>
      </c>
      <c r="E1634" s="53">
        <f ca="1">IFERROR(__xludf.DUMMYFUNCTION("""COMPUTED_VALUE"""),1)</f>
        <v>1</v>
      </c>
      <c r="F1634" s="15"/>
      <c r="G1634" s="44" t="str">
        <f ca="1">IFERROR(__xludf.DUMMYFUNCTION("""COMPUTED_VALUE"""),"Burton Mere Wetlands (BMW) RSPB")</f>
        <v>Burton Mere Wetlands (BMW) RSPB</v>
      </c>
      <c r="H1634" s="12">
        <f ca="1">IFERROR(__xludf.DUMMYFUNCTION("""COMPUTED_VALUE"""),44568)</f>
        <v>44568</v>
      </c>
      <c r="I1634" s="13"/>
      <c r="J1634" s="14"/>
      <c r="K1634" s="15"/>
      <c r="L1634" s="17" t="str">
        <f ca="1">IFERROR(__xludf.DUMMYFUNCTION("""COMPUTED_VALUE"""),"closed")</f>
        <v>closed</v>
      </c>
      <c r="M1634" s="17"/>
      <c r="N1634" s="15" t="str">
        <f ca="1">IFERROR(__xludf.DUMMYFUNCTION("""COMPUTED_VALUE"""),"Accepted w/o circ")</f>
        <v>Accepted w/o circ</v>
      </c>
      <c r="O1634" s="18"/>
      <c r="P1634" s="15"/>
      <c r="Q1634" s="15"/>
      <c r="R1634" s="15"/>
      <c r="S1634" s="15"/>
      <c r="T1634" s="15"/>
      <c r="U1634" s="15"/>
      <c r="V1634" s="15"/>
      <c r="W1634" s="15"/>
      <c r="X1634" s="15"/>
      <c r="Y1634" s="15"/>
      <c r="Z1634" s="15"/>
      <c r="AA1634" s="15"/>
      <c r="AB1634" s="15"/>
      <c r="AC1634" s="15"/>
      <c r="AD1634" s="15"/>
      <c r="AE1634" s="15"/>
      <c r="AF1634" s="15"/>
      <c r="AG1634" s="15"/>
      <c r="AH1634" s="15"/>
      <c r="AI1634" s="15"/>
      <c r="AJ1634" s="15"/>
      <c r="AK1634" s="15"/>
      <c r="AL1634" s="15"/>
      <c r="AM1634" s="15"/>
      <c r="AN1634" s="15"/>
      <c r="AO1634" s="15"/>
      <c r="AP1634" s="15"/>
      <c r="AQ1634" s="15"/>
      <c r="AR1634" s="15"/>
      <c r="AS1634" s="15"/>
      <c r="AT1634" s="15"/>
      <c r="AU1634" s="15"/>
      <c r="AV1634" s="15"/>
      <c r="AW1634" s="15"/>
      <c r="AX1634" s="15"/>
      <c r="AY1634" s="15"/>
      <c r="AZ1634" s="15"/>
      <c r="BA1634" s="15"/>
      <c r="BB1634" s="15"/>
      <c r="BC1634" s="15"/>
      <c r="BD1634" s="15"/>
      <c r="BE1634" s="15"/>
      <c r="BF1634" s="15"/>
      <c r="BG1634" s="15"/>
      <c r="BH1634" s="15"/>
      <c r="BI1634" s="15"/>
      <c r="BJ1634" s="15"/>
      <c r="BK1634" s="15"/>
      <c r="BL1634" s="15"/>
      <c r="BM1634" s="15"/>
      <c r="BN1634" s="15"/>
      <c r="BO1634" s="15"/>
      <c r="BP1634" s="15"/>
      <c r="BQ1634" s="15"/>
      <c r="BR1634" s="15"/>
      <c r="BS1634" s="15"/>
      <c r="BT1634" s="15"/>
      <c r="BU1634" s="15"/>
      <c r="BV1634" s="15"/>
      <c r="BW1634" s="15"/>
      <c r="BX1634" s="15"/>
      <c r="BY1634" s="15"/>
      <c r="BZ1634" s="15"/>
      <c r="CA1634" s="15"/>
      <c r="CB1634" s="15"/>
    </row>
    <row r="1635" spans="1:80" ht="12.75" hidden="1" customHeight="1">
      <c r="A1635" s="20">
        <f ca="1">IFERROR(__xludf.DUMMYFUNCTION("""COMPUTED_VALUE"""),2022)</f>
        <v>2022</v>
      </c>
      <c r="B1635" s="45">
        <f ca="1">IFERROR(__xludf.DUMMYFUNCTION("""COMPUTED_VALUE"""),45111)</f>
        <v>45111</v>
      </c>
      <c r="C1635" s="46"/>
      <c r="D1635" s="47" t="str">
        <f ca="1">IFERROR(__xludf.DUMMYFUNCTION("""COMPUTED_VALUE"""),"Bearded Tit")</f>
        <v>Bearded Tit</v>
      </c>
      <c r="E1635" s="52">
        <f ca="1">IFERROR(__xludf.DUMMYFUNCTION("""COMPUTED_VALUE"""),1)</f>
        <v>1</v>
      </c>
      <c r="F1635" s="25"/>
      <c r="G1635" s="48" t="str">
        <f ca="1">IFERROR(__xludf.DUMMYFUNCTION("""COMPUTED_VALUE"""),"Burton Mere Wetlands (BMW) RSPB")</f>
        <v>Burton Mere Wetlands (BMW) RSPB</v>
      </c>
      <c r="H1635" s="22">
        <f ca="1">IFERROR(__xludf.DUMMYFUNCTION("""COMPUTED_VALUE"""),44635)</f>
        <v>44635</v>
      </c>
      <c r="I1635" s="23"/>
      <c r="J1635" s="24"/>
      <c r="K1635" s="25"/>
      <c r="L1635" s="27" t="str">
        <f ca="1">IFERROR(__xludf.DUMMYFUNCTION("""COMPUTED_VALUE"""),"closed")</f>
        <v>closed</v>
      </c>
      <c r="M1635" s="27"/>
      <c r="N1635" s="25" t="str">
        <f ca="1">IFERROR(__xludf.DUMMYFUNCTION("""COMPUTED_VALUE"""),"Accepted w/o circ")</f>
        <v>Accepted w/o circ</v>
      </c>
      <c r="O1635" s="28"/>
      <c r="P1635" s="25"/>
      <c r="Q1635" s="25"/>
      <c r="R1635" s="25"/>
      <c r="S1635" s="25"/>
      <c r="T1635" s="25"/>
      <c r="U1635" s="25"/>
      <c r="V1635" s="25"/>
      <c r="W1635" s="25"/>
      <c r="X1635" s="25"/>
      <c r="Y1635" s="25"/>
      <c r="Z1635" s="25"/>
      <c r="AA1635" s="25"/>
      <c r="AB1635" s="25"/>
      <c r="AC1635" s="25"/>
      <c r="AD1635" s="25"/>
      <c r="AE1635" s="25"/>
      <c r="AF1635" s="25"/>
      <c r="AG1635" s="25"/>
      <c r="AH1635" s="25"/>
      <c r="AI1635" s="25"/>
      <c r="AJ1635" s="25"/>
      <c r="AK1635" s="25"/>
      <c r="AL1635" s="25"/>
      <c r="AM1635" s="25"/>
      <c r="AN1635" s="25"/>
      <c r="AO1635" s="25"/>
      <c r="AP1635" s="25"/>
      <c r="AQ1635" s="25"/>
      <c r="AR1635" s="25"/>
      <c r="AS1635" s="25"/>
      <c r="AT1635" s="25"/>
      <c r="AU1635" s="25"/>
      <c r="AV1635" s="25"/>
      <c r="AW1635" s="25"/>
      <c r="AX1635" s="25"/>
      <c r="AY1635" s="25"/>
      <c r="AZ1635" s="25"/>
      <c r="BA1635" s="25"/>
      <c r="BB1635" s="25"/>
      <c r="BC1635" s="25"/>
      <c r="BD1635" s="25"/>
      <c r="BE1635" s="25"/>
      <c r="BF1635" s="25"/>
      <c r="BG1635" s="25"/>
      <c r="BH1635" s="25"/>
      <c r="BI1635" s="25"/>
      <c r="BJ1635" s="25"/>
      <c r="BK1635" s="25"/>
      <c r="BL1635" s="25"/>
      <c r="BM1635" s="25"/>
      <c r="BN1635" s="25"/>
      <c r="BO1635" s="25"/>
      <c r="BP1635" s="25"/>
      <c r="BQ1635" s="25"/>
      <c r="BR1635" s="25"/>
      <c r="BS1635" s="25"/>
      <c r="BT1635" s="25"/>
      <c r="BU1635" s="25"/>
      <c r="BV1635" s="25"/>
      <c r="BW1635" s="25"/>
      <c r="BX1635" s="25"/>
      <c r="BY1635" s="25"/>
      <c r="BZ1635" s="25"/>
      <c r="CA1635" s="25"/>
      <c r="CB1635" s="25"/>
    </row>
    <row r="1636" spans="1:80" ht="12.75" hidden="1" customHeight="1">
      <c r="A1636" s="10">
        <f ca="1">IFERROR(__xludf.DUMMYFUNCTION("""COMPUTED_VALUE"""),2022)</f>
        <v>2022</v>
      </c>
      <c r="B1636" s="50">
        <f ca="1">IFERROR(__xludf.DUMMYFUNCTION("""COMPUTED_VALUE"""),45111)</f>
        <v>45111</v>
      </c>
      <c r="C1636" s="41"/>
      <c r="D1636" s="42" t="str">
        <f ca="1">IFERROR(__xludf.DUMMYFUNCTION("""COMPUTED_VALUE"""),"Bearded Tit")</f>
        <v>Bearded Tit</v>
      </c>
      <c r="E1636" s="53">
        <f ca="1">IFERROR(__xludf.DUMMYFUNCTION("""COMPUTED_VALUE"""),1)</f>
        <v>1</v>
      </c>
      <c r="F1636" s="15"/>
      <c r="G1636" s="44" t="str">
        <f ca="1">IFERROR(__xludf.DUMMYFUNCTION("""COMPUTED_VALUE"""),"Burton Mere Wetlands (BMW) RSPB")</f>
        <v>Burton Mere Wetlands (BMW) RSPB</v>
      </c>
      <c r="H1636" s="12">
        <f ca="1">IFERROR(__xludf.DUMMYFUNCTION("""COMPUTED_VALUE"""),44679)</f>
        <v>44679</v>
      </c>
      <c r="I1636" s="13"/>
      <c r="J1636" s="14"/>
      <c r="K1636" s="15"/>
      <c r="L1636" s="17" t="str">
        <f ca="1">IFERROR(__xludf.DUMMYFUNCTION("""COMPUTED_VALUE"""),"closed")</f>
        <v>closed</v>
      </c>
      <c r="M1636" s="17"/>
      <c r="N1636" s="15" t="str">
        <f ca="1">IFERROR(__xludf.DUMMYFUNCTION("""COMPUTED_VALUE"""),"Accepted w/o circ")</f>
        <v>Accepted w/o circ</v>
      </c>
      <c r="O1636" s="18"/>
      <c r="P1636" s="15"/>
      <c r="Q1636" s="15"/>
      <c r="R1636" s="15"/>
      <c r="S1636" s="15"/>
      <c r="T1636" s="15"/>
      <c r="U1636" s="15"/>
      <c r="V1636" s="15"/>
      <c r="W1636" s="15"/>
      <c r="X1636" s="15"/>
      <c r="Y1636" s="15"/>
      <c r="Z1636" s="15"/>
      <c r="AA1636" s="15"/>
      <c r="AB1636" s="15"/>
      <c r="AC1636" s="15"/>
      <c r="AD1636" s="15"/>
      <c r="AE1636" s="15"/>
      <c r="AF1636" s="15"/>
      <c r="AG1636" s="15"/>
      <c r="AH1636" s="15"/>
      <c r="AI1636" s="15"/>
      <c r="AJ1636" s="15"/>
      <c r="AK1636" s="15"/>
      <c r="AL1636" s="15"/>
      <c r="AM1636" s="15"/>
      <c r="AN1636" s="15"/>
      <c r="AO1636" s="15"/>
      <c r="AP1636" s="15"/>
      <c r="AQ1636" s="15"/>
      <c r="AR1636" s="15"/>
      <c r="AS1636" s="15"/>
      <c r="AT1636" s="15"/>
      <c r="AU1636" s="15"/>
      <c r="AV1636" s="15"/>
      <c r="AW1636" s="15"/>
      <c r="AX1636" s="15"/>
      <c r="AY1636" s="15"/>
      <c r="AZ1636" s="15"/>
      <c r="BA1636" s="15"/>
      <c r="BB1636" s="15"/>
      <c r="BC1636" s="15"/>
      <c r="BD1636" s="15"/>
      <c r="BE1636" s="15"/>
      <c r="BF1636" s="15"/>
      <c r="BG1636" s="15"/>
      <c r="BH1636" s="15"/>
      <c r="BI1636" s="15"/>
      <c r="BJ1636" s="15"/>
      <c r="BK1636" s="15"/>
      <c r="BL1636" s="15"/>
      <c r="BM1636" s="15"/>
      <c r="BN1636" s="15"/>
      <c r="BO1636" s="15"/>
      <c r="BP1636" s="15"/>
      <c r="BQ1636" s="15"/>
      <c r="BR1636" s="15"/>
      <c r="BS1636" s="15"/>
      <c r="BT1636" s="15"/>
      <c r="BU1636" s="15"/>
      <c r="BV1636" s="15"/>
      <c r="BW1636" s="15"/>
      <c r="BX1636" s="15"/>
      <c r="BY1636" s="15"/>
      <c r="BZ1636" s="15"/>
      <c r="CA1636" s="15"/>
      <c r="CB1636" s="15"/>
    </row>
    <row r="1637" spans="1:80" ht="12.75" hidden="1" customHeight="1">
      <c r="A1637" s="20">
        <f ca="1">IFERROR(__xludf.DUMMYFUNCTION("""COMPUTED_VALUE"""),2022)</f>
        <v>2022</v>
      </c>
      <c r="B1637" s="45">
        <f ca="1">IFERROR(__xludf.DUMMYFUNCTION("""COMPUTED_VALUE"""),45111)</f>
        <v>45111</v>
      </c>
      <c r="C1637" s="46"/>
      <c r="D1637" s="47" t="str">
        <f ca="1">IFERROR(__xludf.DUMMYFUNCTION("""COMPUTED_VALUE"""),"Bearded Tit")</f>
        <v>Bearded Tit</v>
      </c>
      <c r="E1637" s="52" t="str">
        <f ca="1">IFERROR(__xludf.DUMMYFUNCTION("""COMPUTED_VALUE"""),"s")</f>
        <v>s</v>
      </c>
      <c r="F1637" s="25"/>
      <c r="G1637" s="48" t="str">
        <f ca="1">IFERROR(__xludf.DUMMYFUNCTION("""COMPUTED_VALUE"""),"Burton Mere Wetlands (BMW) RSPB")</f>
        <v>Burton Mere Wetlands (BMW) RSPB</v>
      </c>
      <c r="H1637" s="22">
        <f ca="1">IFERROR(__xludf.DUMMYFUNCTION("""COMPUTED_VALUE"""),44791)</f>
        <v>44791</v>
      </c>
      <c r="I1637" s="23"/>
      <c r="J1637" s="24"/>
      <c r="K1637" s="25"/>
      <c r="L1637" s="27" t="str">
        <f ca="1">IFERROR(__xludf.DUMMYFUNCTION("""COMPUTED_VALUE"""),"closed")</f>
        <v>closed</v>
      </c>
      <c r="M1637" s="27"/>
      <c r="N1637" s="25" t="str">
        <f ca="1">IFERROR(__xludf.DUMMYFUNCTION("""COMPUTED_VALUE"""),"Accepted w/o circ")</f>
        <v>Accepted w/o circ</v>
      </c>
      <c r="O1637" s="28"/>
      <c r="P1637" s="25"/>
      <c r="Q1637" s="25"/>
      <c r="R1637" s="25"/>
      <c r="S1637" s="25"/>
      <c r="T1637" s="25"/>
      <c r="U1637" s="25"/>
      <c r="V1637" s="25"/>
      <c r="W1637" s="25"/>
      <c r="X1637" s="25"/>
      <c r="Y1637" s="25"/>
      <c r="Z1637" s="25"/>
      <c r="AA1637" s="25"/>
      <c r="AB1637" s="25"/>
      <c r="AC1637" s="25"/>
      <c r="AD1637" s="25"/>
      <c r="AE1637" s="25"/>
      <c r="AF1637" s="25"/>
      <c r="AG1637" s="25"/>
      <c r="AH1637" s="25"/>
      <c r="AI1637" s="25"/>
      <c r="AJ1637" s="25"/>
      <c r="AK1637" s="25"/>
      <c r="AL1637" s="25"/>
      <c r="AM1637" s="25"/>
      <c r="AN1637" s="25"/>
      <c r="AO1637" s="25"/>
      <c r="AP1637" s="25"/>
      <c r="AQ1637" s="25"/>
      <c r="AR1637" s="25"/>
      <c r="AS1637" s="25"/>
      <c r="AT1637" s="25"/>
      <c r="AU1637" s="25"/>
      <c r="AV1637" s="25"/>
      <c r="AW1637" s="25"/>
      <c r="AX1637" s="25"/>
      <c r="AY1637" s="25"/>
      <c r="AZ1637" s="25"/>
      <c r="BA1637" s="25"/>
      <c r="BB1637" s="25"/>
      <c r="BC1637" s="25"/>
      <c r="BD1637" s="25"/>
      <c r="BE1637" s="25"/>
      <c r="BF1637" s="25"/>
      <c r="BG1637" s="25"/>
      <c r="BH1637" s="25"/>
      <c r="BI1637" s="25"/>
      <c r="BJ1637" s="25"/>
      <c r="BK1637" s="25"/>
      <c r="BL1637" s="25"/>
      <c r="BM1637" s="25"/>
      <c r="BN1637" s="25"/>
      <c r="BO1637" s="25"/>
      <c r="BP1637" s="25"/>
      <c r="BQ1637" s="25"/>
      <c r="BR1637" s="25"/>
      <c r="BS1637" s="25"/>
      <c r="BT1637" s="25"/>
      <c r="BU1637" s="25"/>
      <c r="BV1637" s="25"/>
      <c r="BW1637" s="25"/>
      <c r="BX1637" s="25"/>
      <c r="BY1637" s="25"/>
      <c r="BZ1637" s="25"/>
      <c r="CA1637" s="25"/>
      <c r="CB1637" s="25"/>
    </row>
    <row r="1638" spans="1:80" ht="12.75" hidden="1" customHeight="1">
      <c r="A1638" s="10">
        <f ca="1">IFERROR(__xludf.DUMMYFUNCTION("""COMPUTED_VALUE"""),2022)</f>
        <v>2022</v>
      </c>
      <c r="B1638" s="50">
        <f ca="1">IFERROR(__xludf.DUMMYFUNCTION("""COMPUTED_VALUE"""),44856)</f>
        <v>44856</v>
      </c>
      <c r="C1638" s="41"/>
      <c r="D1638" s="42" t="str">
        <f ca="1">IFERROR(__xludf.DUMMYFUNCTION("""COMPUTED_VALUE"""),"Yellow-browed Warbler")</f>
        <v>Yellow-browed Warbler</v>
      </c>
      <c r="E1638" s="53">
        <f ca="1">IFERROR(__xludf.DUMMYFUNCTION("""COMPUTED_VALUE"""),1)</f>
        <v>1</v>
      </c>
      <c r="F1638" s="15"/>
      <c r="G1638" s="44" t="str">
        <f ca="1">IFERROR(__xludf.DUMMYFUNCTION("""COMPUTED_VALUE"""),"Meols (Roman Rd)")</f>
        <v>Meols (Roman Rd)</v>
      </c>
      <c r="H1638" s="12">
        <f ca="1">IFERROR(__xludf.DUMMYFUNCTION("""COMPUTED_VALUE"""),44856)</f>
        <v>44856</v>
      </c>
      <c r="I1638" s="13"/>
      <c r="J1638" s="14"/>
      <c r="K1638" s="15"/>
      <c r="L1638" s="17" t="str">
        <f ca="1">IFERROR(__xludf.DUMMYFUNCTION("""COMPUTED_VALUE"""),"limbo")</f>
        <v>limbo</v>
      </c>
      <c r="M1638" s="17"/>
      <c r="N1638" s="15" t="str">
        <f ca="1">IFERROR(__xludf.DUMMYFUNCTION("""COMPUTED_VALUE"""),"not submitted")</f>
        <v>not submitted</v>
      </c>
      <c r="O1638" s="18"/>
      <c r="P1638" s="15"/>
      <c r="Q1638" s="15"/>
      <c r="R1638" s="15"/>
      <c r="S1638" s="15"/>
      <c r="T1638" s="15"/>
      <c r="U1638" s="15"/>
      <c r="V1638" s="15"/>
      <c r="W1638" s="15"/>
      <c r="X1638" s="15"/>
      <c r="Y1638" s="15"/>
      <c r="Z1638" s="15"/>
      <c r="AA1638" s="15"/>
      <c r="AB1638" s="15"/>
      <c r="AC1638" s="15"/>
      <c r="AD1638" s="15"/>
      <c r="AE1638" s="15"/>
      <c r="AF1638" s="15"/>
      <c r="AG1638" s="15"/>
      <c r="AH1638" s="15"/>
      <c r="AI1638" s="15"/>
      <c r="AJ1638" s="15"/>
      <c r="AK1638" s="15"/>
      <c r="AL1638" s="15"/>
      <c r="AM1638" s="15"/>
      <c r="AN1638" s="15"/>
      <c r="AO1638" s="15"/>
      <c r="AP1638" s="15"/>
      <c r="AQ1638" s="15"/>
      <c r="AR1638" s="15"/>
      <c r="AS1638" s="15"/>
      <c r="AT1638" s="15"/>
      <c r="AU1638" s="15"/>
      <c r="AV1638" s="15"/>
      <c r="AW1638" s="15"/>
      <c r="AX1638" s="15"/>
      <c r="AY1638" s="15"/>
      <c r="AZ1638" s="15"/>
      <c r="BA1638" s="15"/>
      <c r="BB1638" s="15"/>
      <c r="BC1638" s="15"/>
      <c r="BD1638" s="15"/>
      <c r="BE1638" s="15"/>
      <c r="BF1638" s="15"/>
      <c r="BG1638" s="15"/>
      <c r="BH1638" s="15"/>
      <c r="BI1638" s="15"/>
      <c r="BJ1638" s="15"/>
      <c r="BK1638" s="15"/>
      <c r="BL1638" s="15"/>
      <c r="BM1638" s="15"/>
      <c r="BN1638" s="15"/>
      <c r="BO1638" s="15"/>
      <c r="BP1638" s="15"/>
      <c r="BQ1638" s="15"/>
      <c r="BR1638" s="15"/>
      <c r="BS1638" s="15"/>
      <c r="BT1638" s="15"/>
      <c r="BU1638" s="15"/>
      <c r="BV1638" s="15"/>
      <c r="BW1638" s="15"/>
      <c r="BX1638" s="15"/>
      <c r="BY1638" s="15"/>
      <c r="BZ1638" s="15"/>
      <c r="CA1638" s="15"/>
      <c r="CB1638" s="15"/>
    </row>
    <row r="1639" spans="1:80" ht="12.75" hidden="1" customHeight="1">
      <c r="A1639" s="20">
        <f ca="1">IFERROR(__xludf.DUMMYFUNCTION("""COMPUTED_VALUE"""),2022)</f>
        <v>2022</v>
      </c>
      <c r="B1639" s="45">
        <f ca="1">IFERROR(__xludf.DUMMYFUNCTION("""COMPUTED_VALUE"""),44857)</f>
        <v>44857</v>
      </c>
      <c r="C1639" s="46">
        <f ca="1">IFERROR(__xludf.DUMMYFUNCTION("""COMPUTED_VALUE"""),44857)</f>
        <v>44857</v>
      </c>
      <c r="D1639" s="47" t="str">
        <f ca="1">IFERROR(__xludf.DUMMYFUNCTION("""COMPUTED_VALUE"""),"Yellow-browed Warbler")</f>
        <v>Yellow-browed Warbler</v>
      </c>
      <c r="E1639" s="52">
        <f ca="1">IFERROR(__xludf.DUMMYFUNCTION("""COMPUTED_VALUE"""),1)</f>
        <v>1</v>
      </c>
      <c r="F1639" s="25"/>
      <c r="G1639" s="48" t="str">
        <f ca="1">IFERROR(__xludf.DUMMYFUNCTION("""COMPUTED_VALUE"""),"Leasowe, Gunsight")</f>
        <v>Leasowe, Gunsight</v>
      </c>
      <c r="H1639" s="22">
        <f ca="1">IFERROR(__xludf.DUMMYFUNCTION("""COMPUTED_VALUE"""),44857)</f>
        <v>44857</v>
      </c>
      <c r="I1639" s="23"/>
      <c r="J1639" s="24" t="str">
        <f ca="1">IFERROR(__xludf.DUMMYFUNCTION("""COMPUTED_VALUE"""),"Tom Giles")</f>
        <v>Tom Giles</v>
      </c>
      <c r="K1639" s="25" t="str">
        <f ca="1">IFERROR(__xludf.DUMMYFUNCTION("""COMPUTED_VALUE"""),"Tom Giles")</f>
        <v>Tom Giles</v>
      </c>
      <c r="L1639" s="27" t="str">
        <f ca="1">IFERROR(__xludf.DUMMYFUNCTION("""COMPUTED_VALUE"""),"open")</f>
        <v>open</v>
      </c>
      <c r="M1639" s="27"/>
      <c r="N1639" s="25" t="str">
        <f ca="1">IFERROR(__xludf.DUMMYFUNCTION("""COMPUTED_VALUE"""),"Accepted")</f>
        <v>Accepted</v>
      </c>
      <c r="O1639" s="28"/>
      <c r="P1639" s="25"/>
      <c r="Q1639" s="25"/>
      <c r="R1639" s="25"/>
      <c r="S1639" s="25"/>
      <c r="T1639" s="25"/>
      <c r="U1639" s="25"/>
      <c r="V1639" s="25"/>
      <c r="W1639" s="25"/>
      <c r="X1639" s="25"/>
      <c r="Y1639" s="25"/>
      <c r="Z1639" s="25"/>
      <c r="AA1639" s="25"/>
      <c r="AB1639" s="25"/>
      <c r="AC1639" s="25"/>
      <c r="AD1639" s="25"/>
      <c r="AE1639" s="25"/>
      <c r="AF1639" s="25"/>
      <c r="AG1639" s="25"/>
      <c r="AH1639" s="25"/>
      <c r="AI1639" s="25"/>
      <c r="AJ1639" s="25"/>
      <c r="AK1639" s="25"/>
      <c r="AL1639" s="25"/>
      <c r="AM1639" s="25"/>
      <c r="AN1639" s="25"/>
      <c r="AO1639" s="25"/>
      <c r="AP1639" s="25"/>
      <c r="AQ1639" s="25"/>
      <c r="AR1639" s="25"/>
      <c r="AS1639" s="25"/>
      <c r="AT1639" s="25"/>
      <c r="AU1639" s="25"/>
      <c r="AV1639" s="25"/>
      <c r="AW1639" s="25"/>
      <c r="AX1639" s="25"/>
      <c r="AY1639" s="25"/>
      <c r="AZ1639" s="25"/>
      <c r="BA1639" s="25"/>
      <c r="BB1639" s="25"/>
      <c r="BC1639" s="25"/>
      <c r="BD1639" s="25"/>
      <c r="BE1639" s="25"/>
      <c r="BF1639" s="25"/>
      <c r="BG1639" s="25"/>
      <c r="BH1639" s="25"/>
      <c r="BI1639" s="25"/>
      <c r="BJ1639" s="25"/>
      <c r="BK1639" s="25"/>
      <c r="BL1639" s="25"/>
      <c r="BM1639" s="25"/>
      <c r="BN1639" s="25"/>
      <c r="BO1639" s="25"/>
      <c r="BP1639" s="25"/>
      <c r="BQ1639" s="25"/>
      <c r="BR1639" s="25"/>
      <c r="BS1639" s="25"/>
      <c r="BT1639" s="25"/>
      <c r="BU1639" s="25"/>
      <c r="BV1639" s="25"/>
      <c r="BW1639" s="25"/>
      <c r="BX1639" s="25"/>
      <c r="BY1639" s="25"/>
      <c r="BZ1639" s="25"/>
      <c r="CA1639" s="25"/>
      <c r="CB1639" s="25"/>
    </row>
    <row r="1640" spans="1:80" ht="12.75" hidden="1" customHeight="1">
      <c r="A1640" s="10">
        <f ca="1">IFERROR(__xludf.DUMMYFUNCTION("""COMPUTED_VALUE"""),2022)</f>
        <v>2022</v>
      </c>
      <c r="B1640" s="50">
        <f ca="1">IFERROR(__xludf.DUMMYFUNCTION("""COMPUTED_VALUE"""),44599)</f>
        <v>44599</v>
      </c>
      <c r="C1640" s="41">
        <f ca="1">IFERROR(__xludf.DUMMYFUNCTION("""COMPUTED_VALUE"""),44599)</f>
        <v>44599</v>
      </c>
      <c r="D1640" s="42" t="str">
        <f ca="1">IFERROR(__xludf.DUMMYFUNCTION("""COMPUTED_VALUE"""),"Siberian Chiffchaff [tristis race]")</f>
        <v>Siberian Chiffchaff [tristis race]</v>
      </c>
      <c r="E1640" s="53" t="str">
        <f ca="1">IFERROR(__xludf.DUMMYFUNCTION("""COMPUTED_VALUE"""),"1 or 2")</f>
        <v>1 or 2</v>
      </c>
      <c r="F1640" s="15"/>
      <c r="G1640" s="44" t="str">
        <f ca="1">IFERROR(__xludf.DUMMYFUNCTION("""COMPUTED_VALUE"""),"Neston SF")</f>
        <v>Neston SF</v>
      </c>
      <c r="H1640" s="12">
        <f ca="1">IFERROR(__xludf.DUMMYFUNCTION("""COMPUTED_VALUE"""),44599)</f>
        <v>44599</v>
      </c>
      <c r="I1640" s="13"/>
      <c r="J1640" s="14"/>
      <c r="K1640" s="15"/>
      <c r="L1640" s="17" t="str">
        <f ca="1">IFERROR(__xludf.DUMMYFUNCTION("""COMPUTED_VALUE"""),"open")</f>
        <v>open</v>
      </c>
      <c r="M1640" s="17"/>
      <c r="N1640" s="15" t="str">
        <f ca="1">IFERROR(__xludf.DUMMYFUNCTION("""COMPUTED_VALUE"""),"in circulation")</f>
        <v>in circulation</v>
      </c>
      <c r="O1640" s="18" t="str">
        <f ca="1">IFERROR(__xludf.DUMMYFUNCTION("""COMPUTED_VALUE"""),"Photo, accept as Eastern")</f>
        <v>Photo, accept as Eastern</v>
      </c>
      <c r="P1640" s="15"/>
      <c r="Q1640" s="15"/>
      <c r="R1640" s="15"/>
      <c r="S1640" s="15"/>
      <c r="T1640" s="15"/>
      <c r="U1640" s="15"/>
      <c r="V1640" s="15"/>
      <c r="W1640" s="15"/>
      <c r="X1640" s="15"/>
      <c r="Y1640" s="15"/>
      <c r="Z1640" s="15"/>
      <c r="AA1640" s="15"/>
      <c r="AB1640" s="15"/>
      <c r="AC1640" s="15"/>
      <c r="AD1640" s="15"/>
      <c r="AE1640" s="15"/>
      <c r="AF1640" s="15"/>
      <c r="AG1640" s="15"/>
      <c r="AH1640" s="15"/>
      <c r="AI1640" s="15"/>
      <c r="AJ1640" s="15"/>
      <c r="AK1640" s="15"/>
      <c r="AL1640" s="15"/>
      <c r="AM1640" s="15"/>
      <c r="AN1640" s="15"/>
      <c r="AO1640" s="15"/>
      <c r="AP1640" s="15"/>
      <c r="AQ1640" s="15"/>
      <c r="AR1640" s="15"/>
      <c r="AS1640" s="15"/>
      <c r="AT1640" s="15"/>
      <c r="AU1640" s="15"/>
      <c r="AV1640" s="15"/>
      <c r="AW1640" s="15"/>
      <c r="AX1640" s="15"/>
      <c r="AY1640" s="15"/>
      <c r="AZ1640" s="15"/>
      <c r="BA1640" s="15"/>
      <c r="BB1640" s="15"/>
      <c r="BC1640" s="15"/>
      <c r="BD1640" s="15"/>
      <c r="BE1640" s="15"/>
      <c r="BF1640" s="15"/>
      <c r="BG1640" s="15"/>
      <c r="BH1640" s="15"/>
      <c r="BI1640" s="15"/>
      <c r="BJ1640" s="15"/>
      <c r="BK1640" s="15"/>
      <c r="BL1640" s="15"/>
      <c r="BM1640" s="15"/>
      <c r="BN1640" s="15"/>
      <c r="BO1640" s="15"/>
      <c r="BP1640" s="15"/>
      <c r="BQ1640" s="15"/>
      <c r="BR1640" s="15"/>
      <c r="BS1640" s="15"/>
      <c r="BT1640" s="15"/>
      <c r="BU1640" s="15"/>
      <c r="BV1640" s="15"/>
      <c r="BW1640" s="15"/>
      <c r="BX1640" s="15"/>
      <c r="BY1640" s="15"/>
      <c r="BZ1640" s="15"/>
      <c r="CA1640" s="15"/>
      <c r="CB1640" s="15"/>
    </row>
    <row r="1641" spans="1:80" ht="12.75" hidden="1" customHeight="1">
      <c r="A1641" s="20">
        <f ca="1">IFERROR(__xludf.DUMMYFUNCTION("""COMPUTED_VALUE"""),2022)</f>
        <v>2022</v>
      </c>
      <c r="B1641" s="45">
        <f ca="1">IFERROR(__xludf.DUMMYFUNCTION("""COMPUTED_VALUE"""),44625)</f>
        <v>44625</v>
      </c>
      <c r="C1641" s="46">
        <f ca="1">IFERROR(__xludf.DUMMYFUNCTION("""COMPUTED_VALUE"""),44625)</f>
        <v>44625</v>
      </c>
      <c r="D1641" s="47" t="str">
        <f ca="1">IFERROR(__xludf.DUMMYFUNCTION("""COMPUTED_VALUE"""),"Siberian Chiffchaff [tristis race]")</f>
        <v>Siberian Chiffchaff [tristis race]</v>
      </c>
      <c r="E1641" s="52">
        <f ca="1">IFERROR(__xludf.DUMMYFUNCTION("""COMPUTED_VALUE"""),1)</f>
        <v>1</v>
      </c>
      <c r="F1641" s="25"/>
      <c r="G1641" s="48" t="str">
        <f ca="1">IFERROR(__xludf.DUMMYFUNCTION("""COMPUTED_VALUE"""),"Parkgate")</f>
        <v>Parkgate</v>
      </c>
      <c r="H1641" s="22">
        <f ca="1">IFERROR(__xludf.DUMMYFUNCTION("""COMPUTED_VALUE"""),44621)</f>
        <v>44621</v>
      </c>
      <c r="I1641" s="23"/>
      <c r="J1641" s="24"/>
      <c r="K1641" s="25"/>
      <c r="L1641" s="27" t="str">
        <f ca="1">IFERROR(__xludf.DUMMYFUNCTION("""COMPUTED_VALUE"""),"open")</f>
        <v>open</v>
      </c>
      <c r="M1641" s="27"/>
      <c r="N1641" s="25" t="str">
        <f ca="1">IFERROR(__xludf.DUMMYFUNCTION("""COMPUTED_VALUE"""),"in circulation")</f>
        <v>in circulation</v>
      </c>
      <c r="O1641" s="28" t="str">
        <f ca="1">IFERROR(__xludf.DUMMYFUNCTION("""COMPUTED_VALUE"""),"Photo, accept as Eastern")</f>
        <v>Photo, accept as Eastern</v>
      </c>
      <c r="P1641" s="25"/>
      <c r="Q1641" s="25"/>
      <c r="R1641" s="25"/>
      <c r="S1641" s="25"/>
      <c r="T1641" s="25"/>
      <c r="U1641" s="25"/>
      <c r="V1641" s="25"/>
      <c r="W1641" s="25"/>
      <c r="X1641" s="25"/>
      <c r="Y1641" s="25"/>
      <c r="Z1641" s="25"/>
      <c r="AA1641" s="25"/>
      <c r="AB1641" s="25"/>
      <c r="AC1641" s="25"/>
      <c r="AD1641" s="25"/>
      <c r="AE1641" s="25"/>
      <c r="AF1641" s="25"/>
      <c r="AG1641" s="25"/>
      <c r="AH1641" s="25"/>
      <c r="AI1641" s="25"/>
      <c r="AJ1641" s="25"/>
      <c r="AK1641" s="25"/>
      <c r="AL1641" s="25"/>
      <c r="AM1641" s="25"/>
      <c r="AN1641" s="25"/>
      <c r="AO1641" s="25"/>
      <c r="AP1641" s="25"/>
      <c r="AQ1641" s="25"/>
      <c r="AR1641" s="25"/>
      <c r="AS1641" s="25"/>
      <c r="AT1641" s="25"/>
      <c r="AU1641" s="25"/>
      <c r="AV1641" s="25"/>
      <c r="AW1641" s="25"/>
      <c r="AX1641" s="25"/>
      <c r="AY1641" s="25"/>
      <c r="AZ1641" s="25"/>
      <c r="BA1641" s="25"/>
      <c r="BB1641" s="25"/>
      <c r="BC1641" s="25"/>
      <c r="BD1641" s="25"/>
      <c r="BE1641" s="25"/>
      <c r="BF1641" s="25"/>
      <c r="BG1641" s="25"/>
      <c r="BH1641" s="25"/>
      <c r="BI1641" s="25"/>
      <c r="BJ1641" s="25"/>
      <c r="BK1641" s="25"/>
      <c r="BL1641" s="25"/>
      <c r="BM1641" s="25"/>
      <c r="BN1641" s="25"/>
      <c r="BO1641" s="25"/>
      <c r="BP1641" s="25"/>
      <c r="BQ1641" s="25"/>
      <c r="BR1641" s="25"/>
      <c r="BS1641" s="25"/>
      <c r="BT1641" s="25"/>
      <c r="BU1641" s="25"/>
      <c r="BV1641" s="25"/>
      <c r="BW1641" s="25"/>
      <c r="BX1641" s="25"/>
      <c r="BY1641" s="25"/>
      <c r="BZ1641" s="25"/>
      <c r="CA1641" s="25"/>
      <c r="CB1641" s="25"/>
    </row>
    <row r="1642" spans="1:80" ht="12.75" hidden="1" customHeight="1">
      <c r="A1642" s="10">
        <f ca="1">IFERROR(__xludf.DUMMYFUNCTION("""COMPUTED_VALUE"""),2022)</f>
        <v>2022</v>
      </c>
      <c r="B1642" s="50"/>
      <c r="C1642" s="41"/>
      <c r="D1642" s="42" t="str">
        <f ca="1">IFERROR(__xludf.DUMMYFUNCTION("""COMPUTED_VALUE"""),"Siberian Chiffchaff [tristis race]")</f>
        <v>Siberian Chiffchaff [tristis race]</v>
      </c>
      <c r="E1642" s="53">
        <f ca="1">IFERROR(__xludf.DUMMYFUNCTION("""COMPUTED_VALUE"""),1)</f>
        <v>1</v>
      </c>
      <c r="F1642" s="15"/>
      <c r="G1642" s="44" t="str">
        <f ca="1">IFERROR(__xludf.DUMMYFUNCTION("""COMPUTED_VALUE"""),"Leasowe")</f>
        <v>Leasowe</v>
      </c>
      <c r="H1642" s="12">
        <f ca="1">IFERROR(__xludf.DUMMYFUNCTION("""COMPUTED_VALUE"""),44868)</f>
        <v>44868</v>
      </c>
      <c r="I1642" s="12">
        <f ca="1">IFERROR(__xludf.DUMMYFUNCTION("""COMPUTED_VALUE"""),44869)</f>
        <v>44869</v>
      </c>
      <c r="J1642" s="14"/>
      <c r="K1642" s="15"/>
      <c r="L1642" s="17" t="str">
        <f ca="1">IFERROR(__xludf.DUMMYFUNCTION("""COMPUTED_VALUE"""),"closed")</f>
        <v>closed</v>
      </c>
      <c r="M1642" s="17" t="str">
        <f ca="1">IFERROR(__xludf.DUMMYFUNCTION("""COMPUTED_VALUE"""),"1st U")</f>
        <v>1st U</v>
      </c>
      <c r="N1642" s="15" t="str">
        <f ca="1">IFERROR(__xludf.DUMMYFUNCTION("""COMPUTED_VALUE"""),"Accepted")</f>
        <v>Accepted</v>
      </c>
      <c r="O1642" s="18" t="str">
        <f ca="1">IFERROR(__xludf.DUMMYFUNCTION("""COMPUTED_VALUE"""),"photo/sound recording")</f>
        <v>photo/sound recording</v>
      </c>
      <c r="P1642" s="15"/>
      <c r="Q1642" s="15"/>
      <c r="R1642" s="15"/>
      <c r="S1642" s="15"/>
      <c r="T1642" s="15"/>
      <c r="U1642" s="15"/>
      <c r="V1642" s="15"/>
      <c r="W1642" s="15"/>
      <c r="X1642" s="15"/>
      <c r="Y1642" s="15"/>
      <c r="Z1642" s="15"/>
      <c r="AA1642" s="15"/>
      <c r="AB1642" s="15"/>
      <c r="AC1642" s="15"/>
      <c r="AD1642" s="15"/>
      <c r="AE1642" s="15"/>
      <c r="AF1642" s="15"/>
      <c r="AG1642" s="15"/>
      <c r="AH1642" s="15"/>
      <c r="AI1642" s="15"/>
      <c r="AJ1642" s="15"/>
      <c r="AK1642" s="15"/>
      <c r="AL1642" s="15"/>
      <c r="AM1642" s="15"/>
      <c r="AN1642" s="15"/>
      <c r="AO1642" s="15"/>
      <c r="AP1642" s="15"/>
      <c r="AQ1642" s="15"/>
      <c r="AR1642" s="15"/>
      <c r="AS1642" s="15"/>
      <c r="AT1642" s="15"/>
      <c r="AU1642" s="15"/>
      <c r="AV1642" s="15"/>
      <c r="AW1642" s="15"/>
      <c r="AX1642" s="15"/>
      <c r="AY1642" s="15"/>
      <c r="AZ1642" s="15"/>
      <c r="BA1642" s="15"/>
      <c r="BB1642" s="15"/>
      <c r="BC1642" s="15"/>
      <c r="BD1642" s="15"/>
      <c r="BE1642" s="15"/>
      <c r="BF1642" s="15"/>
      <c r="BG1642" s="15"/>
      <c r="BH1642" s="15"/>
      <c r="BI1642" s="15"/>
      <c r="BJ1642" s="15"/>
      <c r="BK1642" s="15"/>
      <c r="BL1642" s="15"/>
      <c r="BM1642" s="15"/>
      <c r="BN1642" s="15"/>
      <c r="BO1642" s="15"/>
      <c r="BP1642" s="15"/>
      <c r="BQ1642" s="15"/>
      <c r="BR1642" s="15"/>
      <c r="BS1642" s="15"/>
      <c r="BT1642" s="15"/>
      <c r="BU1642" s="15"/>
      <c r="BV1642" s="15"/>
      <c r="BW1642" s="15"/>
      <c r="BX1642" s="15"/>
      <c r="BY1642" s="15"/>
      <c r="BZ1642" s="15"/>
      <c r="CA1642" s="15"/>
      <c r="CB1642" s="15"/>
    </row>
    <row r="1643" spans="1:80" ht="12.75" hidden="1" customHeight="1">
      <c r="A1643" s="20">
        <f ca="1">IFERROR(__xludf.DUMMYFUNCTION("""COMPUTED_VALUE"""),2022)</f>
        <v>2022</v>
      </c>
      <c r="B1643" s="45"/>
      <c r="C1643" s="46"/>
      <c r="D1643" s="47" t="str">
        <f ca="1">IFERROR(__xludf.DUMMYFUNCTION("""COMPUTED_VALUE"""),"Siberian Chiffchaff [tristis race]")</f>
        <v>Siberian Chiffchaff [tristis race]</v>
      </c>
      <c r="E1643" s="52">
        <f ca="1">IFERROR(__xludf.DUMMYFUNCTION("""COMPUTED_VALUE"""),1)</f>
        <v>1</v>
      </c>
      <c r="F1643" s="25"/>
      <c r="G1643" s="48" t="str">
        <f ca="1">IFERROR(__xludf.DUMMYFUNCTION("""COMPUTED_VALUE"""),"Woolston")</f>
        <v>Woolston</v>
      </c>
      <c r="H1643" s="22">
        <f ca="1">IFERROR(__xludf.DUMMYFUNCTION("""COMPUTED_VALUE"""),44884)</f>
        <v>44884</v>
      </c>
      <c r="I1643" s="23"/>
      <c r="J1643" s="24"/>
      <c r="K1643" s="25"/>
      <c r="L1643" s="27"/>
      <c r="M1643" s="27"/>
      <c r="N1643" s="25"/>
      <c r="O1643" s="28" t="str">
        <f ca="1">IFERROR(__xludf.DUMMYFUNCTION("""COMPUTED_VALUE"""),"trapped photo")</f>
        <v>trapped photo</v>
      </c>
      <c r="P1643" s="25"/>
      <c r="Q1643" s="25"/>
      <c r="R1643" s="25"/>
      <c r="S1643" s="25"/>
      <c r="T1643" s="25"/>
      <c r="U1643" s="25"/>
      <c r="V1643" s="25"/>
      <c r="W1643" s="25"/>
      <c r="X1643" s="25"/>
      <c r="Y1643" s="25"/>
      <c r="Z1643" s="25"/>
      <c r="AA1643" s="25"/>
      <c r="AB1643" s="25"/>
      <c r="AC1643" s="25"/>
      <c r="AD1643" s="25"/>
      <c r="AE1643" s="25"/>
      <c r="AF1643" s="25"/>
      <c r="AG1643" s="25"/>
      <c r="AH1643" s="25"/>
      <c r="AI1643" s="25"/>
      <c r="AJ1643" s="25"/>
      <c r="AK1643" s="25"/>
      <c r="AL1643" s="25"/>
      <c r="AM1643" s="25"/>
      <c r="AN1643" s="25"/>
      <c r="AO1643" s="25"/>
      <c r="AP1643" s="25"/>
      <c r="AQ1643" s="25"/>
      <c r="AR1643" s="25"/>
      <c r="AS1643" s="25"/>
      <c r="AT1643" s="25"/>
      <c r="AU1643" s="25"/>
      <c r="AV1643" s="25"/>
      <c r="AW1643" s="25"/>
      <c r="AX1643" s="25"/>
      <c r="AY1643" s="25"/>
      <c r="AZ1643" s="25"/>
      <c r="BA1643" s="25"/>
      <c r="BB1643" s="25"/>
      <c r="BC1643" s="25"/>
      <c r="BD1643" s="25"/>
      <c r="BE1643" s="25"/>
      <c r="BF1643" s="25"/>
      <c r="BG1643" s="25"/>
      <c r="BH1643" s="25"/>
      <c r="BI1643" s="25"/>
      <c r="BJ1643" s="25"/>
      <c r="BK1643" s="25"/>
      <c r="BL1643" s="25"/>
      <c r="BM1643" s="25"/>
      <c r="BN1643" s="25"/>
      <c r="BO1643" s="25"/>
      <c r="BP1643" s="25"/>
      <c r="BQ1643" s="25"/>
      <c r="BR1643" s="25"/>
      <c r="BS1643" s="25"/>
      <c r="BT1643" s="25"/>
      <c r="BU1643" s="25"/>
      <c r="BV1643" s="25"/>
      <c r="BW1643" s="25"/>
      <c r="BX1643" s="25"/>
      <c r="BY1643" s="25"/>
      <c r="BZ1643" s="25"/>
      <c r="CA1643" s="25"/>
      <c r="CB1643" s="25"/>
    </row>
    <row r="1644" spans="1:80" ht="12.75" hidden="1" customHeight="1">
      <c r="A1644" s="10">
        <f ca="1">IFERROR(__xludf.DUMMYFUNCTION("""COMPUTED_VALUE"""),2022)</f>
        <v>2022</v>
      </c>
      <c r="B1644" s="50">
        <f ca="1">IFERROR(__xludf.DUMMYFUNCTION("""COMPUTED_VALUE"""),44686)</f>
        <v>44686</v>
      </c>
      <c r="C1644" s="41"/>
      <c r="D1644" s="42" t="str">
        <f ca="1">IFERROR(__xludf.DUMMYFUNCTION("""COMPUTED_VALUE"""),"Iberian Chiffchaff")</f>
        <v>Iberian Chiffchaff</v>
      </c>
      <c r="E1644" s="53">
        <f ca="1">IFERROR(__xludf.DUMMYFUNCTION("""COMPUTED_VALUE"""),1)</f>
        <v>1</v>
      </c>
      <c r="F1644" s="15"/>
      <c r="G1644" s="44" t="str">
        <f ca="1">IFERROR(__xludf.DUMMYFUNCTION("""COMPUTED_VALUE"""),"Hoylake")</f>
        <v>Hoylake</v>
      </c>
      <c r="H1644" s="12">
        <f ca="1">IFERROR(__xludf.DUMMYFUNCTION("""COMPUTED_VALUE"""),44662)</f>
        <v>44662</v>
      </c>
      <c r="I1644" s="13"/>
      <c r="J1644" s="14"/>
      <c r="K1644" s="15"/>
      <c r="L1644" s="17" t="str">
        <f ca="1">IFERROR(__xludf.DUMMYFUNCTION("""COMPUTED_VALUE"""),"open")</f>
        <v>open</v>
      </c>
      <c r="M1644" s="17"/>
      <c r="N1644" s="15" t="str">
        <f ca="1">IFERROR(__xludf.DUMMYFUNCTION("""COMPUTED_VALUE"""),"BBRC-PEND")</f>
        <v>BBRC-PEND</v>
      </c>
      <c r="O1644" s="18" t="str">
        <f ca="1">IFERROR(__xludf.DUMMYFUNCTION("""COMPUTED_VALUE"""),"Trapped    ")</f>
        <v xml:space="preserve">Trapped    </v>
      </c>
      <c r="P1644" s="15"/>
      <c r="Q1644" s="15"/>
      <c r="R1644" s="15"/>
      <c r="S1644" s="15"/>
      <c r="T1644" s="15"/>
      <c r="U1644" s="15"/>
      <c r="V1644" s="15"/>
      <c r="W1644" s="15"/>
      <c r="X1644" s="15"/>
      <c r="Y1644" s="15"/>
      <c r="Z1644" s="15"/>
      <c r="AA1644" s="15"/>
      <c r="AB1644" s="15"/>
      <c r="AC1644" s="15"/>
      <c r="AD1644" s="15"/>
      <c r="AE1644" s="15"/>
      <c r="AF1644" s="15"/>
      <c r="AG1644" s="15"/>
      <c r="AH1644" s="15"/>
      <c r="AI1644" s="15"/>
      <c r="AJ1644" s="15"/>
      <c r="AK1644" s="15"/>
      <c r="AL1644" s="15"/>
      <c r="AM1644" s="15"/>
      <c r="AN1644" s="15"/>
      <c r="AO1644" s="15"/>
      <c r="AP1644" s="15"/>
      <c r="AQ1644" s="15"/>
      <c r="AR1644" s="15"/>
      <c r="AS1644" s="15"/>
      <c r="AT1644" s="15"/>
      <c r="AU1644" s="15"/>
      <c r="AV1644" s="15"/>
      <c r="AW1644" s="15"/>
      <c r="AX1644" s="15"/>
      <c r="AY1644" s="15"/>
      <c r="AZ1644" s="15"/>
      <c r="BA1644" s="15"/>
      <c r="BB1644" s="15"/>
      <c r="BC1644" s="15"/>
      <c r="BD1644" s="15"/>
      <c r="BE1644" s="15"/>
      <c r="BF1644" s="15"/>
      <c r="BG1644" s="15"/>
      <c r="BH1644" s="15"/>
      <c r="BI1644" s="15"/>
      <c r="BJ1644" s="15"/>
      <c r="BK1644" s="15"/>
      <c r="BL1644" s="15"/>
      <c r="BM1644" s="15"/>
      <c r="BN1644" s="15"/>
      <c r="BO1644" s="15"/>
      <c r="BP1644" s="15"/>
      <c r="BQ1644" s="15"/>
      <c r="BR1644" s="15"/>
      <c r="BS1644" s="15"/>
      <c r="BT1644" s="15"/>
      <c r="BU1644" s="15"/>
      <c r="BV1644" s="15"/>
      <c r="BW1644" s="15"/>
      <c r="BX1644" s="15"/>
      <c r="BY1644" s="15"/>
      <c r="BZ1644" s="15"/>
      <c r="CA1644" s="15"/>
      <c r="CB1644" s="15"/>
    </row>
    <row r="1645" spans="1:80" ht="12.75" hidden="1" customHeight="1">
      <c r="A1645" s="20">
        <f ca="1">IFERROR(__xludf.DUMMYFUNCTION("""COMPUTED_VALUE"""),2022)</f>
        <v>2022</v>
      </c>
      <c r="B1645" s="45">
        <f ca="1">IFERROR(__xludf.DUMMYFUNCTION("""COMPUTED_VALUE"""),44685)</f>
        <v>44685</v>
      </c>
      <c r="C1645" s="46"/>
      <c r="D1645" s="47" t="str">
        <f ca="1">IFERROR(__xludf.DUMMYFUNCTION("""COMPUTED_VALUE"""),"Bluethroat")</f>
        <v>Bluethroat</v>
      </c>
      <c r="E1645" s="52">
        <f ca="1">IFERROR(__xludf.DUMMYFUNCTION("""COMPUTED_VALUE"""),1)</f>
        <v>1</v>
      </c>
      <c r="F1645" s="25" t="str">
        <f ca="1">IFERROR(__xludf.DUMMYFUNCTION("""COMPUTED_VALUE"""),"2nd CY m")</f>
        <v>2nd CY m</v>
      </c>
      <c r="G1645" s="48" t="str">
        <f ca="1">IFERROR(__xludf.DUMMYFUNCTION("""COMPUTED_VALUE"""),"Meols - Leasowe")</f>
        <v>Meols - Leasowe</v>
      </c>
      <c r="H1645" s="22">
        <f ca="1">IFERROR(__xludf.DUMMYFUNCTION("""COMPUTED_VALUE"""),44679)</f>
        <v>44679</v>
      </c>
      <c r="I1645" s="23"/>
      <c r="J1645" s="24" t="str">
        <f ca="1">IFERROR(__xludf.DUMMYFUNCTION("""COMPUTED_VALUE"""),"County recorder")</f>
        <v>County recorder</v>
      </c>
      <c r="K1645" s="25" t="str">
        <f ca="1">IFERROR(__xludf.DUMMYFUNCTION("""COMPUTED_VALUE"""),"Allan Conlin")</f>
        <v>Allan Conlin</v>
      </c>
      <c r="L1645" s="27" t="str">
        <f ca="1">IFERROR(__xludf.DUMMYFUNCTION("""COMPUTED_VALUE"""),"closed")</f>
        <v>closed</v>
      </c>
      <c r="M1645" s="27" t="str">
        <f ca="1">IFERROR(__xludf.DUMMYFUNCTION("""COMPUTED_VALUE"""),"Photo")</f>
        <v>Photo</v>
      </c>
      <c r="N1645" s="25" t="str">
        <f ca="1">IFERROR(__xludf.DUMMYFUNCTION("""COMPUTED_VALUE"""),"Accepted w/o circ")</f>
        <v>Accepted w/o circ</v>
      </c>
      <c r="O1645" s="28"/>
      <c r="P1645" s="25"/>
      <c r="Q1645" s="25"/>
      <c r="R1645" s="25"/>
      <c r="S1645" s="25"/>
      <c r="T1645" s="25"/>
      <c r="U1645" s="25"/>
      <c r="V1645" s="25"/>
      <c r="W1645" s="25"/>
      <c r="X1645" s="25"/>
      <c r="Y1645" s="25"/>
      <c r="Z1645" s="25"/>
      <c r="AA1645" s="25"/>
      <c r="AB1645" s="25"/>
      <c r="AC1645" s="25"/>
      <c r="AD1645" s="25"/>
      <c r="AE1645" s="25"/>
      <c r="AF1645" s="25"/>
      <c r="AG1645" s="25"/>
      <c r="AH1645" s="25"/>
      <c r="AI1645" s="25"/>
      <c r="AJ1645" s="25"/>
      <c r="AK1645" s="25"/>
      <c r="AL1645" s="25"/>
      <c r="AM1645" s="25"/>
      <c r="AN1645" s="25"/>
      <c r="AO1645" s="25"/>
      <c r="AP1645" s="25"/>
      <c r="AQ1645" s="25"/>
      <c r="AR1645" s="25"/>
      <c r="AS1645" s="25"/>
      <c r="AT1645" s="25"/>
      <c r="AU1645" s="25"/>
      <c r="AV1645" s="25"/>
      <c r="AW1645" s="25"/>
      <c r="AX1645" s="25"/>
      <c r="AY1645" s="25"/>
      <c r="AZ1645" s="25"/>
      <c r="BA1645" s="25"/>
      <c r="BB1645" s="25"/>
      <c r="BC1645" s="25"/>
      <c r="BD1645" s="25"/>
      <c r="BE1645" s="25"/>
      <c r="BF1645" s="25"/>
      <c r="BG1645" s="25"/>
      <c r="BH1645" s="25"/>
      <c r="BI1645" s="25"/>
      <c r="BJ1645" s="25"/>
      <c r="BK1645" s="25"/>
      <c r="BL1645" s="25"/>
      <c r="BM1645" s="25"/>
      <c r="BN1645" s="25"/>
      <c r="BO1645" s="25"/>
      <c r="BP1645" s="25"/>
      <c r="BQ1645" s="25"/>
      <c r="BR1645" s="25"/>
      <c r="BS1645" s="25"/>
      <c r="BT1645" s="25"/>
      <c r="BU1645" s="25"/>
      <c r="BV1645" s="25"/>
      <c r="BW1645" s="25"/>
      <c r="BX1645" s="25"/>
      <c r="BY1645" s="25"/>
      <c r="BZ1645" s="25"/>
      <c r="CA1645" s="25"/>
      <c r="CB1645" s="25"/>
    </row>
    <row r="1646" spans="1:80" ht="12.75" hidden="1" customHeight="1">
      <c r="A1646" s="10">
        <f ca="1">IFERROR(__xludf.DUMMYFUNCTION("""COMPUTED_VALUE"""),2022)</f>
        <v>2022</v>
      </c>
      <c r="B1646" s="50">
        <f ca="1">IFERROR(__xludf.DUMMYFUNCTION("""COMPUTED_VALUE"""),44685)</f>
        <v>44685</v>
      </c>
      <c r="C1646" s="41"/>
      <c r="D1646" s="42" t="str">
        <f ca="1">IFERROR(__xludf.DUMMYFUNCTION("""COMPUTED_VALUE"""),"Black Redstart")</f>
        <v>Black Redstart</v>
      </c>
      <c r="E1646" s="53">
        <f ca="1">IFERROR(__xludf.DUMMYFUNCTION("""COMPUTED_VALUE"""),1)</f>
        <v>1</v>
      </c>
      <c r="F1646" s="15" t="str">
        <f ca="1">IFERROR(__xludf.DUMMYFUNCTION("""COMPUTED_VALUE"""),"male")</f>
        <v>male</v>
      </c>
      <c r="G1646" s="44" t="str">
        <f ca="1">IFERROR(__xludf.DUMMYFUNCTION("""COMPUTED_VALUE"""),"Frodsham")</f>
        <v>Frodsham</v>
      </c>
      <c r="H1646" s="12">
        <f ca="1">IFERROR(__xludf.DUMMYFUNCTION("""COMPUTED_VALUE"""),44675)</f>
        <v>44675</v>
      </c>
      <c r="I1646" s="13"/>
      <c r="J1646" s="14" t="str">
        <f ca="1">IFERROR(__xludf.DUMMYFUNCTION("""COMPUTED_VALUE"""),"County Recorder")</f>
        <v>County Recorder</v>
      </c>
      <c r="K1646" s="15" t="str">
        <f ca="1">IFERROR(__xludf.DUMMYFUNCTION("""COMPUTED_VALUE"""),"tbd")</f>
        <v>tbd</v>
      </c>
      <c r="L1646" s="17" t="str">
        <f ca="1">IFERROR(__xludf.DUMMYFUNCTION("""COMPUTED_VALUE"""),"closed")</f>
        <v>closed</v>
      </c>
      <c r="M1646" s="17" t="str">
        <f ca="1">IFERROR(__xludf.DUMMYFUNCTION("""COMPUTED_VALUE"""),"Photo")</f>
        <v>Photo</v>
      </c>
      <c r="N1646" s="15" t="str">
        <f ca="1">IFERROR(__xludf.DUMMYFUNCTION("""COMPUTED_VALUE"""),"Accepted w/o circ")</f>
        <v>Accepted w/o circ</v>
      </c>
      <c r="O1646" s="18"/>
      <c r="P1646" s="15"/>
      <c r="Q1646" s="15"/>
      <c r="R1646" s="15"/>
      <c r="S1646" s="15"/>
      <c r="T1646" s="15"/>
      <c r="U1646" s="15"/>
      <c r="V1646" s="15"/>
      <c r="W1646" s="15"/>
      <c r="X1646" s="15"/>
      <c r="Y1646" s="15"/>
      <c r="Z1646" s="15"/>
      <c r="AA1646" s="15"/>
      <c r="AB1646" s="15"/>
      <c r="AC1646" s="15"/>
      <c r="AD1646" s="15"/>
      <c r="AE1646" s="15"/>
      <c r="AF1646" s="15"/>
      <c r="AG1646" s="15"/>
      <c r="AH1646" s="15"/>
      <c r="AI1646" s="15"/>
      <c r="AJ1646" s="15"/>
      <c r="AK1646" s="15"/>
      <c r="AL1646" s="15"/>
      <c r="AM1646" s="15"/>
      <c r="AN1646" s="15"/>
      <c r="AO1646" s="15"/>
      <c r="AP1646" s="15"/>
      <c r="AQ1646" s="15"/>
      <c r="AR1646" s="15"/>
      <c r="AS1646" s="15"/>
      <c r="AT1646" s="15"/>
      <c r="AU1646" s="15"/>
      <c r="AV1646" s="15"/>
      <c r="AW1646" s="15"/>
      <c r="AX1646" s="15"/>
      <c r="AY1646" s="15"/>
      <c r="AZ1646" s="15"/>
      <c r="BA1646" s="15"/>
      <c r="BB1646" s="15"/>
      <c r="BC1646" s="15"/>
      <c r="BD1646" s="15"/>
      <c r="BE1646" s="15"/>
      <c r="BF1646" s="15"/>
      <c r="BG1646" s="15"/>
      <c r="BH1646" s="15"/>
      <c r="BI1646" s="15"/>
      <c r="BJ1646" s="15"/>
      <c r="BK1646" s="15"/>
      <c r="BL1646" s="15"/>
      <c r="BM1646" s="15"/>
      <c r="BN1646" s="15"/>
      <c r="BO1646" s="15"/>
      <c r="BP1646" s="15"/>
      <c r="BQ1646" s="15"/>
      <c r="BR1646" s="15"/>
      <c r="BS1646" s="15"/>
      <c r="BT1646" s="15"/>
      <c r="BU1646" s="15"/>
      <c r="BV1646" s="15"/>
      <c r="BW1646" s="15"/>
      <c r="BX1646" s="15"/>
      <c r="BY1646" s="15"/>
      <c r="BZ1646" s="15"/>
      <c r="CA1646" s="15"/>
      <c r="CB1646" s="15"/>
    </row>
    <row r="1647" spans="1:80" ht="12.75" hidden="1" customHeight="1">
      <c r="A1647" s="20">
        <f ca="1">IFERROR(__xludf.DUMMYFUNCTION("""COMPUTED_VALUE"""),2022)</f>
        <v>2022</v>
      </c>
      <c r="B1647" s="45"/>
      <c r="C1647" s="46"/>
      <c r="D1647" s="47" t="str">
        <f ca="1">IFERROR(__xludf.DUMMYFUNCTION("""COMPUTED_VALUE"""),"Black Redstart")</f>
        <v>Black Redstart</v>
      </c>
      <c r="E1647" s="52">
        <f ca="1">IFERROR(__xludf.DUMMYFUNCTION("""COMPUTED_VALUE"""),1)</f>
        <v>1</v>
      </c>
      <c r="F1647" s="25" t="str">
        <f ca="1">IFERROR(__xludf.DUMMYFUNCTION("""COMPUTED_VALUE"""),"male")</f>
        <v>male</v>
      </c>
      <c r="G1647" s="48" t="str">
        <f ca="1">IFERROR(__xludf.DUMMYFUNCTION("""COMPUTED_VALUE"""),"Frodsham Marsh, Manchester Ship Canal")</f>
        <v>Frodsham Marsh, Manchester Ship Canal</v>
      </c>
      <c r="H1647" s="22">
        <f ca="1">IFERROR(__xludf.DUMMYFUNCTION("""COMPUTED_VALUE"""),44675)</f>
        <v>44675</v>
      </c>
      <c r="I1647" s="23"/>
      <c r="J1647" s="24" t="str">
        <f ca="1">IFERROR(__xludf.DUMMYFUNCTION("""COMPUTED_VALUE"""),"J.Jones")</f>
        <v>J.Jones</v>
      </c>
      <c r="K1647" s="25"/>
      <c r="L1647" s="27" t="str">
        <f ca="1">IFERROR(__xludf.DUMMYFUNCTION("""COMPUTED_VALUE"""),"open")</f>
        <v>open</v>
      </c>
      <c r="M1647" s="27" t="str">
        <f ca="1">IFERROR(__xludf.DUMMYFUNCTION("""COMPUTED_VALUE"""),"Photo")</f>
        <v>Photo</v>
      </c>
      <c r="N1647" s="25" t="str">
        <f ca="1">IFERROR(__xludf.DUMMYFUNCTION("""COMPUTED_VALUE"""),"Accepted w/o circ")</f>
        <v>Accepted w/o circ</v>
      </c>
      <c r="O1647" s="28"/>
      <c r="P1647" s="25"/>
      <c r="Q1647" s="25"/>
      <c r="R1647" s="25"/>
      <c r="S1647" s="25"/>
      <c r="T1647" s="25"/>
      <c r="U1647" s="25"/>
      <c r="V1647" s="25"/>
      <c r="W1647" s="25"/>
      <c r="X1647" s="25"/>
      <c r="Y1647" s="25"/>
      <c r="Z1647" s="25"/>
      <c r="AA1647" s="25"/>
      <c r="AB1647" s="25"/>
      <c r="AC1647" s="25"/>
      <c r="AD1647" s="25"/>
      <c r="AE1647" s="25"/>
      <c r="AF1647" s="25"/>
      <c r="AG1647" s="25"/>
      <c r="AH1647" s="25"/>
      <c r="AI1647" s="25"/>
      <c r="AJ1647" s="25"/>
      <c r="AK1647" s="25"/>
      <c r="AL1647" s="25"/>
      <c r="AM1647" s="25"/>
      <c r="AN1647" s="25"/>
      <c r="AO1647" s="25"/>
      <c r="AP1647" s="25"/>
      <c r="AQ1647" s="25"/>
      <c r="AR1647" s="25"/>
      <c r="AS1647" s="25"/>
      <c r="AT1647" s="25"/>
      <c r="AU1647" s="25"/>
      <c r="AV1647" s="25"/>
      <c r="AW1647" s="25"/>
      <c r="AX1647" s="25"/>
      <c r="AY1647" s="25"/>
      <c r="AZ1647" s="25"/>
      <c r="BA1647" s="25"/>
      <c r="BB1647" s="25"/>
      <c r="BC1647" s="25"/>
      <c r="BD1647" s="25"/>
      <c r="BE1647" s="25"/>
      <c r="BF1647" s="25"/>
      <c r="BG1647" s="25"/>
      <c r="BH1647" s="25"/>
      <c r="BI1647" s="25"/>
      <c r="BJ1647" s="25"/>
      <c r="BK1647" s="25"/>
      <c r="BL1647" s="25"/>
      <c r="BM1647" s="25"/>
      <c r="BN1647" s="25"/>
      <c r="BO1647" s="25"/>
      <c r="BP1647" s="25"/>
      <c r="BQ1647" s="25"/>
      <c r="BR1647" s="25"/>
      <c r="BS1647" s="25"/>
      <c r="BT1647" s="25"/>
      <c r="BU1647" s="25"/>
      <c r="BV1647" s="25"/>
      <c r="BW1647" s="25"/>
      <c r="BX1647" s="25"/>
      <c r="BY1647" s="25"/>
      <c r="BZ1647" s="25"/>
      <c r="CA1647" s="25"/>
      <c r="CB1647" s="25"/>
    </row>
    <row r="1648" spans="1:80" ht="12.75" hidden="1" customHeight="1">
      <c r="A1648" s="10">
        <f ca="1">IFERROR(__xludf.DUMMYFUNCTION("""COMPUTED_VALUE"""),2022)</f>
        <v>2022</v>
      </c>
      <c r="B1648" s="50"/>
      <c r="C1648" s="41"/>
      <c r="D1648" s="42" t="str">
        <f ca="1">IFERROR(__xludf.DUMMYFUNCTION("""COMPUTED_VALUE"""),"Black Redstart")</f>
        <v>Black Redstart</v>
      </c>
      <c r="E1648" s="53">
        <f ca="1">IFERROR(__xludf.DUMMYFUNCTION("""COMPUTED_VALUE"""),1)</f>
        <v>1</v>
      </c>
      <c r="F1648" s="15"/>
      <c r="G1648" s="44" t="str">
        <f ca="1">IFERROR(__xludf.DUMMYFUNCTION("""COMPUTED_VALUE"""),"Barnston")</f>
        <v>Barnston</v>
      </c>
      <c r="H1648" s="12">
        <f ca="1">IFERROR(__xludf.DUMMYFUNCTION("""COMPUTED_VALUE"""),44775)</f>
        <v>44775</v>
      </c>
      <c r="I1648" s="13"/>
      <c r="J1648" s="14"/>
      <c r="K1648" s="15"/>
      <c r="L1648" s="17" t="str">
        <f ca="1">IFERROR(__xludf.DUMMYFUNCTION("""COMPUTED_VALUE"""),"limbo")</f>
        <v>limbo</v>
      </c>
      <c r="M1648" s="17"/>
      <c r="N1648" s="15" t="str">
        <f ca="1">IFERROR(__xludf.DUMMYFUNCTION("""COMPUTED_VALUE"""),"not submitted")</f>
        <v>not submitted</v>
      </c>
      <c r="O1648" s="18"/>
      <c r="P1648" s="15"/>
      <c r="Q1648" s="15"/>
      <c r="R1648" s="15"/>
      <c r="S1648" s="15"/>
      <c r="T1648" s="15"/>
      <c r="U1648" s="15"/>
      <c r="V1648" s="15"/>
      <c r="W1648" s="15"/>
      <c r="X1648" s="15"/>
      <c r="Y1648" s="15"/>
      <c r="Z1648" s="15"/>
      <c r="AA1648" s="15"/>
      <c r="AB1648" s="15"/>
      <c r="AC1648" s="15"/>
      <c r="AD1648" s="15"/>
      <c r="AE1648" s="15"/>
      <c r="AF1648" s="15"/>
      <c r="AG1648" s="15"/>
      <c r="AH1648" s="15"/>
      <c r="AI1648" s="15"/>
      <c r="AJ1648" s="15"/>
      <c r="AK1648" s="15"/>
      <c r="AL1648" s="15"/>
      <c r="AM1648" s="15"/>
      <c r="AN1648" s="15"/>
      <c r="AO1648" s="15"/>
      <c r="AP1648" s="15"/>
      <c r="AQ1648" s="15"/>
      <c r="AR1648" s="15"/>
      <c r="AS1648" s="15"/>
      <c r="AT1648" s="15"/>
      <c r="AU1648" s="15"/>
      <c r="AV1648" s="15"/>
      <c r="AW1648" s="15"/>
      <c r="AX1648" s="15"/>
      <c r="AY1648" s="15"/>
      <c r="AZ1648" s="15"/>
      <c r="BA1648" s="15"/>
      <c r="BB1648" s="15"/>
      <c r="BC1648" s="15"/>
      <c r="BD1648" s="15"/>
      <c r="BE1648" s="15"/>
      <c r="BF1648" s="15"/>
      <c r="BG1648" s="15"/>
      <c r="BH1648" s="15"/>
      <c r="BI1648" s="15"/>
      <c r="BJ1648" s="15"/>
      <c r="BK1648" s="15"/>
      <c r="BL1648" s="15"/>
      <c r="BM1648" s="15"/>
      <c r="BN1648" s="15"/>
      <c r="BO1648" s="15"/>
      <c r="BP1648" s="15"/>
      <c r="BQ1648" s="15"/>
      <c r="BR1648" s="15"/>
      <c r="BS1648" s="15"/>
      <c r="BT1648" s="15"/>
      <c r="BU1648" s="15"/>
      <c r="BV1648" s="15"/>
      <c r="BW1648" s="15"/>
      <c r="BX1648" s="15"/>
      <c r="BY1648" s="15"/>
      <c r="BZ1648" s="15"/>
      <c r="CA1648" s="15"/>
      <c r="CB1648" s="15"/>
    </row>
    <row r="1649" spans="1:80" ht="12.75" hidden="1" customHeight="1">
      <c r="A1649" s="20">
        <f ca="1">IFERROR(__xludf.DUMMYFUNCTION("""COMPUTED_VALUE"""),2022)</f>
        <v>2022</v>
      </c>
      <c r="B1649" s="45">
        <f ca="1">IFERROR(__xludf.DUMMYFUNCTION("""COMPUTED_VALUE"""),44685)</f>
        <v>44685</v>
      </c>
      <c r="C1649" s="46"/>
      <c r="D1649" s="47" t="str">
        <f ca="1">IFERROR(__xludf.DUMMYFUNCTION("""COMPUTED_VALUE"""),"Richard's Pipit")</f>
        <v>Richard's Pipit</v>
      </c>
      <c r="E1649" s="52">
        <f ca="1">IFERROR(__xludf.DUMMYFUNCTION("""COMPUTED_VALUE"""),1)</f>
        <v>1</v>
      </c>
      <c r="F1649" s="25" t="str">
        <f ca="1">IFERROR(__xludf.DUMMYFUNCTION("""COMPUTED_VALUE"""),"2nd CY")</f>
        <v>2nd CY</v>
      </c>
      <c r="G1649" s="48" t="str">
        <f ca="1">IFERROR(__xludf.DUMMYFUNCTION("""COMPUTED_VALUE"""),"Hilbre")</f>
        <v>Hilbre</v>
      </c>
      <c r="H1649" s="22">
        <f ca="1">IFERROR(__xludf.DUMMYFUNCTION("""COMPUTED_VALUE"""),44677)</f>
        <v>44677</v>
      </c>
      <c r="I1649" s="23"/>
      <c r="J1649" s="24"/>
      <c r="K1649" s="25"/>
      <c r="L1649" s="27" t="str">
        <f ca="1">IFERROR(__xludf.DUMMYFUNCTION("""COMPUTED_VALUE"""),"open")</f>
        <v>open</v>
      </c>
      <c r="M1649" s="27"/>
      <c r="N1649" s="25" t="str">
        <f ca="1">IFERROR(__xludf.DUMMYFUNCTION("""COMPUTED_VALUE"""),"not submitted")</f>
        <v>not submitted</v>
      </c>
      <c r="O1649" s="28" t="str">
        <f ca="1">IFERROR(__xludf.DUMMYFUNCTION("""COMPUTED_VALUE"""),"trapped and photo - will be circulated soon if not submitted")</f>
        <v>trapped and photo - will be circulated soon if not submitted</v>
      </c>
      <c r="P1649" s="25"/>
      <c r="Q1649" s="25"/>
      <c r="R1649" s="25"/>
      <c r="S1649" s="25"/>
      <c r="T1649" s="25"/>
      <c r="U1649" s="25"/>
      <c r="V1649" s="25"/>
      <c r="W1649" s="25"/>
      <c r="X1649" s="25"/>
      <c r="Y1649" s="25"/>
      <c r="Z1649" s="25"/>
      <c r="AA1649" s="25"/>
      <c r="AB1649" s="25"/>
      <c r="AC1649" s="25"/>
      <c r="AD1649" s="25"/>
      <c r="AE1649" s="25"/>
      <c r="AF1649" s="25"/>
      <c r="AG1649" s="25"/>
      <c r="AH1649" s="25"/>
      <c r="AI1649" s="25"/>
      <c r="AJ1649" s="25"/>
      <c r="AK1649" s="25"/>
      <c r="AL1649" s="25"/>
      <c r="AM1649" s="25"/>
      <c r="AN1649" s="25"/>
      <c r="AO1649" s="25"/>
      <c r="AP1649" s="25"/>
      <c r="AQ1649" s="25"/>
      <c r="AR1649" s="25"/>
      <c r="AS1649" s="25"/>
      <c r="AT1649" s="25"/>
      <c r="AU1649" s="25"/>
      <c r="AV1649" s="25"/>
      <c r="AW1649" s="25"/>
      <c r="AX1649" s="25"/>
      <c r="AY1649" s="25"/>
      <c r="AZ1649" s="25"/>
      <c r="BA1649" s="25"/>
      <c r="BB1649" s="25"/>
      <c r="BC1649" s="25"/>
      <c r="BD1649" s="25"/>
      <c r="BE1649" s="25"/>
      <c r="BF1649" s="25"/>
      <c r="BG1649" s="25"/>
      <c r="BH1649" s="25"/>
      <c r="BI1649" s="25"/>
      <c r="BJ1649" s="25"/>
      <c r="BK1649" s="25"/>
      <c r="BL1649" s="25"/>
      <c r="BM1649" s="25"/>
      <c r="BN1649" s="25"/>
      <c r="BO1649" s="25"/>
      <c r="BP1649" s="25"/>
      <c r="BQ1649" s="25"/>
      <c r="BR1649" s="25"/>
      <c r="BS1649" s="25"/>
      <c r="BT1649" s="25"/>
      <c r="BU1649" s="25"/>
      <c r="BV1649" s="25"/>
      <c r="BW1649" s="25"/>
      <c r="BX1649" s="25"/>
      <c r="BY1649" s="25"/>
      <c r="BZ1649" s="25"/>
      <c r="CA1649" s="25"/>
      <c r="CB1649" s="25"/>
    </row>
    <row r="1650" spans="1:80" ht="12.75" hidden="1" customHeight="1">
      <c r="A1650" s="10">
        <f ca="1">IFERROR(__xludf.DUMMYFUNCTION("""COMPUTED_VALUE"""),2022)</f>
        <v>2022</v>
      </c>
      <c r="B1650" s="50">
        <f ca="1">IFERROR(__xludf.DUMMYFUNCTION("""COMPUTED_VALUE"""),45111)</f>
        <v>45111</v>
      </c>
      <c r="C1650" s="41"/>
      <c r="D1650" s="42" t="str">
        <f ca="1">IFERROR(__xludf.DUMMYFUNCTION("""COMPUTED_VALUE"""),"Common Redpoll")</f>
        <v>Common Redpoll</v>
      </c>
      <c r="E1650" s="53">
        <f ca="1">IFERROR(__xludf.DUMMYFUNCTION("""COMPUTED_VALUE"""),3)</f>
        <v>3</v>
      </c>
      <c r="F1650" s="15"/>
      <c r="G1650" s="44" t="str">
        <f ca="1">IFERROR(__xludf.DUMMYFUNCTION("""COMPUTED_VALUE"""),"Culcheth")</f>
        <v>Culcheth</v>
      </c>
      <c r="H1650" s="12">
        <f ca="1">IFERROR(__xludf.DUMMYFUNCTION("""COMPUTED_VALUE"""),44667)</f>
        <v>44667</v>
      </c>
      <c r="I1650" s="13"/>
      <c r="J1650" s="14"/>
      <c r="K1650" s="15"/>
      <c r="L1650" s="17" t="str">
        <f ca="1">IFERROR(__xludf.DUMMYFUNCTION("""COMPUTED_VALUE"""),"limbo")</f>
        <v>limbo</v>
      </c>
      <c r="M1650" s="17"/>
      <c r="N1650" s="15" t="str">
        <f ca="1">IFERROR(__xludf.DUMMYFUNCTION("""COMPUTED_VALUE"""),"not submitted")</f>
        <v>not submitted</v>
      </c>
      <c r="O1650" s="18"/>
      <c r="P1650" s="15"/>
      <c r="Q1650" s="15"/>
      <c r="R1650" s="15"/>
      <c r="S1650" s="15"/>
      <c r="T1650" s="15"/>
      <c r="U1650" s="15"/>
      <c r="V1650" s="15"/>
      <c r="W1650" s="15"/>
      <c r="X1650" s="15"/>
      <c r="Y1650" s="15"/>
      <c r="Z1650" s="15"/>
      <c r="AA1650" s="15"/>
      <c r="AB1650" s="15"/>
      <c r="AC1650" s="15"/>
      <c r="AD1650" s="15"/>
      <c r="AE1650" s="15"/>
      <c r="AF1650" s="15"/>
      <c r="AG1650" s="15"/>
      <c r="AH1650" s="15"/>
      <c r="AI1650" s="15"/>
      <c r="AJ1650" s="15"/>
      <c r="AK1650" s="15"/>
      <c r="AL1650" s="15"/>
      <c r="AM1650" s="15"/>
      <c r="AN1650" s="15"/>
      <c r="AO1650" s="15"/>
      <c r="AP1650" s="15"/>
      <c r="AQ1650" s="15"/>
      <c r="AR1650" s="15"/>
      <c r="AS1650" s="15"/>
      <c r="AT1650" s="15"/>
      <c r="AU1650" s="15"/>
      <c r="AV1650" s="15"/>
      <c r="AW1650" s="15"/>
      <c r="AX1650" s="15"/>
      <c r="AY1650" s="15"/>
      <c r="AZ1650" s="15"/>
      <c r="BA1650" s="15"/>
      <c r="BB1650" s="15"/>
      <c r="BC1650" s="15"/>
      <c r="BD1650" s="15"/>
      <c r="BE1650" s="15"/>
      <c r="BF1650" s="15"/>
      <c r="BG1650" s="15"/>
      <c r="BH1650" s="15"/>
      <c r="BI1650" s="15"/>
      <c r="BJ1650" s="15"/>
      <c r="BK1650" s="15"/>
      <c r="BL1650" s="15"/>
      <c r="BM1650" s="15"/>
      <c r="BN1650" s="15"/>
      <c r="BO1650" s="15"/>
      <c r="BP1650" s="15"/>
      <c r="BQ1650" s="15"/>
      <c r="BR1650" s="15"/>
      <c r="BS1650" s="15"/>
      <c r="BT1650" s="15"/>
      <c r="BU1650" s="15"/>
      <c r="BV1650" s="15"/>
      <c r="BW1650" s="15"/>
      <c r="BX1650" s="15"/>
      <c r="BY1650" s="15"/>
      <c r="BZ1650" s="15"/>
      <c r="CA1650" s="15"/>
      <c r="CB1650" s="15"/>
    </row>
    <row r="1651" spans="1:80" ht="12.75" hidden="1" customHeight="1">
      <c r="A1651" s="20">
        <f ca="1">IFERROR(__xludf.DUMMYFUNCTION("""COMPUTED_VALUE"""),2022)</f>
        <v>2022</v>
      </c>
      <c r="B1651" s="45">
        <f ca="1">IFERROR(__xludf.DUMMYFUNCTION("""COMPUTED_VALUE"""),44803)</f>
        <v>44803</v>
      </c>
      <c r="C1651" s="46">
        <f ca="1">IFERROR(__xludf.DUMMYFUNCTION("""COMPUTED_VALUE"""),44796)</f>
        <v>44796</v>
      </c>
      <c r="D1651" s="47" t="str">
        <f ca="1">IFERROR(__xludf.DUMMYFUNCTION("""COMPUTED_VALUE"""),"Lapland Bunting")</f>
        <v>Lapland Bunting</v>
      </c>
      <c r="E1651" s="52">
        <f ca="1">IFERROR(__xludf.DUMMYFUNCTION("""COMPUTED_VALUE"""),1)</f>
        <v>1</v>
      </c>
      <c r="F1651" s="25"/>
      <c r="G1651" s="48" t="str">
        <f ca="1">IFERROR(__xludf.DUMMYFUNCTION("""COMPUTED_VALUE"""),"Hale Shore")</f>
        <v>Hale Shore</v>
      </c>
      <c r="H1651" s="22">
        <f ca="1">IFERROR(__xludf.DUMMYFUNCTION("""COMPUTED_VALUE"""),44856)</f>
        <v>44856</v>
      </c>
      <c r="I1651" s="23"/>
      <c r="J1651" s="24" t="str">
        <f ca="1">IFERROR(__xludf.DUMMYFUNCTION("""COMPUTED_VALUE"""),"Cockbain, RP&amp;CA")</f>
        <v>Cockbain, RP&amp;CA</v>
      </c>
      <c r="K1651" s="25" t="str">
        <f ca="1">IFERROR(__xludf.DUMMYFUNCTION("""COMPUTED_VALUE"""),"Cockbain, RP&amp;CA")</f>
        <v>Cockbain, RP&amp;CA</v>
      </c>
      <c r="L1651" s="27" t="str">
        <f ca="1">IFERROR(__xludf.DUMMYFUNCTION("""COMPUTED_VALUE"""),"closed")</f>
        <v>closed</v>
      </c>
      <c r="M1651" s="27" t="str">
        <f ca="1">IFERROR(__xludf.DUMMYFUNCTION("""COMPUTED_VALUE"""),"1st U")</f>
        <v>1st U</v>
      </c>
      <c r="N1651" s="25" t="str">
        <f ca="1">IFERROR(__xludf.DUMMYFUNCTION("""COMPUTED_VALUE"""),"accepted")</f>
        <v>accepted</v>
      </c>
      <c r="O1651" s="28"/>
      <c r="P1651" s="25"/>
      <c r="Q1651" s="25"/>
      <c r="R1651" s="25"/>
      <c r="S1651" s="25"/>
      <c r="T1651" s="25"/>
      <c r="U1651" s="25"/>
      <c r="V1651" s="25"/>
      <c r="W1651" s="25"/>
      <c r="X1651" s="25"/>
      <c r="Y1651" s="25"/>
      <c r="Z1651" s="25"/>
      <c r="AA1651" s="25"/>
      <c r="AB1651" s="25"/>
      <c r="AC1651" s="25"/>
      <c r="AD1651" s="25"/>
      <c r="AE1651" s="25"/>
      <c r="AF1651" s="25"/>
      <c r="AG1651" s="25"/>
      <c r="AH1651" s="25"/>
      <c r="AI1651" s="25"/>
      <c r="AJ1651" s="25"/>
      <c r="AK1651" s="25"/>
      <c r="AL1651" s="25"/>
      <c r="AM1651" s="25"/>
      <c r="AN1651" s="25"/>
      <c r="AO1651" s="25"/>
      <c r="AP1651" s="25"/>
      <c r="AQ1651" s="25"/>
      <c r="AR1651" s="25"/>
      <c r="AS1651" s="25"/>
      <c r="AT1651" s="25"/>
      <c r="AU1651" s="25"/>
      <c r="AV1651" s="25"/>
      <c r="AW1651" s="25"/>
      <c r="AX1651" s="25"/>
      <c r="AY1651" s="25"/>
      <c r="AZ1651" s="25"/>
      <c r="BA1651" s="25"/>
      <c r="BB1651" s="25"/>
      <c r="BC1651" s="25"/>
      <c r="BD1651" s="25"/>
      <c r="BE1651" s="25"/>
      <c r="BF1651" s="25"/>
      <c r="BG1651" s="25"/>
      <c r="BH1651" s="25"/>
      <c r="BI1651" s="25"/>
      <c r="BJ1651" s="25"/>
      <c r="BK1651" s="25"/>
      <c r="BL1651" s="25"/>
      <c r="BM1651" s="25"/>
      <c r="BN1651" s="25"/>
      <c r="BO1651" s="25"/>
      <c r="BP1651" s="25"/>
      <c r="BQ1651" s="25"/>
      <c r="BR1651" s="25"/>
      <c r="BS1651" s="25"/>
      <c r="BT1651" s="25"/>
      <c r="BU1651" s="25"/>
      <c r="BV1651" s="25"/>
      <c r="BW1651" s="25"/>
      <c r="BX1651" s="25"/>
      <c r="BY1651" s="25"/>
      <c r="BZ1651" s="25"/>
      <c r="CA1651" s="25"/>
      <c r="CB1651" s="25"/>
    </row>
    <row r="1652" spans="1:80" ht="12.75" hidden="1" customHeight="1">
      <c r="A1652" s="10">
        <f ca="1">IFERROR(__xludf.DUMMYFUNCTION("""COMPUTED_VALUE"""),2022)</f>
        <v>2022</v>
      </c>
      <c r="B1652" s="50"/>
      <c r="C1652" s="41"/>
      <c r="D1652" s="42" t="str">
        <f ca="1">IFERROR(__xludf.DUMMYFUNCTION("""COMPUTED_VALUE"""),"Snow Bunting")</f>
        <v>Snow Bunting</v>
      </c>
      <c r="E1652" s="53">
        <f ca="1">IFERROR(__xludf.DUMMYFUNCTION("""COMPUTED_VALUE"""),1)</f>
        <v>1</v>
      </c>
      <c r="F1652" s="15"/>
      <c r="G1652" s="44" t="str">
        <f ca="1">IFERROR(__xludf.DUMMYFUNCTION("""COMPUTED_VALUE"""),"Lyme Park, Disley")</f>
        <v>Lyme Park, Disley</v>
      </c>
      <c r="H1652" s="12">
        <f ca="1">IFERROR(__xludf.DUMMYFUNCTION("""COMPUTED_VALUE"""),44828)</f>
        <v>44828</v>
      </c>
      <c r="I1652" s="13"/>
      <c r="J1652" s="14"/>
      <c r="K1652" s="15"/>
      <c r="L1652" s="17" t="str">
        <f ca="1">IFERROR(__xludf.DUMMYFUNCTION("""COMPUTED_VALUE"""),"limbo")</f>
        <v>limbo</v>
      </c>
      <c r="M1652" s="17"/>
      <c r="N1652" s="15" t="str">
        <f ca="1">IFERROR(__xludf.DUMMYFUNCTION("""COMPUTED_VALUE"""),"not submitted")</f>
        <v>not submitted</v>
      </c>
      <c r="O1652" s="18"/>
      <c r="P1652" s="15"/>
      <c r="Q1652" s="15"/>
      <c r="R1652" s="15"/>
      <c r="S1652" s="15"/>
      <c r="T1652" s="15"/>
      <c r="U1652" s="15"/>
      <c r="V1652" s="15"/>
      <c r="W1652" s="15"/>
      <c r="X1652" s="15"/>
      <c r="Y1652" s="15"/>
      <c r="Z1652" s="15"/>
      <c r="AA1652" s="15"/>
      <c r="AB1652" s="15"/>
      <c r="AC1652" s="15"/>
      <c r="AD1652" s="15"/>
      <c r="AE1652" s="15"/>
      <c r="AF1652" s="15"/>
      <c r="AG1652" s="15"/>
      <c r="AH1652" s="15"/>
      <c r="AI1652" s="15"/>
      <c r="AJ1652" s="15"/>
      <c r="AK1652" s="15"/>
      <c r="AL1652" s="15"/>
      <c r="AM1652" s="15"/>
      <c r="AN1652" s="15"/>
      <c r="AO1652" s="15"/>
      <c r="AP1652" s="15"/>
      <c r="AQ1652" s="15"/>
      <c r="AR1652" s="15"/>
      <c r="AS1652" s="15"/>
      <c r="AT1652" s="15"/>
      <c r="AU1652" s="15"/>
      <c r="AV1652" s="15"/>
      <c r="AW1652" s="15"/>
      <c r="AX1652" s="15"/>
      <c r="AY1652" s="15"/>
      <c r="AZ1652" s="15"/>
      <c r="BA1652" s="15"/>
      <c r="BB1652" s="15"/>
      <c r="BC1652" s="15"/>
      <c r="BD1652" s="15"/>
      <c r="BE1652" s="15"/>
      <c r="BF1652" s="15"/>
      <c r="BG1652" s="15"/>
      <c r="BH1652" s="15"/>
      <c r="BI1652" s="15"/>
      <c r="BJ1652" s="15"/>
      <c r="BK1652" s="15"/>
      <c r="BL1652" s="15"/>
      <c r="BM1652" s="15"/>
      <c r="BN1652" s="15"/>
      <c r="BO1652" s="15"/>
      <c r="BP1652" s="15"/>
      <c r="BQ1652" s="15"/>
      <c r="BR1652" s="15"/>
      <c r="BS1652" s="15"/>
      <c r="BT1652" s="15"/>
      <c r="BU1652" s="15"/>
      <c r="BV1652" s="15"/>
      <c r="BW1652" s="15"/>
      <c r="BX1652" s="15"/>
      <c r="BY1652" s="15"/>
      <c r="BZ1652" s="15"/>
      <c r="CA1652" s="15"/>
      <c r="CB1652" s="15"/>
    </row>
    <row r="1653" spans="1:80" ht="12.75" hidden="1" customHeight="1">
      <c r="A1653" s="20">
        <f ca="1">IFERROR(__xludf.DUMMYFUNCTION("""COMPUTED_VALUE"""),2022)</f>
        <v>2022</v>
      </c>
      <c r="B1653" s="45">
        <f ca="1">IFERROR(__xludf.DUMMYFUNCTION("""COMPUTED_VALUE"""),45128)</f>
        <v>45128</v>
      </c>
      <c r="C1653" s="46"/>
      <c r="D1653" s="47" t="str">
        <f ca="1">IFERROR(__xludf.DUMMYFUNCTION("""COMPUTED_VALUE"""),"White-throated Sparrow")</f>
        <v>White-throated Sparrow</v>
      </c>
      <c r="E1653" s="52">
        <f ca="1">IFERROR(__xludf.DUMMYFUNCTION("""COMPUTED_VALUE"""),1)</f>
        <v>1</v>
      </c>
      <c r="F1653" s="25"/>
      <c r="G1653" s="48" t="str">
        <f ca="1">IFERROR(__xludf.DUMMYFUNCTION("""COMPUTED_VALUE"""),"Kingsmead")</f>
        <v>Kingsmead</v>
      </c>
      <c r="H1653" s="22">
        <f ca="1">IFERROR(__xludf.DUMMYFUNCTION("""COMPUTED_VALUE"""),44889)</f>
        <v>44889</v>
      </c>
      <c r="I1653" s="22">
        <f ca="1">IFERROR(__xludf.DUMMYFUNCTION("""COMPUTED_VALUE"""),44914)</f>
        <v>44914</v>
      </c>
      <c r="J1653" s="24"/>
      <c r="K1653" s="25"/>
      <c r="L1653" s="27" t="str">
        <f ca="1">IFERROR(__xludf.DUMMYFUNCTION("""COMPUTED_VALUE"""),"closed")</f>
        <v>closed</v>
      </c>
      <c r="M1653" s="27"/>
      <c r="N1653" s="25" t="str">
        <f ca="1">IFERROR(__xludf.DUMMYFUNCTION("""COMPUTED_VALUE"""),"BBRC-OK")</f>
        <v>BBRC-OK</v>
      </c>
      <c r="O1653" s="28"/>
      <c r="P1653" s="25"/>
      <c r="Q1653" s="25"/>
      <c r="R1653" s="25"/>
      <c r="S1653" s="25"/>
      <c r="T1653" s="25"/>
      <c r="U1653" s="25"/>
      <c r="V1653" s="25"/>
      <c r="W1653" s="25"/>
      <c r="X1653" s="25"/>
      <c r="Y1653" s="25"/>
      <c r="Z1653" s="25"/>
      <c r="AA1653" s="25"/>
      <c r="AB1653" s="25"/>
      <c r="AC1653" s="25"/>
      <c r="AD1653" s="25"/>
      <c r="AE1653" s="25"/>
      <c r="AF1653" s="25"/>
      <c r="AG1653" s="25"/>
      <c r="AH1653" s="25"/>
      <c r="AI1653" s="25"/>
      <c r="AJ1653" s="25"/>
      <c r="AK1653" s="25"/>
      <c r="AL1653" s="25"/>
      <c r="AM1653" s="25"/>
      <c r="AN1653" s="25"/>
      <c r="AO1653" s="25"/>
      <c r="AP1653" s="25"/>
      <c r="AQ1653" s="25"/>
      <c r="AR1653" s="25"/>
      <c r="AS1653" s="25"/>
      <c r="AT1653" s="25"/>
      <c r="AU1653" s="25"/>
      <c r="AV1653" s="25"/>
      <c r="AW1653" s="25"/>
      <c r="AX1653" s="25"/>
      <c r="AY1653" s="25"/>
      <c r="AZ1653" s="25"/>
      <c r="BA1653" s="25"/>
      <c r="BB1653" s="25"/>
      <c r="BC1653" s="25"/>
      <c r="BD1653" s="25"/>
      <c r="BE1653" s="25"/>
      <c r="BF1653" s="25"/>
      <c r="BG1653" s="25"/>
      <c r="BH1653" s="25"/>
      <c r="BI1653" s="25"/>
      <c r="BJ1653" s="25"/>
      <c r="BK1653" s="25"/>
      <c r="BL1653" s="25"/>
      <c r="BM1653" s="25"/>
      <c r="BN1653" s="25"/>
      <c r="BO1653" s="25"/>
      <c r="BP1653" s="25"/>
      <c r="BQ1653" s="25"/>
      <c r="BR1653" s="25"/>
      <c r="BS1653" s="25"/>
      <c r="BT1653" s="25"/>
      <c r="BU1653" s="25"/>
      <c r="BV1653" s="25"/>
      <c r="BW1653" s="25"/>
      <c r="BX1653" s="25"/>
      <c r="BY1653" s="25"/>
      <c r="BZ1653" s="25"/>
      <c r="CA1653" s="25"/>
      <c r="CB1653" s="25"/>
    </row>
    <row r="1654" spans="1:80" ht="12.75" hidden="1" customHeight="1">
      <c r="A1654" s="10">
        <f ca="1">IFERROR(__xludf.DUMMYFUNCTION("""COMPUTED_VALUE"""),2023)</f>
        <v>2023</v>
      </c>
      <c r="B1654" s="50">
        <f ca="1">IFERROR(__xludf.DUMMYFUNCTION("""COMPUTED_VALUE"""),45554)</f>
        <v>45554</v>
      </c>
      <c r="C1654" s="41">
        <f ca="1">IFERROR(__xludf.DUMMYFUNCTION("""COMPUTED_VALUE"""),45554)</f>
        <v>45554</v>
      </c>
      <c r="D1654" s="42" t="str">
        <f ca="1">IFERROR(__xludf.DUMMYFUNCTION("""COMPUTED_VALUE"""),"Green-winged Teal")</f>
        <v>Green-winged Teal</v>
      </c>
      <c r="E1654" s="53">
        <f ca="1">IFERROR(__xludf.DUMMYFUNCTION("""COMPUTED_VALUE"""),1)</f>
        <v>1</v>
      </c>
      <c r="F1654" s="15" t="str">
        <f ca="1">IFERROR(__xludf.DUMMYFUNCTION("""COMPUTED_VALUE"""),"m")</f>
        <v>m</v>
      </c>
      <c r="G1654" s="44" t="str">
        <f ca="1">IFERROR(__xludf.DUMMYFUNCTION("""COMPUTED_VALUE"""),"Heswall")</f>
        <v>Heswall</v>
      </c>
      <c r="H1654" s="12">
        <f ca="1">IFERROR(__xludf.DUMMYFUNCTION("""COMPUTED_VALUE"""),45030)</f>
        <v>45030</v>
      </c>
      <c r="I1654" s="12">
        <f ca="1">IFERROR(__xludf.DUMMYFUNCTION("""COMPUTED_VALUE"""),45046)</f>
        <v>45046</v>
      </c>
      <c r="J1654" s="14"/>
      <c r="K1654" s="15"/>
      <c r="L1654" s="17" t="str">
        <f ca="1">IFERROR(__xludf.DUMMYFUNCTION("""COMPUTED_VALUE"""),"closed")</f>
        <v>closed</v>
      </c>
      <c r="M1654" s="17"/>
      <c r="N1654" s="15" t="str">
        <f ca="1">IFERROR(__xludf.DUMMYFUNCTION("""COMPUTED_VALUE"""),"accepted")</f>
        <v>accepted</v>
      </c>
      <c r="O1654" s="18" t="str">
        <f ca="1">IFERROR(__xludf.DUMMYFUNCTION("""COMPUTED_VALUE"""),"multi-observed, photos")</f>
        <v>multi-observed, photos</v>
      </c>
      <c r="P1654" s="15"/>
      <c r="Q1654" s="15"/>
      <c r="R1654" s="15"/>
      <c r="S1654" s="15"/>
      <c r="T1654" s="15"/>
      <c r="U1654" s="15"/>
      <c r="V1654" s="15"/>
      <c r="W1654" s="15"/>
      <c r="X1654" s="15"/>
      <c r="Y1654" s="15"/>
      <c r="Z1654" s="15"/>
      <c r="AA1654" s="15"/>
      <c r="AB1654" s="15"/>
      <c r="AC1654" s="15"/>
      <c r="AD1654" s="15"/>
      <c r="AE1654" s="15"/>
      <c r="AF1654" s="15"/>
      <c r="AG1654" s="15"/>
      <c r="AH1654" s="15"/>
      <c r="AI1654" s="15"/>
      <c r="AJ1654" s="15"/>
      <c r="AK1654" s="15"/>
      <c r="AL1654" s="15"/>
      <c r="AM1654" s="15"/>
      <c r="AN1654" s="15"/>
      <c r="AO1654" s="15"/>
      <c r="AP1654" s="15"/>
      <c r="AQ1654" s="15"/>
      <c r="AR1654" s="15"/>
      <c r="AS1654" s="15"/>
      <c r="AT1654" s="15"/>
      <c r="AU1654" s="15"/>
      <c r="AV1654" s="15"/>
      <c r="AW1654" s="15"/>
      <c r="AX1654" s="15"/>
      <c r="AY1654" s="15"/>
      <c r="AZ1654" s="15"/>
      <c r="BA1654" s="15"/>
      <c r="BB1654" s="15"/>
      <c r="BC1654" s="15"/>
      <c r="BD1654" s="15"/>
      <c r="BE1654" s="15"/>
      <c r="BF1654" s="15"/>
      <c r="BG1654" s="15"/>
      <c r="BH1654" s="15"/>
      <c r="BI1654" s="15"/>
      <c r="BJ1654" s="15"/>
      <c r="BK1654" s="15"/>
      <c r="BL1654" s="15"/>
      <c r="BM1654" s="15"/>
      <c r="BN1654" s="15"/>
      <c r="BO1654" s="15"/>
      <c r="BP1654" s="15"/>
      <c r="BQ1654" s="15"/>
      <c r="BR1654" s="15"/>
      <c r="BS1654" s="15"/>
      <c r="BT1654" s="15"/>
      <c r="BU1654" s="15"/>
      <c r="BV1654" s="15"/>
      <c r="BW1654" s="15"/>
      <c r="BX1654" s="15"/>
      <c r="BY1654" s="15"/>
      <c r="BZ1654" s="15"/>
      <c r="CA1654" s="15"/>
      <c r="CB1654" s="15"/>
    </row>
    <row r="1655" spans="1:80" ht="12.75" hidden="1" customHeight="1">
      <c r="A1655" s="20">
        <f ca="1">IFERROR(__xludf.DUMMYFUNCTION("""COMPUTED_VALUE"""),2023)</f>
        <v>2023</v>
      </c>
      <c r="B1655" s="45">
        <f ca="1">IFERROR(__xludf.DUMMYFUNCTION("""COMPUTED_VALUE"""),45554)</f>
        <v>45554</v>
      </c>
      <c r="C1655" s="46"/>
      <c r="D1655" s="47" t="str">
        <f ca="1">IFERROR(__xludf.DUMMYFUNCTION("""COMPUTED_VALUE"""),"Green-winged Teal")</f>
        <v>Green-winged Teal</v>
      </c>
      <c r="E1655" s="52">
        <f ca="1">IFERROR(__xludf.DUMMYFUNCTION("""COMPUTED_VALUE"""),1)</f>
        <v>1</v>
      </c>
      <c r="F1655" s="25" t="str">
        <f ca="1">IFERROR(__xludf.DUMMYFUNCTION("""COMPUTED_VALUE"""),"m")</f>
        <v>m</v>
      </c>
      <c r="G1655" s="48" t="str">
        <f ca="1">IFERROR(__xludf.DUMMYFUNCTION("""COMPUTED_VALUE"""),"Frodsham")</f>
        <v>Frodsham</v>
      </c>
      <c r="H1655" s="22">
        <f ca="1">IFERROR(__xludf.DUMMYFUNCTION("""COMPUTED_VALUE"""),45037)</f>
        <v>45037</v>
      </c>
      <c r="I1655" s="22">
        <f ca="1">IFERROR(__xludf.DUMMYFUNCTION("""COMPUTED_VALUE"""),45041)</f>
        <v>45041</v>
      </c>
      <c r="J1655" s="24"/>
      <c r="K1655" s="25" t="str">
        <f ca="1">IFERROR(__xludf.DUMMYFUNCTION("""COMPUTED_VALUE"""),"tbd")</f>
        <v>tbd</v>
      </c>
      <c r="L1655" s="27" t="str">
        <f ca="1">IFERROR(__xludf.DUMMYFUNCTION("""COMPUTED_VALUE"""),"closed")</f>
        <v>closed</v>
      </c>
      <c r="M1655" s="27"/>
      <c r="N1655" s="25" t="str">
        <f ca="1">IFERROR(__xludf.DUMMYFUNCTION("""COMPUTED_VALUE"""),"accepted without circulation")</f>
        <v>accepted without circulation</v>
      </c>
      <c r="O1655" s="28" t="str">
        <f ca="1">IFERROR(__xludf.DUMMYFUNCTION("""COMPUTED_VALUE"""),"multi-observed, photos")</f>
        <v>multi-observed, photos</v>
      </c>
      <c r="P1655" s="25"/>
      <c r="Q1655" s="25"/>
      <c r="R1655" s="25"/>
      <c r="S1655" s="25"/>
      <c r="T1655" s="25"/>
      <c r="U1655" s="25"/>
      <c r="V1655" s="25"/>
      <c r="W1655" s="25"/>
      <c r="X1655" s="25"/>
      <c r="Y1655" s="25"/>
      <c r="Z1655" s="25"/>
      <c r="AA1655" s="25"/>
      <c r="AB1655" s="25"/>
      <c r="AC1655" s="25"/>
      <c r="AD1655" s="25"/>
      <c r="AE1655" s="25"/>
      <c r="AF1655" s="25"/>
      <c r="AG1655" s="25"/>
      <c r="AH1655" s="25"/>
      <c r="AI1655" s="25"/>
      <c r="AJ1655" s="25"/>
      <c r="AK1655" s="25"/>
      <c r="AL1655" s="25"/>
      <c r="AM1655" s="25"/>
      <c r="AN1655" s="25"/>
      <c r="AO1655" s="25"/>
      <c r="AP1655" s="25"/>
      <c r="AQ1655" s="25"/>
      <c r="AR1655" s="25"/>
      <c r="AS1655" s="25"/>
      <c r="AT1655" s="25"/>
      <c r="AU1655" s="25"/>
      <c r="AV1655" s="25"/>
      <c r="AW1655" s="25"/>
      <c r="AX1655" s="25"/>
      <c r="AY1655" s="25"/>
      <c r="AZ1655" s="25"/>
      <c r="BA1655" s="25"/>
      <c r="BB1655" s="25"/>
      <c r="BC1655" s="25"/>
      <c r="BD1655" s="25"/>
      <c r="BE1655" s="25"/>
      <c r="BF1655" s="25"/>
      <c r="BG1655" s="25"/>
      <c r="BH1655" s="25"/>
      <c r="BI1655" s="25"/>
      <c r="BJ1655" s="25"/>
      <c r="BK1655" s="25"/>
      <c r="BL1655" s="25"/>
      <c r="BM1655" s="25"/>
      <c r="BN1655" s="25"/>
      <c r="BO1655" s="25"/>
      <c r="BP1655" s="25"/>
      <c r="BQ1655" s="25"/>
      <c r="BR1655" s="25"/>
      <c r="BS1655" s="25"/>
      <c r="BT1655" s="25"/>
      <c r="BU1655" s="25"/>
      <c r="BV1655" s="25"/>
      <c r="BW1655" s="25"/>
      <c r="BX1655" s="25"/>
      <c r="BY1655" s="25"/>
      <c r="BZ1655" s="25"/>
      <c r="CA1655" s="25"/>
      <c r="CB1655" s="25"/>
    </row>
    <row r="1656" spans="1:80" ht="12.75" hidden="1" customHeight="1">
      <c r="A1656" s="10">
        <f ca="1">IFERROR(__xludf.DUMMYFUNCTION("""COMPUTED_VALUE"""),2023)</f>
        <v>2023</v>
      </c>
      <c r="B1656" s="50">
        <f ca="1">IFERROR(__xludf.DUMMYFUNCTION("""COMPUTED_VALUE"""),45557)</f>
        <v>45557</v>
      </c>
      <c r="C1656" s="41"/>
      <c r="D1656" s="42" t="str">
        <f ca="1">IFERROR(__xludf.DUMMYFUNCTION("""COMPUTED_VALUE"""),"White Stork")</f>
        <v>White Stork</v>
      </c>
      <c r="E1656" s="53">
        <f ca="1">IFERROR(__xludf.DUMMYFUNCTION("""COMPUTED_VALUE"""),1)</f>
        <v>1</v>
      </c>
      <c r="F1656" s="15"/>
      <c r="G1656" s="44" t="str">
        <f ca="1">IFERROR(__xludf.DUMMYFUNCTION("""COMPUTED_VALUE"""),"Arclid")</f>
        <v>Arclid</v>
      </c>
      <c r="H1656" s="12">
        <f ca="1">IFERROR(__xludf.DUMMYFUNCTION("""COMPUTED_VALUE"""),45097)</f>
        <v>45097</v>
      </c>
      <c r="I1656" s="13"/>
      <c r="J1656" s="14"/>
      <c r="K1656" s="15"/>
      <c r="L1656" s="17" t="str">
        <f ca="1">IFERROR(__xludf.DUMMYFUNCTION("""COMPUTED_VALUE"""),"closed")</f>
        <v>closed</v>
      </c>
      <c r="M1656" s="17"/>
      <c r="N1656" s="15" t="str">
        <f ca="1">IFERROR(__xludf.DUMMYFUNCTION("""COMPUTED_VALUE"""),"description not needed")</f>
        <v>description not needed</v>
      </c>
      <c r="O1656" s="18" t="str">
        <f ca="1">IFERROR(__xludf.DUMMYFUNCTION("""COMPUTED_VALUE"""),"presumed Feral")</f>
        <v>presumed Feral</v>
      </c>
      <c r="P1656" s="15"/>
      <c r="Q1656" s="15"/>
      <c r="R1656" s="15"/>
      <c r="S1656" s="15"/>
      <c r="T1656" s="15"/>
      <c r="U1656" s="15"/>
      <c r="V1656" s="15"/>
      <c r="W1656" s="15"/>
      <c r="X1656" s="15"/>
      <c r="Y1656" s="15"/>
      <c r="Z1656" s="15"/>
      <c r="AA1656" s="15"/>
      <c r="AB1656" s="15"/>
      <c r="AC1656" s="15"/>
      <c r="AD1656" s="15"/>
      <c r="AE1656" s="15"/>
      <c r="AF1656" s="15"/>
      <c r="AG1656" s="15"/>
      <c r="AH1656" s="15"/>
      <c r="AI1656" s="15"/>
      <c r="AJ1656" s="15"/>
      <c r="AK1656" s="15"/>
      <c r="AL1656" s="15"/>
      <c r="AM1656" s="15"/>
      <c r="AN1656" s="15"/>
      <c r="AO1656" s="15"/>
      <c r="AP1656" s="15"/>
      <c r="AQ1656" s="15"/>
      <c r="AR1656" s="15"/>
      <c r="AS1656" s="15"/>
      <c r="AT1656" s="15"/>
      <c r="AU1656" s="15"/>
      <c r="AV1656" s="15"/>
      <c r="AW1656" s="15"/>
      <c r="AX1656" s="15"/>
      <c r="AY1656" s="15"/>
      <c r="AZ1656" s="15"/>
      <c r="BA1656" s="15"/>
      <c r="BB1656" s="15"/>
      <c r="BC1656" s="15"/>
      <c r="BD1656" s="15"/>
      <c r="BE1656" s="15"/>
      <c r="BF1656" s="15"/>
      <c r="BG1656" s="15"/>
      <c r="BH1656" s="15"/>
      <c r="BI1656" s="15"/>
      <c r="BJ1656" s="15"/>
      <c r="BK1656" s="15"/>
      <c r="BL1656" s="15"/>
      <c r="BM1656" s="15"/>
      <c r="BN1656" s="15"/>
      <c r="BO1656" s="15"/>
      <c r="BP1656" s="15"/>
      <c r="BQ1656" s="15"/>
      <c r="BR1656" s="15"/>
      <c r="BS1656" s="15"/>
      <c r="BT1656" s="15"/>
      <c r="BU1656" s="15"/>
      <c r="BV1656" s="15"/>
      <c r="BW1656" s="15"/>
      <c r="BX1656" s="15"/>
      <c r="BY1656" s="15"/>
      <c r="BZ1656" s="15"/>
      <c r="CA1656" s="15"/>
      <c r="CB1656" s="15"/>
    </row>
    <row r="1657" spans="1:80" ht="12.75" hidden="1" customHeight="1">
      <c r="A1657" s="20">
        <f ca="1">IFERROR(__xludf.DUMMYFUNCTION("""COMPUTED_VALUE"""),2023)</f>
        <v>2023</v>
      </c>
      <c r="B1657" s="45">
        <f ca="1">IFERROR(__xludf.DUMMYFUNCTION("""COMPUTED_VALUE"""),45557)</f>
        <v>45557</v>
      </c>
      <c r="C1657" s="46"/>
      <c r="D1657" s="47" t="str">
        <f ca="1">IFERROR(__xludf.DUMMYFUNCTION("""COMPUTED_VALUE"""),"White Stork")</f>
        <v>White Stork</v>
      </c>
      <c r="E1657" s="52">
        <f ca="1">IFERROR(__xludf.DUMMYFUNCTION("""COMPUTED_VALUE"""),1)</f>
        <v>1</v>
      </c>
      <c r="F1657" s="25"/>
      <c r="G1657" s="48" t="str">
        <f ca="1">IFERROR(__xludf.DUMMYFUNCTION("""COMPUTED_VALUE"""),"Eton Hall Flash, Sandbach")</f>
        <v>Eton Hall Flash, Sandbach</v>
      </c>
      <c r="H1657" s="22">
        <f ca="1">IFERROR(__xludf.DUMMYFUNCTION("""COMPUTED_VALUE"""),45097)</f>
        <v>45097</v>
      </c>
      <c r="I1657" s="23"/>
      <c r="J1657" s="24"/>
      <c r="K1657" s="25"/>
      <c r="L1657" s="27" t="str">
        <f ca="1">IFERROR(__xludf.DUMMYFUNCTION("""COMPUTED_VALUE"""),"closed")</f>
        <v>closed</v>
      </c>
      <c r="M1657" s="27"/>
      <c r="N1657" s="25" t="str">
        <f ca="1">IFERROR(__xludf.DUMMYFUNCTION("""COMPUTED_VALUE"""),"description not needed")</f>
        <v>description not needed</v>
      </c>
      <c r="O1657" s="28" t="str">
        <f ca="1">IFERROR(__xludf.DUMMYFUNCTION("""COMPUTED_VALUE"""),"presumed Feral")</f>
        <v>presumed Feral</v>
      </c>
      <c r="P1657" s="25"/>
      <c r="Q1657" s="25"/>
      <c r="R1657" s="25"/>
      <c r="S1657" s="25"/>
      <c r="T1657" s="25"/>
      <c r="U1657" s="25"/>
      <c r="V1657" s="25"/>
      <c r="W1657" s="25"/>
      <c r="X1657" s="25"/>
      <c r="Y1657" s="25"/>
      <c r="Z1657" s="25"/>
      <c r="AA1657" s="25"/>
      <c r="AB1657" s="25"/>
      <c r="AC1657" s="25"/>
      <c r="AD1657" s="25"/>
      <c r="AE1657" s="25"/>
      <c r="AF1657" s="25"/>
      <c r="AG1657" s="25"/>
      <c r="AH1657" s="25"/>
      <c r="AI1657" s="25"/>
      <c r="AJ1657" s="25"/>
      <c r="AK1657" s="25"/>
      <c r="AL1657" s="25"/>
      <c r="AM1657" s="25"/>
      <c r="AN1657" s="25"/>
      <c r="AO1657" s="25"/>
      <c r="AP1657" s="25"/>
      <c r="AQ1657" s="25"/>
      <c r="AR1657" s="25"/>
      <c r="AS1657" s="25"/>
      <c r="AT1657" s="25"/>
      <c r="AU1657" s="25"/>
      <c r="AV1657" s="25"/>
      <c r="AW1657" s="25"/>
      <c r="AX1657" s="25"/>
      <c r="AY1657" s="25"/>
      <c r="AZ1657" s="25"/>
      <c r="BA1657" s="25"/>
      <c r="BB1657" s="25"/>
      <c r="BC1657" s="25"/>
      <c r="BD1657" s="25"/>
      <c r="BE1657" s="25"/>
      <c r="BF1657" s="25"/>
      <c r="BG1657" s="25"/>
      <c r="BH1657" s="25"/>
      <c r="BI1657" s="25"/>
      <c r="BJ1657" s="25"/>
      <c r="BK1657" s="25"/>
      <c r="BL1657" s="25"/>
      <c r="BM1657" s="25"/>
      <c r="BN1657" s="25"/>
      <c r="BO1657" s="25"/>
      <c r="BP1657" s="25"/>
      <c r="BQ1657" s="25"/>
      <c r="BR1657" s="25"/>
      <c r="BS1657" s="25"/>
      <c r="BT1657" s="25"/>
      <c r="BU1657" s="25"/>
      <c r="BV1657" s="25"/>
      <c r="BW1657" s="25"/>
      <c r="BX1657" s="25"/>
      <c r="BY1657" s="25"/>
      <c r="BZ1657" s="25"/>
      <c r="CA1657" s="25"/>
      <c r="CB1657" s="25"/>
    </row>
    <row r="1658" spans="1:80" ht="12.75" hidden="1" customHeight="1">
      <c r="A1658" s="10">
        <f ca="1">IFERROR(__xludf.DUMMYFUNCTION("""COMPUTED_VALUE"""),2024)</f>
        <v>2024</v>
      </c>
      <c r="B1658" s="50">
        <f ca="1">IFERROR(__xludf.DUMMYFUNCTION("""COMPUTED_VALUE"""),45859)</f>
        <v>45859</v>
      </c>
      <c r="C1658" s="41"/>
      <c r="D1658" s="42" t="str">
        <f ca="1">IFERROR(__xludf.DUMMYFUNCTION("""COMPUTED_VALUE"""),"White Stork")</f>
        <v>White Stork</v>
      </c>
      <c r="E1658" s="53">
        <f ca="1">IFERROR(__xludf.DUMMYFUNCTION("""COMPUTED_VALUE"""),1)</f>
        <v>1</v>
      </c>
      <c r="F1658" s="15"/>
      <c r="G1658" s="44" t="str">
        <f ca="1">IFERROR(__xludf.DUMMYFUNCTION("""COMPUTED_VALUE"""),"Macclesfield SK10 4TA")</f>
        <v>Macclesfield SK10 4TA</v>
      </c>
      <c r="H1658" s="12">
        <f ca="1">IFERROR(__xludf.DUMMYFUNCTION("""COMPUTED_VALUE"""),45380)</f>
        <v>45380</v>
      </c>
      <c r="I1658" s="13"/>
      <c r="J1658" s="14"/>
      <c r="K1658" s="15"/>
      <c r="L1658" s="17" t="str">
        <f ca="1">IFERROR(__xludf.DUMMYFUNCTION("""COMPUTED_VALUE"""),"closed")</f>
        <v>closed</v>
      </c>
      <c r="M1658" s="17"/>
      <c r="N1658" s="15" t="str">
        <f ca="1">IFERROR(__xludf.DUMMYFUNCTION("""COMPUTED_VALUE"""),"description not needed")</f>
        <v>description not needed</v>
      </c>
      <c r="O1658" s="18" t="str">
        <f ca="1">IFERROR(__xludf.DUMMYFUNCTION("""COMPUTED_VALUE"""),"presumed Feral")</f>
        <v>presumed Feral</v>
      </c>
      <c r="P1658" s="15"/>
      <c r="Q1658" s="15"/>
      <c r="R1658" s="15"/>
      <c r="S1658" s="15"/>
      <c r="T1658" s="15"/>
      <c r="U1658" s="15"/>
      <c r="V1658" s="15"/>
      <c r="W1658" s="15"/>
      <c r="X1658" s="15"/>
      <c r="Y1658" s="15"/>
      <c r="Z1658" s="15"/>
      <c r="AA1658" s="15"/>
      <c r="AB1658" s="15"/>
      <c r="AC1658" s="15"/>
      <c r="AD1658" s="15"/>
      <c r="AE1658" s="15"/>
      <c r="AF1658" s="15"/>
      <c r="AG1658" s="15"/>
      <c r="AH1658" s="15"/>
      <c r="AI1658" s="15"/>
      <c r="AJ1658" s="15"/>
      <c r="AK1658" s="15"/>
      <c r="AL1658" s="15"/>
      <c r="AM1658" s="15"/>
      <c r="AN1658" s="15"/>
      <c r="AO1658" s="15"/>
      <c r="AP1658" s="15"/>
      <c r="AQ1658" s="15"/>
      <c r="AR1658" s="15"/>
      <c r="AS1658" s="15"/>
      <c r="AT1658" s="15"/>
      <c r="AU1658" s="15"/>
      <c r="AV1658" s="15"/>
      <c r="AW1658" s="15"/>
      <c r="AX1658" s="15"/>
      <c r="AY1658" s="15"/>
      <c r="AZ1658" s="15"/>
      <c r="BA1658" s="15"/>
      <c r="BB1658" s="15"/>
      <c r="BC1658" s="15"/>
      <c r="BD1658" s="15"/>
      <c r="BE1658" s="15"/>
      <c r="BF1658" s="15"/>
      <c r="BG1658" s="15"/>
      <c r="BH1658" s="15"/>
      <c r="BI1658" s="15"/>
      <c r="BJ1658" s="15"/>
      <c r="BK1658" s="15"/>
      <c r="BL1658" s="15"/>
      <c r="BM1658" s="15"/>
      <c r="BN1658" s="15"/>
      <c r="BO1658" s="15"/>
      <c r="BP1658" s="15"/>
      <c r="BQ1658" s="15"/>
      <c r="BR1658" s="15"/>
      <c r="BS1658" s="15"/>
      <c r="BT1658" s="15"/>
      <c r="BU1658" s="15"/>
      <c r="BV1658" s="15"/>
      <c r="BW1658" s="15"/>
      <c r="BX1658" s="15"/>
      <c r="BY1658" s="15"/>
      <c r="BZ1658" s="15"/>
      <c r="CA1658" s="15"/>
      <c r="CB1658" s="15"/>
    </row>
    <row r="1659" spans="1:80" ht="12.75" hidden="1" customHeight="1">
      <c r="A1659" s="20">
        <f ca="1">IFERROR(__xludf.DUMMYFUNCTION("""COMPUTED_VALUE"""),2024)</f>
        <v>2024</v>
      </c>
      <c r="B1659" s="45">
        <f ca="1">IFERROR(__xludf.DUMMYFUNCTION("""COMPUTED_VALUE"""),45859)</f>
        <v>45859</v>
      </c>
      <c r="C1659" s="46"/>
      <c r="D1659" s="47" t="str">
        <f ca="1">IFERROR(__xludf.DUMMYFUNCTION("""COMPUTED_VALUE"""),"White Stork")</f>
        <v>White Stork</v>
      </c>
      <c r="E1659" s="52">
        <f ca="1">IFERROR(__xludf.DUMMYFUNCTION("""COMPUTED_VALUE"""),1)</f>
        <v>1</v>
      </c>
      <c r="F1659" s="25"/>
      <c r="G1659" s="48" t="str">
        <f ca="1">IFERROR(__xludf.DUMMYFUNCTION("""COMPUTED_VALUE"""),"Astle SJ8273")</f>
        <v>Astle SJ8273</v>
      </c>
      <c r="H1659" s="22">
        <f ca="1">IFERROR(__xludf.DUMMYFUNCTION("""COMPUTED_VALUE"""),45380)</f>
        <v>45380</v>
      </c>
      <c r="I1659" s="23"/>
      <c r="J1659" s="24"/>
      <c r="K1659" s="25"/>
      <c r="L1659" s="27" t="str">
        <f ca="1">IFERROR(__xludf.DUMMYFUNCTION("""COMPUTED_VALUE"""),"closed")</f>
        <v>closed</v>
      </c>
      <c r="M1659" s="27"/>
      <c r="N1659" s="25" t="str">
        <f ca="1">IFERROR(__xludf.DUMMYFUNCTION("""COMPUTED_VALUE"""),"description not needed")</f>
        <v>description not needed</v>
      </c>
      <c r="O1659" s="28" t="str">
        <f ca="1">IFERROR(__xludf.DUMMYFUNCTION("""COMPUTED_VALUE"""),"presumed Feral")</f>
        <v>presumed Feral</v>
      </c>
      <c r="P1659" s="25"/>
      <c r="Q1659" s="25"/>
      <c r="R1659" s="25"/>
      <c r="S1659" s="25"/>
      <c r="T1659" s="25"/>
      <c r="U1659" s="25"/>
      <c r="V1659" s="25"/>
      <c r="W1659" s="25"/>
      <c r="X1659" s="25"/>
      <c r="Y1659" s="25"/>
      <c r="Z1659" s="25"/>
      <c r="AA1659" s="25"/>
      <c r="AB1659" s="25"/>
      <c r="AC1659" s="25"/>
      <c r="AD1659" s="25"/>
      <c r="AE1659" s="25"/>
      <c r="AF1659" s="25"/>
      <c r="AG1659" s="25"/>
      <c r="AH1659" s="25"/>
      <c r="AI1659" s="25"/>
      <c r="AJ1659" s="25"/>
      <c r="AK1659" s="25"/>
      <c r="AL1659" s="25"/>
      <c r="AM1659" s="25"/>
      <c r="AN1659" s="25"/>
      <c r="AO1659" s="25"/>
      <c r="AP1659" s="25"/>
      <c r="AQ1659" s="25"/>
      <c r="AR1659" s="25"/>
      <c r="AS1659" s="25"/>
      <c r="AT1659" s="25"/>
      <c r="AU1659" s="25"/>
      <c r="AV1659" s="25"/>
      <c r="AW1659" s="25"/>
      <c r="AX1659" s="25"/>
      <c r="AY1659" s="25"/>
      <c r="AZ1659" s="25"/>
      <c r="BA1659" s="25"/>
      <c r="BB1659" s="25"/>
      <c r="BC1659" s="25"/>
      <c r="BD1659" s="25"/>
      <c r="BE1659" s="25"/>
      <c r="BF1659" s="25"/>
      <c r="BG1659" s="25"/>
      <c r="BH1659" s="25"/>
      <c r="BI1659" s="25"/>
      <c r="BJ1659" s="25"/>
      <c r="BK1659" s="25"/>
      <c r="BL1659" s="25"/>
      <c r="BM1659" s="25"/>
      <c r="BN1659" s="25"/>
      <c r="BO1659" s="25"/>
      <c r="BP1659" s="25"/>
      <c r="BQ1659" s="25"/>
      <c r="BR1659" s="25"/>
      <c r="BS1659" s="25"/>
      <c r="BT1659" s="25"/>
      <c r="BU1659" s="25"/>
      <c r="BV1659" s="25"/>
      <c r="BW1659" s="25"/>
      <c r="BX1659" s="25"/>
      <c r="BY1659" s="25"/>
      <c r="BZ1659" s="25"/>
      <c r="CA1659" s="25"/>
      <c r="CB1659" s="25"/>
    </row>
    <row r="1660" spans="1:80" ht="12.75" hidden="1" customHeight="1">
      <c r="A1660" s="10">
        <f ca="1">IFERROR(__xludf.DUMMYFUNCTION("""COMPUTED_VALUE"""),2024)</f>
        <v>2024</v>
      </c>
      <c r="B1660" s="50">
        <f ca="1">IFERROR(__xludf.DUMMYFUNCTION("""COMPUTED_VALUE"""),45859)</f>
        <v>45859</v>
      </c>
      <c r="C1660" s="41"/>
      <c r="D1660" s="42" t="str">
        <f ca="1">IFERROR(__xludf.DUMMYFUNCTION("""COMPUTED_VALUE"""),"White Stork")</f>
        <v>White Stork</v>
      </c>
      <c r="E1660" s="53">
        <f ca="1">IFERROR(__xludf.DUMMYFUNCTION("""COMPUTED_VALUE"""),1)</f>
        <v>1</v>
      </c>
      <c r="F1660" s="15"/>
      <c r="G1660" s="44" t="str">
        <f ca="1">IFERROR(__xludf.DUMMYFUNCTION("""COMPUTED_VALUE"""),"Hockenhall Platts (SJ46 S)")</f>
        <v>Hockenhall Platts (SJ46 S)</v>
      </c>
      <c r="H1660" s="12">
        <f ca="1">IFERROR(__xludf.DUMMYFUNCTION("""COMPUTED_VALUE"""),45386)</f>
        <v>45386</v>
      </c>
      <c r="I1660" s="13"/>
      <c r="J1660" s="14"/>
      <c r="K1660" s="15"/>
      <c r="L1660" s="17" t="str">
        <f ca="1">IFERROR(__xludf.DUMMYFUNCTION("""COMPUTED_VALUE"""),"closed")</f>
        <v>closed</v>
      </c>
      <c r="M1660" s="17"/>
      <c r="N1660" s="15" t="str">
        <f ca="1">IFERROR(__xludf.DUMMYFUNCTION("""COMPUTED_VALUE"""),"description not needed")</f>
        <v>description not needed</v>
      </c>
      <c r="O1660" s="18" t="str">
        <f ca="1">IFERROR(__xludf.DUMMYFUNCTION("""COMPUTED_VALUE"""),"presumed Feral")</f>
        <v>presumed Feral</v>
      </c>
      <c r="P1660" s="15"/>
      <c r="Q1660" s="15"/>
      <c r="R1660" s="15"/>
      <c r="S1660" s="15"/>
      <c r="T1660" s="15"/>
      <c r="U1660" s="15"/>
      <c r="V1660" s="15"/>
      <c r="W1660" s="15"/>
      <c r="X1660" s="15"/>
      <c r="Y1660" s="15"/>
      <c r="Z1660" s="15"/>
      <c r="AA1660" s="15"/>
      <c r="AB1660" s="15"/>
      <c r="AC1660" s="15"/>
      <c r="AD1660" s="15"/>
      <c r="AE1660" s="15"/>
      <c r="AF1660" s="15"/>
      <c r="AG1660" s="15"/>
      <c r="AH1660" s="15"/>
      <c r="AI1660" s="15"/>
      <c r="AJ1660" s="15"/>
      <c r="AK1660" s="15"/>
      <c r="AL1660" s="15"/>
      <c r="AM1660" s="15"/>
      <c r="AN1660" s="15"/>
      <c r="AO1660" s="15"/>
      <c r="AP1660" s="15"/>
      <c r="AQ1660" s="15"/>
      <c r="AR1660" s="15"/>
      <c r="AS1660" s="15"/>
      <c r="AT1660" s="15"/>
      <c r="AU1660" s="15"/>
      <c r="AV1660" s="15"/>
      <c r="AW1660" s="15"/>
      <c r="AX1660" s="15"/>
      <c r="AY1660" s="15"/>
      <c r="AZ1660" s="15"/>
      <c r="BA1660" s="15"/>
      <c r="BB1660" s="15"/>
      <c r="BC1660" s="15"/>
      <c r="BD1660" s="15"/>
      <c r="BE1660" s="15"/>
      <c r="BF1660" s="15"/>
      <c r="BG1660" s="15"/>
      <c r="BH1660" s="15"/>
      <c r="BI1660" s="15"/>
      <c r="BJ1660" s="15"/>
      <c r="BK1660" s="15"/>
      <c r="BL1660" s="15"/>
      <c r="BM1660" s="15"/>
      <c r="BN1660" s="15"/>
      <c r="BO1660" s="15"/>
      <c r="BP1660" s="15"/>
      <c r="BQ1660" s="15"/>
      <c r="BR1660" s="15"/>
      <c r="BS1660" s="15"/>
      <c r="BT1660" s="15"/>
      <c r="BU1660" s="15"/>
      <c r="BV1660" s="15"/>
      <c r="BW1660" s="15"/>
      <c r="BX1660" s="15"/>
      <c r="BY1660" s="15"/>
      <c r="BZ1660" s="15"/>
      <c r="CA1660" s="15"/>
      <c r="CB1660" s="15"/>
    </row>
    <row r="1661" spans="1:80" ht="12.75" customHeight="1">
      <c r="A1661" s="20">
        <f ca="1">IFERROR(__xludf.DUMMYFUNCTION("""COMPUTED_VALUE"""),2024)</f>
        <v>2024</v>
      </c>
      <c r="B1661" s="45">
        <f ca="1">IFERROR(__xludf.DUMMYFUNCTION("""COMPUTED_VALUE"""),45859)</f>
        <v>45859</v>
      </c>
      <c r="C1661" s="46"/>
      <c r="D1661" s="47" t="str">
        <f ca="1">IFERROR(__xludf.DUMMYFUNCTION("""COMPUTED_VALUE"""),"White Stork")</f>
        <v>White Stork</v>
      </c>
      <c r="E1661" s="52">
        <f ca="1">IFERROR(__xludf.DUMMYFUNCTION("""COMPUTED_VALUE"""),1)</f>
        <v>1</v>
      </c>
      <c r="F1661" s="25"/>
      <c r="G1661" s="48" t="str">
        <f ca="1">IFERROR(__xludf.DUMMYFUNCTION("""COMPUTED_VALUE"""),"Shotwick Fields")</f>
        <v>Shotwick Fields</v>
      </c>
      <c r="H1661" s="22">
        <f ca="1">IFERROR(__xludf.DUMMYFUNCTION("""COMPUTED_VALUE"""),45409)</f>
        <v>45409</v>
      </c>
      <c r="I1661" s="23"/>
      <c r="J1661" s="24"/>
      <c r="K1661" s="25"/>
      <c r="L1661" s="27" t="str">
        <f ca="1">IFERROR(__xludf.DUMMYFUNCTION("""COMPUTED_VALUE"""),"closed")</f>
        <v>closed</v>
      </c>
      <c r="M1661" s="27"/>
      <c r="N1661" s="25" t="str">
        <f ca="1">IFERROR(__xludf.DUMMYFUNCTION("""COMPUTED_VALUE"""),"description not needed")</f>
        <v>description not needed</v>
      </c>
      <c r="O1661" s="28" t="str">
        <f ca="1">IFERROR(__xludf.DUMMYFUNCTION("""COMPUTED_VALUE"""),"presumed Feral")</f>
        <v>presumed Feral</v>
      </c>
      <c r="P1661" s="25"/>
      <c r="Q1661" s="25"/>
      <c r="R1661" s="25"/>
      <c r="S1661" s="25"/>
      <c r="T1661" s="25"/>
      <c r="U1661" s="25"/>
      <c r="V1661" s="25"/>
      <c r="W1661" s="25"/>
      <c r="X1661" s="25"/>
      <c r="Y1661" s="25"/>
      <c r="Z1661" s="25"/>
      <c r="AA1661" s="25"/>
      <c r="AB1661" s="25"/>
      <c r="AC1661" s="25"/>
      <c r="AD1661" s="25"/>
      <c r="AE1661" s="25"/>
      <c r="AF1661" s="25"/>
      <c r="AG1661" s="25"/>
      <c r="AH1661" s="25"/>
      <c r="AI1661" s="25"/>
      <c r="AJ1661" s="25"/>
      <c r="AK1661" s="25"/>
      <c r="AL1661" s="25"/>
      <c r="AM1661" s="25"/>
      <c r="AN1661" s="25"/>
      <c r="AO1661" s="25"/>
      <c r="AP1661" s="25"/>
      <c r="AQ1661" s="25"/>
      <c r="AR1661" s="25"/>
      <c r="AS1661" s="25"/>
      <c r="AT1661" s="25"/>
      <c r="AU1661" s="25"/>
      <c r="AV1661" s="25"/>
      <c r="AW1661" s="25"/>
      <c r="AX1661" s="25"/>
      <c r="AY1661" s="25"/>
      <c r="AZ1661" s="25"/>
      <c r="BA1661" s="25"/>
      <c r="BB1661" s="25"/>
      <c r="BC1661" s="25"/>
      <c r="BD1661" s="25"/>
      <c r="BE1661" s="25"/>
      <c r="BF1661" s="25"/>
      <c r="BG1661" s="25"/>
      <c r="BH1661" s="25"/>
      <c r="BI1661" s="25"/>
      <c r="BJ1661" s="25"/>
      <c r="BK1661" s="25"/>
      <c r="BL1661" s="25"/>
      <c r="BM1661" s="25"/>
      <c r="BN1661" s="25"/>
      <c r="BO1661" s="25"/>
      <c r="BP1661" s="25"/>
      <c r="BQ1661" s="25"/>
      <c r="BR1661" s="25"/>
      <c r="BS1661" s="25"/>
      <c r="BT1661" s="25"/>
      <c r="BU1661" s="25"/>
      <c r="BV1661" s="25"/>
      <c r="BW1661" s="25"/>
      <c r="BX1661" s="25"/>
      <c r="BY1661" s="25"/>
      <c r="BZ1661" s="25"/>
      <c r="CA1661" s="25"/>
      <c r="CB1661" s="25"/>
    </row>
    <row r="1662" spans="1:80" ht="12.75" customHeight="1">
      <c r="A1662" s="10">
        <f ca="1">IFERROR(__xludf.DUMMYFUNCTION("""COMPUTED_VALUE"""),2024)</f>
        <v>2024</v>
      </c>
      <c r="B1662" s="50">
        <f ca="1">IFERROR(__xludf.DUMMYFUNCTION("""COMPUTED_VALUE"""),45859)</f>
        <v>45859</v>
      </c>
      <c r="C1662" s="41"/>
      <c r="D1662" s="42" t="str">
        <f ca="1">IFERROR(__xludf.DUMMYFUNCTION("""COMPUTED_VALUE"""),"White Stork")</f>
        <v>White Stork</v>
      </c>
      <c r="E1662" s="53">
        <f ca="1">IFERROR(__xludf.DUMMYFUNCTION("""COMPUTED_VALUE"""),1)</f>
        <v>1</v>
      </c>
      <c r="F1662" s="15"/>
      <c r="G1662" s="44" t="str">
        <f ca="1">IFERROR(__xludf.DUMMYFUNCTION("""COMPUTED_VALUE"""),"Congleton")</f>
        <v>Congleton</v>
      </c>
      <c r="H1662" s="12">
        <f ca="1">IFERROR(__xludf.DUMMYFUNCTION("""COMPUTED_VALUE"""),45388)</f>
        <v>45388</v>
      </c>
      <c r="I1662" s="13"/>
      <c r="J1662" s="14"/>
      <c r="K1662" s="15"/>
      <c r="L1662" s="17" t="str">
        <f ca="1">IFERROR(__xludf.DUMMYFUNCTION("""COMPUTED_VALUE"""),"closed")</f>
        <v>closed</v>
      </c>
      <c r="M1662" s="17"/>
      <c r="N1662" s="15" t="str">
        <f ca="1">IFERROR(__xludf.DUMMYFUNCTION("""COMPUTED_VALUE"""),"description not needed")</f>
        <v>description not needed</v>
      </c>
      <c r="O1662" s="18" t="str">
        <f ca="1">IFERROR(__xludf.DUMMYFUNCTION("""COMPUTED_VALUE"""),"presumed Feral")</f>
        <v>presumed Feral</v>
      </c>
      <c r="P1662" s="15"/>
      <c r="Q1662" s="15"/>
      <c r="R1662" s="15"/>
      <c r="S1662" s="15"/>
      <c r="T1662" s="15"/>
      <c r="U1662" s="15"/>
      <c r="V1662" s="15"/>
      <c r="W1662" s="15"/>
      <c r="X1662" s="15"/>
      <c r="Y1662" s="15"/>
      <c r="Z1662" s="15"/>
      <c r="AA1662" s="15"/>
      <c r="AB1662" s="15"/>
      <c r="AC1662" s="15"/>
      <c r="AD1662" s="15"/>
      <c r="AE1662" s="15"/>
      <c r="AF1662" s="15"/>
      <c r="AG1662" s="15"/>
      <c r="AH1662" s="15"/>
      <c r="AI1662" s="15"/>
      <c r="AJ1662" s="15"/>
      <c r="AK1662" s="15"/>
      <c r="AL1662" s="15"/>
      <c r="AM1662" s="15"/>
      <c r="AN1662" s="15"/>
      <c r="AO1662" s="15"/>
      <c r="AP1662" s="15"/>
      <c r="AQ1662" s="15"/>
      <c r="AR1662" s="15"/>
      <c r="AS1662" s="15"/>
      <c r="AT1662" s="15"/>
      <c r="AU1662" s="15"/>
      <c r="AV1662" s="15"/>
      <c r="AW1662" s="15"/>
      <c r="AX1662" s="15"/>
      <c r="AY1662" s="15"/>
      <c r="AZ1662" s="15"/>
      <c r="BA1662" s="15"/>
      <c r="BB1662" s="15"/>
      <c r="BC1662" s="15"/>
      <c r="BD1662" s="15"/>
      <c r="BE1662" s="15"/>
      <c r="BF1662" s="15"/>
      <c r="BG1662" s="15"/>
      <c r="BH1662" s="15"/>
      <c r="BI1662" s="15"/>
      <c r="BJ1662" s="15"/>
      <c r="BK1662" s="15"/>
      <c r="BL1662" s="15"/>
      <c r="BM1662" s="15"/>
      <c r="BN1662" s="15"/>
      <c r="BO1662" s="15"/>
      <c r="BP1662" s="15"/>
      <c r="BQ1662" s="15"/>
      <c r="BR1662" s="15"/>
      <c r="BS1662" s="15"/>
      <c r="BT1662" s="15"/>
      <c r="BU1662" s="15"/>
      <c r="BV1662" s="15"/>
      <c r="BW1662" s="15"/>
      <c r="BX1662" s="15"/>
      <c r="BY1662" s="15"/>
      <c r="BZ1662" s="15"/>
      <c r="CA1662" s="15"/>
      <c r="CB1662" s="15"/>
    </row>
    <row r="1663" spans="1:80" ht="12.75" customHeight="1">
      <c r="A1663" s="20">
        <f ca="1">IFERROR(__xludf.DUMMYFUNCTION("""COMPUTED_VALUE"""),2024)</f>
        <v>2024</v>
      </c>
      <c r="B1663" s="45">
        <f ca="1">IFERROR(__xludf.DUMMYFUNCTION("""COMPUTED_VALUE"""),45859)</f>
        <v>45859</v>
      </c>
      <c r="C1663" s="46"/>
      <c r="D1663" s="47" t="str">
        <f ca="1">IFERROR(__xludf.DUMMYFUNCTION("""COMPUTED_VALUE"""),"White Stork")</f>
        <v>White Stork</v>
      </c>
      <c r="E1663" s="52">
        <f ca="1">IFERROR(__xludf.DUMMYFUNCTION("""COMPUTED_VALUE"""),1)</f>
        <v>1</v>
      </c>
      <c r="F1663" s="25"/>
      <c r="G1663" s="48" t="str">
        <f ca="1">IFERROR(__xludf.DUMMYFUNCTION("""COMPUTED_VALUE"""),"Puddington area")</f>
        <v>Puddington area</v>
      </c>
      <c r="H1663" s="22">
        <f ca="1">IFERROR(__xludf.DUMMYFUNCTION("""COMPUTED_VALUE"""),45412)</f>
        <v>45412</v>
      </c>
      <c r="I1663" s="22">
        <f ca="1">IFERROR(__xludf.DUMMYFUNCTION("""COMPUTED_VALUE"""),45413)</f>
        <v>45413</v>
      </c>
      <c r="J1663" s="24"/>
      <c r="K1663" s="25"/>
      <c r="L1663" s="27" t="str">
        <f ca="1">IFERROR(__xludf.DUMMYFUNCTION("""COMPUTED_VALUE"""),"closed")</f>
        <v>closed</v>
      </c>
      <c r="M1663" s="27"/>
      <c r="N1663" s="25" t="str">
        <f ca="1">IFERROR(__xludf.DUMMYFUNCTION("""COMPUTED_VALUE"""),"description not needed")</f>
        <v>description not needed</v>
      </c>
      <c r="O1663" s="28" t="str">
        <f ca="1">IFERROR(__xludf.DUMMYFUNCTION("""COMPUTED_VALUE"""),"presumed Feral")</f>
        <v>presumed Feral</v>
      </c>
      <c r="P1663" s="25"/>
      <c r="Q1663" s="40"/>
      <c r="R1663" s="40"/>
      <c r="S1663" s="25"/>
      <c r="T1663" s="25"/>
      <c r="U1663" s="25"/>
      <c r="V1663" s="25"/>
      <c r="W1663" s="25"/>
      <c r="X1663" s="25"/>
      <c r="Y1663" s="25"/>
      <c r="Z1663" s="25"/>
      <c r="AA1663" s="25"/>
      <c r="AB1663" s="25"/>
      <c r="AC1663" s="25"/>
      <c r="AD1663" s="25"/>
      <c r="AE1663" s="25"/>
      <c r="AF1663" s="25"/>
      <c r="AG1663" s="25"/>
      <c r="AH1663" s="25"/>
      <c r="AI1663" s="25"/>
      <c r="AJ1663" s="25"/>
      <c r="AK1663" s="25"/>
      <c r="AL1663" s="25"/>
      <c r="AM1663" s="25"/>
      <c r="AN1663" s="25"/>
      <c r="AO1663" s="25"/>
      <c r="AP1663" s="25"/>
      <c r="AQ1663" s="25"/>
      <c r="AR1663" s="25"/>
      <c r="AS1663" s="25"/>
      <c r="AT1663" s="25"/>
      <c r="AU1663" s="25"/>
      <c r="AV1663" s="25"/>
      <c r="AW1663" s="25"/>
      <c r="AX1663" s="25"/>
      <c r="AY1663" s="25"/>
      <c r="AZ1663" s="25"/>
      <c r="BA1663" s="25"/>
      <c r="BB1663" s="25"/>
      <c r="BC1663" s="25"/>
      <c r="BD1663" s="25"/>
      <c r="BE1663" s="25"/>
      <c r="BF1663" s="25"/>
      <c r="BG1663" s="25"/>
      <c r="BH1663" s="25"/>
      <c r="BI1663" s="25"/>
      <c r="BJ1663" s="25"/>
      <c r="BK1663" s="25"/>
      <c r="BL1663" s="25"/>
      <c r="BM1663" s="25"/>
      <c r="BN1663" s="25"/>
      <c r="BO1663" s="25"/>
      <c r="BP1663" s="25"/>
      <c r="BQ1663" s="25"/>
      <c r="BR1663" s="25"/>
      <c r="BS1663" s="25"/>
      <c r="BT1663" s="25"/>
      <c r="BU1663" s="25"/>
      <c r="BV1663" s="25"/>
      <c r="BW1663" s="25"/>
      <c r="BX1663" s="25"/>
      <c r="BY1663" s="25"/>
      <c r="BZ1663" s="25"/>
      <c r="CA1663" s="25"/>
      <c r="CB1663" s="25"/>
    </row>
    <row r="1664" spans="1:80" ht="12.75" customHeight="1">
      <c r="A1664" s="10">
        <f ca="1">IFERROR(__xludf.DUMMYFUNCTION("""COMPUTED_VALUE"""),2024)</f>
        <v>2024</v>
      </c>
      <c r="B1664" s="50">
        <f ca="1">IFERROR(__xludf.DUMMYFUNCTION("""COMPUTED_VALUE"""),45859)</f>
        <v>45859</v>
      </c>
      <c r="C1664" s="41"/>
      <c r="D1664" s="42" t="str">
        <f ca="1">IFERROR(__xludf.DUMMYFUNCTION("""COMPUTED_VALUE"""),"White Stork")</f>
        <v>White Stork</v>
      </c>
      <c r="E1664" s="53">
        <f ca="1">IFERROR(__xludf.DUMMYFUNCTION("""COMPUTED_VALUE"""),1)</f>
        <v>1</v>
      </c>
      <c r="F1664" s="15"/>
      <c r="G1664" s="44" t="str">
        <f ca="1">IFERROR(__xludf.DUMMYFUNCTION("""COMPUTED_VALUE"""),"Tattenhall")</f>
        <v>Tattenhall</v>
      </c>
      <c r="H1664" s="12">
        <f ca="1">IFERROR(__xludf.DUMMYFUNCTION("""COMPUTED_VALUE"""),45445)</f>
        <v>45445</v>
      </c>
      <c r="I1664" s="13"/>
      <c r="J1664" s="14"/>
      <c r="K1664" s="15"/>
      <c r="L1664" s="17" t="str">
        <f ca="1">IFERROR(__xludf.DUMMYFUNCTION("""COMPUTED_VALUE"""),"closed")</f>
        <v>closed</v>
      </c>
      <c r="M1664" s="17"/>
      <c r="N1664" s="58" t="str">
        <f ca="1">IFERROR(__xludf.DUMMYFUNCTION("""COMPUTED_VALUE"""),"description not needed")</f>
        <v>description not needed</v>
      </c>
      <c r="O1664" s="18" t="str">
        <f ca="1">IFERROR(__xludf.DUMMYFUNCTION("""COMPUTED_VALUE"""),"presumed Feral")</f>
        <v>presumed Feral</v>
      </c>
      <c r="P1664" s="15"/>
      <c r="Q1664" s="15"/>
      <c r="R1664" s="15"/>
      <c r="S1664" s="15"/>
      <c r="T1664" s="15"/>
      <c r="U1664" s="15"/>
      <c r="V1664" s="15"/>
      <c r="W1664" s="15"/>
      <c r="X1664" s="15"/>
      <c r="Y1664" s="15"/>
      <c r="Z1664" s="15"/>
      <c r="AA1664" s="15"/>
      <c r="AB1664" s="15"/>
      <c r="AC1664" s="15"/>
      <c r="AD1664" s="15"/>
      <c r="AE1664" s="15"/>
      <c r="AF1664" s="15"/>
      <c r="AG1664" s="15"/>
      <c r="AH1664" s="15"/>
      <c r="AI1664" s="15"/>
      <c r="AJ1664" s="15"/>
      <c r="AK1664" s="15"/>
      <c r="AL1664" s="15"/>
      <c r="AM1664" s="15"/>
      <c r="AN1664" s="15"/>
      <c r="AO1664" s="15"/>
      <c r="AP1664" s="15"/>
      <c r="AQ1664" s="15"/>
      <c r="AR1664" s="15"/>
      <c r="AS1664" s="15"/>
      <c r="AT1664" s="15"/>
      <c r="AU1664" s="15"/>
      <c r="AV1664" s="15"/>
      <c r="AW1664" s="15"/>
      <c r="AX1664" s="15"/>
      <c r="AY1664" s="15"/>
      <c r="AZ1664" s="15"/>
      <c r="BA1664" s="15"/>
      <c r="BB1664" s="15"/>
      <c r="BC1664" s="15"/>
      <c r="BD1664" s="15"/>
      <c r="BE1664" s="15"/>
      <c r="BF1664" s="15"/>
      <c r="BG1664" s="15"/>
      <c r="BH1664" s="15"/>
      <c r="BI1664" s="15"/>
      <c r="BJ1664" s="15"/>
      <c r="BK1664" s="15"/>
      <c r="BL1664" s="15"/>
      <c r="BM1664" s="15"/>
      <c r="BN1664" s="15"/>
      <c r="BO1664" s="15"/>
      <c r="BP1664" s="15"/>
      <c r="BQ1664" s="15"/>
      <c r="BR1664" s="15"/>
      <c r="BS1664" s="15"/>
      <c r="BT1664" s="15"/>
      <c r="BU1664" s="15"/>
      <c r="BV1664" s="15"/>
      <c r="BW1664" s="15"/>
      <c r="BX1664" s="15"/>
      <c r="BY1664" s="15"/>
      <c r="BZ1664" s="15"/>
      <c r="CA1664" s="15"/>
      <c r="CB1664" s="15"/>
    </row>
    <row r="1665" spans="1:80" ht="12.75" customHeight="1">
      <c r="A1665" s="20">
        <f ca="1">IFERROR(__xludf.DUMMYFUNCTION("""COMPUTED_VALUE"""),2024)</f>
        <v>2024</v>
      </c>
      <c r="B1665" s="45">
        <f ca="1">IFERROR(__xludf.DUMMYFUNCTION("""COMPUTED_VALUE"""),45859)</f>
        <v>45859</v>
      </c>
      <c r="C1665" s="46"/>
      <c r="D1665" s="47" t="str">
        <f ca="1">IFERROR(__xludf.DUMMYFUNCTION("""COMPUTED_VALUE"""),"White Stork")</f>
        <v>White Stork</v>
      </c>
      <c r="E1665" s="52">
        <f ca="1">IFERROR(__xludf.DUMMYFUNCTION("""COMPUTED_VALUE"""),1)</f>
        <v>1</v>
      </c>
      <c r="F1665" s="25"/>
      <c r="G1665" s="48" t="str">
        <f ca="1">IFERROR(__xludf.DUMMYFUNCTION("""COMPUTED_VALUE"""),"Lapwing Hall Pool, Chelford")</f>
        <v>Lapwing Hall Pool, Chelford</v>
      </c>
      <c r="H1665" s="22">
        <f ca="1">IFERROR(__xludf.DUMMYFUNCTION("""COMPUTED_VALUE"""),45380)</f>
        <v>45380</v>
      </c>
      <c r="I1665" s="23"/>
      <c r="J1665" s="24"/>
      <c r="K1665" s="25"/>
      <c r="L1665" s="27" t="str">
        <f ca="1">IFERROR(__xludf.DUMMYFUNCTION("""COMPUTED_VALUE"""),"closed")</f>
        <v>closed</v>
      </c>
      <c r="M1665" s="27"/>
      <c r="N1665" s="25" t="str">
        <f ca="1">IFERROR(__xludf.DUMMYFUNCTION("""COMPUTED_VALUE"""),"description not needed")</f>
        <v>description not needed</v>
      </c>
      <c r="O1665" s="28" t="str">
        <f ca="1">IFERROR(__xludf.DUMMYFUNCTION("""COMPUTED_VALUE"""),"presumed Feral")</f>
        <v>presumed Feral</v>
      </c>
      <c r="P1665" s="25"/>
      <c r="Q1665" s="25"/>
      <c r="R1665" s="25"/>
      <c r="S1665" s="25"/>
      <c r="T1665" s="25"/>
      <c r="U1665" s="25"/>
      <c r="V1665" s="25"/>
      <c r="W1665" s="25"/>
      <c r="X1665" s="25"/>
      <c r="Y1665" s="25"/>
      <c r="Z1665" s="25"/>
      <c r="AA1665" s="25"/>
      <c r="AB1665" s="25"/>
      <c r="AC1665" s="25"/>
      <c r="AD1665" s="25"/>
      <c r="AE1665" s="25"/>
      <c r="AF1665" s="25"/>
      <c r="AG1665" s="25"/>
      <c r="AH1665" s="25"/>
      <c r="AI1665" s="25"/>
      <c r="AJ1665" s="25"/>
      <c r="AK1665" s="25"/>
      <c r="AL1665" s="25"/>
      <c r="AM1665" s="25"/>
      <c r="AN1665" s="25"/>
      <c r="AO1665" s="25"/>
      <c r="AP1665" s="25"/>
      <c r="AQ1665" s="25"/>
      <c r="AR1665" s="25"/>
      <c r="AS1665" s="25"/>
      <c r="AT1665" s="25"/>
      <c r="AU1665" s="25"/>
      <c r="AV1665" s="25"/>
      <c r="AW1665" s="25"/>
      <c r="AX1665" s="25"/>
      <c r="AY1665" s="25"/>
      <c r="AZ1665" s="25"/>
      <c r="BA1665" s="25"/>
      <c r="BB1665" s="25"/>
      <c r="BC1665" s="25"/>
      <c r="BD1665" s="25"/>
      <c r="BE1665" s="25"/>
      <c r="BF1665" s="25"/>
      <c r="BG1665" s="25"/>
      <c r="BH1665" s="25"/>
      <c r="BI1665" s="25"/>
      <c r="BJ1665" s="25"/>
      <c r="BK1665" s="25"/>
      <c r="BL1665" s="25"/>
      <c r="BM1665" s="25"/>
      <c r="BN1665" s="25"/>
      <c r="BO1665" s="25"/>
      <c r="BP1665" s="25"/>
      <c r="BQ1665" s="25"/>
      <c r="BR1665" s="25"/>
      <c r="BS1665" s="25"/>
      <c r="BT1665" s="25"/>
      <c r="BU1665" s="25"/>
      <c r="BV1665" s="25"/>
      <c r="BW1665" s="25"/>
      <c r="BX1665" s="25"/>
      <c r="BY1665" s="25"/>
      <c r="BZ1665" s="25"/>
      <c r="CA1665" s="25"/>
      <c r="CB1665" s="25"/>
    </row>
    <row r="1666" spans="1:80" ht="12.75" customHeight="1">
      <c r="A1666" s="10">
        <f ca="1">IFERROR(__xludf.DUMMYFUNCTION("""COMPUTED_VALUE"""),2023)</f>
        <v>2023</v>
      </c>
      <c r="B1666" s="50">
        <f ca="1">IFERROR(__xludf.DUMMYFUNCTION("""COMPUTED_VALUE"""),45384)</f>
        <v>45384</v>
      </c>
      <c r="C1666" s="41"/>
      <c r="D1666" s="42" t="str">
        <f ca="1">IFERROR(__xludf.DUMMYFUNCTION("""COMPUTED_VALUE"""),"Black Grouse")</f>
        <v>Black Grouse</v>
      </c>
      <c r="E1666" s="53">
        <f ca="1">IFERROR(__xludf.DUMMYFUNCTION("""COMPUTED_VALUE"""),1)</f>
        <v>1</v>
      </c>
      <c r="F1666" s="15"/>
      <c r="G1666" s="44" t="str">
        <f ca="1">IFERROR(__xludf.DUMMYFUNCTION("""COMPUTED_VALUE"""),"adj Barnston Road, Barnston, Wirral CH61")</f>
        <v>adj Barnston Road, Barnston, Wirral CH61</v>
      </c>
      <c r="H1666" s="12">
        <f ca="1">IFERROR(__xludf.DUMMYFUNCTION("""COMPUTED_VALUE"""),45266)</f>
        <v>45266</v>
      </c>
      <c r="I1666" s="13"/>
      <c r="J1666" s="14"/>
      <c r="K1666" s="15"/>
      <c r="L1666" s="17" t="str">
        <f ca="1">IFERROR(__xludf.DUMMYFUNCTION("""COMPUTED_VALUE"""),"closed")</f>
        <v>closed</v>
      </c>
      <c r="M1666" s="17"/>
      <c r="N1666" s="15" t="str">
        <f ca="1">IFERROR(__xludf.DUMMYFUNCTION("""COMPUTED_VALUE"""),"error/escape")</f>
        <v>error/escape</v>
      </c>
      <c r="O1666" s="18" t="str">
        <f ca="1">IFERROR(__xludf.DUMMYFUNCTION("""COMPUTED_VALUE"""),"check with observer if a mistake - if not treat as escape")</f>
        <v>check with observer if a mistake - if not treat as escape</v>
      </c>
      <c r="P1666" s="15"/>
      <c r="Q1666" s="15"/>
      <c r="R1666" s="58"/>
      <c r="S1666" s="15"/>
      <c r="T1666" s="15"/>
      <c r="U1666" s="15"/>
      <c r="V1666" s="15"/>
      <c r="W1666" s="15"/>
      <c r="X1666" s="15"/>
      <c r="Y1666" s="15"/>
      <c r="Z1666" s="15"/>
      <c r="AA1666" s="15"/>
      <c r="AB1666" s="15"/>
      <c r="AC1666" s="15"/>
      <c r="AD1666" s="15"/>
      <c r="AE1666" s="15"/>
      <c r="AF1666" s="15"/>
      <c r="AG1666" s="15"/>
      <c r="AH1666" s="15"/>
      <c r="AI1666" s="15"/>
      <c r="AJ1666" s="15"/>
      <c r="AK1666" s="15"/>
      <c r="AL1666" s="15"/>
      <c r="AM1666" s="15"/>
      <c r="AN1666" s="15"/>
      <c r="AO1666" s="15"/>
      <c r="AP1666" s="15"/>
      <c r="AQ1666" s="15"/>
      <c r="AR1666" s="15"/>
      <c r="AS1666" s="15"/>
      <c r="AT1666" s="15"/>
      <c r="AU1666" s="15"/>
      <c r="AV1666" s="15"/>
      <c r="AW1666" s="15"/>
      <c r="AX1666" s="15"/>
      <c r="AY1666" s="15"/>
      <c r="AZ1666" s="15"/>
      <c r="BA1666" s="15"/>
      <c r="BB1666" s="15"/>
      <c r="BC1666" s="15"/>
      <c r="BD1666" s="15"/>
      <c r="BE1666" s="15"/>
      <c r="BF1666" s="15"/>
      <c r="BG1666" s="15"/>
      <c r="BH1666" s="15"/>
      <c r="BI1666" s="15"/>
      <c r="BJ1666" s="15"/>
      <c r="BK1666" s="15"/>
      <c r="BL1666" s="15"/>
      <c r="BM1666" s="15"/>
      <c r="BN1666" s="15"/>
      <c r="BO1666" s="15"/>
      <c r="BP1666" s="15"/>
      <c r="BQ1666" s="15"/>
      <c r="BR1666" s="15"/>
      <c r="BS1666" s="15"/>
      <c r="BT1666" s="15"/>
      <c r="BU1666" s="15"/>
      <c r="BV1666" s="15"/>
      <c r="BW1666" s="15"/>
      <c r="BX1666" s="15"/>
      <c r="BY1666" s="15"/>
      <c r="BZ1666" s="15"/>
      <c r="CA1666" s="15"/>
      <c r="CB1666" s="15"/>
    </row>
    <row r="1667" spans="1:80" ht="12.75" customHeight="1">
      <c r="A1667" s="20">
        <f ca="1">IFERROR(__xludf.DUMMYFUNCTION("""COMPUTED_VALUE"""),2023)</f>
        <v>2023</v>
      </c>
      <c r="B1667" s="45">
        <f ca="1">IFERROR(__xludf.DUMMYFUNCTION("""COMPUTED_VALUE"""),45553)</f>
        <v>45553</v>
      </c>
      <c r="C1667" s="46"/>
      <c r="D1667" s="47" t="str">
        <f ca="1">IFERROR(__xludf.DUMMYFUNCTION("""COMPUTED_VALUE"""),"Common Redpoll [Greenland/Iceland race]")</f>
        <v>Common Redpoll [Greenland/Iceland race]</v>
      </c>
      <c r="E1667" s="52">
        <f ca="1">IFERROR(__xludf.DUMMYFUNCTION("""COMPUTED_VALUE"""),1)</f>
        <v>1</v>
      </c>
      <c r="F1667" s="25"/>
      <c r="G1667" s="48" t="str">
        <f ca="1">IFERROR(__xludf.DUMMYFUNCTION("""COMPUTED_VALUE"""),"Hoylake")</f>
        <v>Hoylake</v>
      </c>
      <c r="H1667" s="22">
        <f ca="1">IFERROR(__xludf.DUMMYFUNCTION("""COMPUTED_VALUE"""),45024)</f>
        <v>45024</v>
      </c>
      <c r="I1667" s="23"/>
      <c r="J1667" s="24" t="str">
        <f ca="1">IFERROR(__xludf.DUMMYFUNCTION("""COMPUTED_VALUE"""),"Turner, Jane")</f>
        <v>Turner, Jane</v>
      </c>
      <c r="K1667" s="25" t="str">
        <f ca="1">IFERROR(__xludf.DUMMYFUNCTION("""COMPUTED_VALUE"""),"Turner, Jane")</f>
        <v>Turner, Jane</v>
      </c>
      <c r="L1667" s="27" t="str">
        <f ca="1">IFERROR(__xludf.DUMMYFUNCTION("""COMPUTED_VALUE"""),"closed")</f>
        <v>closed</v>
      </c>
      <c r="M1667" s="27" t="str">
        <f ca="1">IFERROR(__xludf.DUMMYFUNCTION("""COMPUTED_VALUE"""),"1st U")</f>
        <v>1st U</v>
      </c>
      <c r="N1667" s="40" t="str">
        <f ca="1">IFERROR(__xludf.DUMMYFUNCTION("""COMPUTED_VALUE"""),"accepted")</f>
        <v>accepted</v>
      </c>
      <c r="O1667" s="28" t="str">
        <f ca="1">IFERROR(__xludf.DUMMYFUNCTION("""COMPUTED_VALUE"""),"trapped/photographed")</f>
        <v>trapped/photographed</v>
      </c>
      <c r="P1667" s="25"/>
      <c r="Q1667" s="25"/>
      <c r="R1667" s="25"/>
      <c r="S1667" s="25"/>
      <c r="T1667" s="25"/>
      <c r="U1667" s="25"/>
      <c r="V1667" s="25"/>
      <c r="W1667" s="25"/>
      <c r="X1667" s="25"/>
      <c r="Y1667" s="25"/>
      <c r="Z1667" s="25"/>
      <c r="AA1667" s="25"/>
      <c r="AB1667" s="25"/>
      <c r="AC1667" s="25"/>
      <c r="AD1667" s="25"/>
      <c r="AE1667" s="25"/>
      <c r="AF1667" s="25"/>
      <c r="AG1667" s="25"/>
      <c r="AH1667" s="25"/>
      <c r="AI1667" s="25"/>
      <c r="AJ1667" s="25"/>
      <c r="AK1667" s="25"/>
      <c r="AL1667" s="25"/>
      <c r="AM1667" s="25"/>
      <c r="AN1667" s="25"/>
      <c r="AO1667" s="25"/>
      <c r="AP1667" s="25"/>
      <c r="AQ1667" s="25"/>
      <c r="AR1667" s="25"/>
      <c r="AS1667" s="25"/>
      <c r="AT1667" s="25"/>
      <c r="AU1667" s="25"/>
      <c r="AV1667" s="25"/>
      <c r="AW1667" s="25"/>
      <c r="AX1667" s="25"/>
      <c r="AY1667" s="25"/>
      <c r="AZ1667" s="25"/>
      <c r="BA1667" s="25"/>
      <c r="BB1667" s="25"/>
      <c r="BC1667" s="25"/>
      <c r="BD1667" s="25"/>
      <c r="BE1667" s="25"/>
      <c r="BF1667" s="25"/>
      <c r="BG1667" s="25"/>
      <c r="BH1667" s="25"/>
      <c r="BI1667" s="25"/>
      <c r="BJ1667" s="25"/>
      <c r="BK1667" s="25"/>
      <c r="BL1667" s="25"/>
      <c r="BM1667" s="25"/>
      <c r="BN1667" s="25"/>
      <c r="BO1667" s="25"/>
      <c r="BP1667" s="25"/>
      <c r="BQ1667" s="25"/>
      <c r="BR1667" s="25"/>
      <c r="BS1667" s="25"/>
      <c r="BT1667" s="25"/>
      <c r="BU1667" s="25"/>
      <c r="BV1667" s="25"/>
      <c r="BW1667" s="25"/>
      <c r="BX1667" s="25"/>
      <c r="BY1667" s="25"/>
      <c r="BZ1667" s="25"/>
      <c r="CA1667" s="25"/>
      <c r="CB1667" s="25"/>
    </row>
    <row r="1668" spans="1:80" ht="12.75" customHeight="1">
      <c r="A1668" s="10">
        <f ca="1">IFERROR(__xludf.DUMMYFUNCTION("""COMPUTED_VALUE"""),2023)</f>
        <v>2023</v>
      </c>
      <c r="B1668" s="50">
        <f ca="1">IFERROR(__xludf.DUMMYFUNCTION("""COMPUTED_VALUE"""),45555)</f>
        <v>45555</v>
      </c>
      <c r="C1668" s="41"/>
      <c r="D1668" s="42" t="str">
        <f ca="1">IFERROR(__xludf.DUMMYFUNCTION("""COMPUTED_VALUE"""),"Nightjar")</f>
        <v>Nightjar</v>
      </c>
      <c r="E1668" s="53">
        <f ca="1">IFERROR(__xludf.DUMMYFUNCTION("""COMPUTED_VALUE"""),1)</f>
        <v>1</v>
      </c>
      <c r="F1668" s="15"/>
      <c r="G1668" s="44" t="str">
        <f ca="1">IFERROR(__xludf.DUMMYFUNCTION("""COMPUTED_VALUE"""),"Bickerton Hill")</f>
        <v>Bickerton Hill</v>
      </c>
      <c r="H1668" s="12">
        <f ca="1">IFERROR(__xludf.DUMMYFUNCTION("""COMPUTED_VALUE"""),45092)</f>
        <v>45092</v>
      </c>
      <c r="I1668" s="13"/>
      <c r="J1668" s="14"/>
      <c r="K1668" s="15"/>
      <c r="L1668" s="17" t="str">
        <f ca="1">IFERROR(__xludf.DUMMYFUNCTION("""COMPUTED_VALUE"""),"limbo")</f>
        <v>limbo</v>
      </c>
      <c r="M1668" s="17"/>
      <c r="N1668" s="58" t="str">
        <f ca="1">IFERROR(__xludf.DUMMYFUNCTION("""COMPUTED_VALUE"""),"not submitted")</f>
        <v>not submitted</v>
      </c>
      <c r="O1668" s="18"/>
      <c r="P1668" s="15"/>
      <c r="Q1668" s="15"/>
      <c r="R1668" s="15"/>
      <c r="S1668" s="15"/>
      <c r="T1668" s="15"/>
      <c r="U1668" s="15"/>
      <c r="V1668" s="15"/>
      <c r="W1668" s="15"/>
      <c r="X1668" s="15"/>
      <c r="Y1668" s="15"/>
      <c r="Z1668" s="15"/>
      <c r="AA1668" s="15"/>
      <c r="AB1668" s="15"/>
      <c r="AC1668" s="15"/>
      <c r="AD1668" s="15"/>
      <c r="AE1668" s="15"/>
      <c r="AF1668" s="15"/>
      <c r="AG1668" s="15"/>
      <c r="AH1668" s="15"/>
      <c r="AI1668" s="15"/>
      <c r="AJ1668" s="15"/>
      <c r="AK1668" s="15"/>
      <c r="AL1668" s="15"/>
      <c r="AM1668" s="15"/>
      <c r="AN1668" s="15"/>
      <c r="AO1668" s="15"/>
      <c r="AP1668" s="15"/>
      <c r="AQ1668" s="15"/>
      <c r="AR1668" s="15"/>
      <c r="AS1668" s="15"/>
      <c r="AT1668" s="15"/>
      <c r="AU1668" s="15"/>
      <c r="AV1668" s="15"/>
      <c r="AW1668" s="15"/>
      <c r="AX1668" s="15"/>
      <c r="AY1668" s="15"/>
      <c r="AZ1668" s="15"/>
      <c r="BA1668" s="15"/>
      <c r="BB1668" s="15"/>
      <c r="BC1668" s="15"/>
      <c r="BD1668" s="15"/>
      <c r="BE1668" s="15"/>
      <c r="BF1668" s="15"/>
      <c r="BG1668" s="15"/>
      <c r="BH1668" s="15"/>
      <c r="BI1668" s="15"/>
      <c r="BJ1668" s="15"/>
      <c r="BK1668" s="15"/>
      <c r="BL1668" s="15"/>
      <c r="BM1668" s="15"/>
      <c r="BN1668" s="15"/>
      <c r="BO1668" s="15"/>
      <c r="BP1668" s="15"/>
      <c r="BQ1668" s="15"/>
      <c r="BR1668" s="15"/>
      <c r="BS1668" s="15"/>
      <c r="BT1668" s="15"/>
      <c r="BU1668" s="15"/>
      <c r="BV1668" s="15"/>
      <c r="BW1668" s="15"/>
      <c r="BX1668" s="15"/>
      <c r="BY1668" s="15"/>
      <c r="BZ1668" s="15"/>
      <c r="CA1668" s="15"/>
      <c r="CB1668" s="15"/>
    </row>
    <row r="1669" spans="1:80" ht="12.75" customHeight="1">
      <c r="A1669" s="20">
        <f ca="1">IFERROR(__xludf.DUMMYFUNCTION("""COMPUTED_VALUE"""),2023)</f>
        <v>2023</v>
      </c>
      <c r="B1669" s="45">
        <f ca="1">IFERROR(__xludf.DUMMYFUNCTION("""COMPUTED_VALUE"""),45384)</f>
        <v>45384</v>
      </c>
      <c r="C1669" s="46">
        <f ca="1">IFERROR(__xludf.DUMMYFUNCTION("""COMPUTED_VALUE"""),45384)</f>
        <v>45384</v>
      </c>
      <c r="D1669" s="47" t="str">
        <f ca="1">IFERROR(__xludf.DUMMYFUNCTION("""COMPUTED_VALUE"""),"Alpine Swift")</f>
        <v>Alpine Swift</v>
      </c>
      <c r="E1669" s="52">
        <f ca="1">IFERROR(__xludf.DUMMYFUNCTION("""COMPUTED_VALUE"""),2)</f>
        <v>2</v>
      </c>
      <c r="F1669" s="25"/>
      <c r="G1669" s="48" t="str">
        <f ca="1">IFERROR(__xludf.DUMMYFUNCTION("""COMPUTED_VALUE"""),"Hoylake")</f>
        <v>Hoylake</v>
      </c>
      <c r="H1669" s="22">
        <f ca="1">IFERROR(__xludf.DUMMYFUNCTION("""COMPUTED_VALUE"""),45007)</f>
        <v>45007</v>
      </c>
      <c r="I1669" s="23"/>
      <c r="J1669" s="24" t="str">
        <f ca="1">IFERROR(__xludf.DUMMYFUNCTION("""COMPUTED_VALUE"""),"Turner, Jane")</f>
        <v>Turner, Jane</v>
      </c>
      <c r="K1669" s="25" t="str">
        <f ca="1">IFERROR(__xludf.DUMMYFUNCTION("""COMPUTED_VALUE"""),"Turner, Jane")</f>
        <v>Turner, Jane</v>
      </c>
      <c r="L1669" s="27" t="str">
        <f ca="1">IFERROR(__xludf.DUMMYFUNCTION("""COMPUTED_VALUE"""),"closed")</f>
        <v>closed</v>
      </c>
      <c r="M1669" s="27" t="str">
        <f ca="1">IFERROR(__xludf.DUMMYFUNCTION("""COMPUTED_VALUE"""),"1st U")</f>
        <v>1st U</v>
      </c>
      <c r="N1669" s="25" t="str">
        <f ca="1">IFERROR(__xludf.DUMMYFUNCTION("""COMPUTED_VALUE"""),"accepted")</f>
        <v>accepted</v>
      </c>
      <c r="O1669" s="28"/>
      <c r="P1669" s="25"/>
      <c r="Q1669" s="25"/>
      <c r="R1669" s="25"/>
      <c r="S1669" s="25"/>
      <c r="T1669" s="25"/>
      <c r="U1669" s="25"/>
      <c r="V1669" s="25"/>
      <c r="W1669" s="25"/>
      <c r="X1669" s="25"/>
      <c r="Y1669" s="25"/>
      <c r="Z1669" s="25"/>
      <c r="AA1669" s="25"/>
      <c r="AB1669" s="25"/>
      <c r="AC1669" s="25"/>
      <c r="AD1669" s="25"/>
      <c r="AE1669" s="25"/>
      <c r="AF1669" s="25"/>
      <c r="AG1669" s="25"/>
      <c r="AH1669" s="25"/>
      <c r="AI1669" s="25"/>
      <c r="AJ1669" s="25"/>
      <c r="AK1669" s="25"/>
      <c r="AL1669" s="25"/>
      <c r="AM1669" s="25"/>
      <c r="AN1669" s="25"/>
      <c r="AO1669" s="25"/>
      <c r="AP1669" s="25"/>
      <c r="AQ1669" s="25"/>
      <c r="AR1669" s="25"/>
      <c r="AS1669" s="25"/>
      <c r="AT1669" s="25"/>
      <c r="AU1669" s="25"/>
      <c r="AV1669" s="25"/>
      <c r="AW1669" s="25"/>
      <c r="AX1669" s="25"/>
      <c r="AY1669" s="25"/>
      <c r="AZ1669" s="25"/>
      <c r="BA1669" s="25"/>
      <c r="BB1669" s="25"/>
      <c r="BC1669" s="25"/>
      <c r="BD1669" s="25"/>
      <c r="BE1669" s="25"/>
      <c r="BF1669" s="25"/>
      <c r="BG1669" s="25"/>
      <c r="BH1669" s="25"/>
      <c r="BI1669" s="25"/>
      <c r="BJ1669" s="25"/>
      <c r="BK1669" s="25"/>
      <c r="BL1669" s="25"/>
      <c r="BM1669" s="25"/>
      <c r="BN1669" s="25"/>
      <c r="BO1669" s="25"/>
      <c r="BP1669" s="25"/>
      <c r="BQ1669" s="25"/>
      <c r="BR1669" s="25"/>
      <c r="BS1669" s="25"/>
      <c r="BT1669" s="25"/>
      <c r="BU1669" s="25"/>
      <c r="BV1669" s="25"/>
      <c r="BW1669" s="25"/>
      <c r="BX1669" s="25"/>
      <c r="BY1669" s="25"/>
      <c r="BZ1669" s="25"/>
      <c r="CA1669" s="25"/>
      <c r="CB1669" s="25"/>
    </row>
    <row r="1670" spans="1:80" ht="12.75" customHeight="1">
      <c r="A1670" s="10">
        <f ca="1">IFERROR(__xludf.DUMMYFUNCTION("""COMPUTED_VALUE"""),2023)</f>
        <v>2023</v>
      </c>
      <c r="B1670" s="50">
        <f ca="1">IFERROR(__xludf.DUMMYFUNCTION("""COMPUTED_VALUE"""),45384)</f>
        <v>45384</v>
      </c>
      <c r="C1670" s="41"/>
      <c r="D1670" s="42" t="str">
        <f ca="1">IFERROR(__xludf.DUMMYFUNCTION("""COMPUTED_VALUE"""),"Alpine Swift")</f>
        <v>Alpine Swift</v>
      </c>
      <c r="E1670" s="53">
        <f ca="1">IFERROR(__xludf.DUMMYFUNCTION("""COMPUTED_VALUE"""),1)</f>
        <v>1</v>
      </c>
      <c r="F1670" s="15"/>
      <c r="G1670" s="44" t="str">
        <f ca="1">IFERROR(__xludf.DUMMYFUNCTION("""COMPUTED_VALUE"""),"Burton Mere Wetlands")</f>
        <v>Burton Mere Wetlands</v>
      </c>
      <c r="H1670" s="12">
        <f ca="1">IFERROR(__xludf.DUMMYFUNCTION("""COMPUTED_VALUE"""),45015)</f>
        <v>45015</v>
      </c>
      <c r="I1670" s="13"/>
      <c r="J1670" s="14" t="str">
        <f ca="1">IFERROR(__xludf.DUMMYFUNCTION("""COMPUTED_VALUE"""),"county recorder")</f>
        <v>county recorder</v>
      </c>
      <c r="K1670" s="15" t="str">
        <f ca="1">IFERROR(__xludf.DUMMYFUNCTION("""COMPUTED_VALUE"""),"unknown")</f>
        <v>unknown</v>
      </c>
      <c r="L1670" s="17" t="str">
        <f ca="1">IFERROR(__xludf.DUMMYFUNCTION("""COMPUTED_VALUE"""),"closed")</f>
        <v>closed</v>
      </c>
      <c r="M1670" s="17"/>
      <c r="N1670" s="58" t="str">
        <f ca="1">IFERROR(__xludf.DUMMYFUNCTION("""COMPUTED_VALUE"""),"Accepted without circulation")</f>
        <v>Accepted without circulation</v>
      </c>
      <c r="O1670" s="18" t="str">
        <f ca="1">IFERROR(__xludf.DUMMYFUNCTION("""COMPUTED_VALUE"""),"multi-observed and photographed")</f>
        <v>multi-observed and photographed</v>
      </c>
      <c r="P1670" s="15"/>
      <c r="Q1670" s="15"/>
      <c r="R1670" s="15"/>
      <c r="S1670" s="15"/>
      <c r="T1670" s="15"/>
      <c r="U1670" s="15"/>
      <c r="V1670" s="15"/>
      <c r="W1670" s="15"/>
      <c r="X1670" s="15"/>
      <c r="Y1670" s="15"/>
      <c r="Z1670" s="15"/>
      <c r="AA1670" s="15"/>
      <c r="AB1670" s="15"/>
      <c r="AC1670" s="15"/>
      <c r="AD1670" s="15"/>
      <c r="AE1670" s="15"/>
      <c r="AF1670" s="15"/>
      <c r="AG1670" s="15"/>
      <c r="AH1670" s="15"/>
      <c r="AI1670" s="15"/>
      <c r="AJ1670" s="15"/>
      <c r="AK1670" s="15"/>
      <c r="AL1670" s="15"/>
      <c r="AM1670" s="15"/>
      <c r="AN1670" s="15"/>
      <c r="AO1670" s="15"/>
      <c r="AP1670" s="15"/>
      <c r="AQ1670" s="15"/>
      <c r="AR1670" s="15"/>
      <c r="AS1670" s="15"/>
      <c r="AT1670" s="15"/>
      <c r="AU1670" s="15"/>
      <c r="AV1670" s="15"/>
      <c r="AW1670" s="15"/>
      <c r="AX1670" s="15"/>
      <c r="AY1670" s="15"/>
      <c r="AZ1670" s="15"/>
      <c r="BA1670" s="15"/>
      <c r="BB1670" s="15"/>
      <c r="BC1670" s="15"/>
      <c r="BD1670" s="15"/>
      <c r="BE1670" s="15"/>
      <c r="BF1670" s="15"/>
      <c r="BG1670" s="15"/>
      <c r="BH1670" s="15"/>
      <c r="BI1670" s="15"/>
      <c r="BJ1670" s="15"/>
      <c r="BK1670" s="15"/>
      <c r="BL1670" s="15"/>
      <c r="BM1670" s="15"/>
      <c r="BN1670" s="15"/>
      <c r="BO1670" s="15"/>
      <c r="BP1670" s="15"/>
      <c r="BQ1670" s="15"/>
      <c r="BR1670" s="15"/>
      <c r="BS1670" s="15"/>
      <c r="BT1670" s="15"/>
      <c r="BU1670" s="15"/>
      <c r="BV1670" s="15"/>
      <c r="BW1670" s="15"/>
      <c r="BX1670" s="15"/>
      <c r="BY1670" s="15"/>
      <c r="BZ1670" s="15"/>
      <c r="CA1670" s="15"/>
      <c r="CB1670" s="15"/>
    </row>
    <row r="1671" spans="1:80" ht="18.75" customHeight="1">
      <c r="A1671" s="20">
        <f ca="1">IFERROR(__xludf.DUMMYFUNCTION("""COMPUTED_VALUE"""),2023)</f>
        <v>2023</v>
      </c>
      <c r="B1671" s="45">
        <f ca="1">IFERROR(__xludf.DUMMYFUNCTION("""COMPUTED_VALUE"""),45624)</f>
        <v>45624</v>
      </c>
      <c r="C1671" s="46">
        <f ca="1">IFERROR(__xludf.DUMMYFUNCTION("""COMPUTED_VALUE"""),45624)</f>
        <v>45624</v>
      </c>
      <c r="D1671" s="47" t="str">
        <f ca="1">IFERROR(__xludf.DUMMYFUNCTION("""COMPUTED_VALUE"""),"Alpine Swift")</f>
        <v>Alpine Swift</v>
      </c>
      <c r="E1671" s="52">
        <f ca="1">IFERROR(__xludf.DUMMYFUNCTION("""COMPUTED_VALUE"""),1)</f>
        <v>1</v>
      </c>
      <c r="F1671" s="25"/>
      <c r="G1671" s="48" t="str">
        <f ca="1">IFERROR(__xludf.DUMMYFUNCTION("""COMPUTED_VALUE"""),"Woolston Eyes")</f>
        <v>Woolston Eyes</v>
      </c>
      <c r="H1671" s="22">
        <f ca="1">IFERROR(__xludf.DUMMYFUNCTION("""COMPUTED_VALUE"""),45022)</f>
        <v>45022</v>
      </c>
      <c r="I1671" s="23"/>
      <c r="J1671" s="24" t="str">
        <f ca="1">IFERROR(__xludf.DUMMYFUNCTION("""COMPUTED_VALUE"""),"Daniel Owen")</f>
        <v>Daniel Owen</v>
      </c>
      <c r="K1671" s="25" t="str">
        <f ca="1">IFERROR(__xludf.DUMMYFUNCTION("""COMPUTED_VALUE"""),"Daniel Owen")</f>
        <v>Daniel Owen</v>
      </c>
      <c r="L1671" s="27" t="str">
        <f ca="1">IFERROR(__xludf.DUMMYFUNCTION("""COMPUTED_VALUE"""),"closed")</f>
        <v>closed</v>
      </c>
      <c r="M1671" s="27" t="str">
        <f ca="1">IFERROR(__xludf.DUMMYFUNCTION("""COMPUTED_VALUE"""),"1st U")</f>
        <v>1st U</v>
      </c>
      <c r="N1671" s="40" t="str">
        <f ca="1">IFERROR(__xludf.DUMMYFUNCTION("""COMPUTED_VALUE"""),"accepted")</f>
        <v>accepted</v>
      </c>
      <c r="O1671" s="28"/>
      <c r="P1671" s="25"/>
      <c r="Q1671" s="25"/>
      <c r="R1671" s="25"/>
      <c r="S1671" s="25"/>
      <c r="T1671" s="25"/>
      <c r="U1671" s="25"/>
      <c r="V1671" s="25"/>
      <c r="W1671" s="25"/>
      <c r="X1671" s="25"/>
      <c r="Y1671" s="25"/>
      <c r="Z1671" s="25"/>
      <c r="AA1671" s="25"/>
      <c r="AB1671" s="25"/>
      <c r="AC1671" s="25"/>
      <c r="AD1671" s="25"/>
      <c r="AE1671" s="25"/>
      <c r="AF1671" s="25"/>
      <c r="AG1671" s="25"/>
      <c r="AH1671" s="25"/>
      <c r="AI1671" s="25"/>
      <c r="AJ1671" s="25"/>
      <c r="AK1671" s="25"/>
      <c r="AL1671" s="25"/>
      <c r="AM1671" s="25"/>
      <c r="AN1671" s="25"/>
      <c r="AO1671" s="25"/>
      <c r="AP1671" s="25"/>
      <c r="AQ1671" s="25"/>
      <c r="AR1671" s="25"/>
      <c r="AS1671" s="25"/>
      <c r="AT1671" s="25"/>
      <c r="AU1671" s="25"/>
      <c r="AV1671" s="25"/>
      <c r="AW1671" s="25"/>
      <c r="AX1671" s="25"/>
      <c r="AY1671" s="25"/>
      <c r="AZ1671" s="25"/>
      <c r="BA1671" s="25"/>
      <c r="BB1671" s="25"/>
      <c r="BC1671" s="25"/>
      <c r="BD1671" s="25"/>
      <c r="BE1671" s="25"/>
      <c r="BF1671" s="25"/>
      <c r="BG1671" s="25"/>
      <c r="BH1671" s="25"/>
      <c r="BI1671" s="25"/>
      <c r="BJ1671" s="25"/>
      <c r="BK1671" s="25"/>
      <c r="BL1671" s="25"/>
      <c r="BM1671" s="25"/>
      <c r="BN1671" s="25"/>
      <c r="BO1671" s="25"/>
      <c r="BP1671" s="25"/>
      <c r="BQ1671" s="25"/>
      <c r="BR1671" s="25"/>
      <c r="BS1671" s="25"/>
      <c r="BT1671" s="25"/>
      <c r="BU1671" s="25"/>
      <c r="BV1671" s="25"/>
      <c r="BW1671" s="25"/>
      <c r="BX1671" s="25"/>
      <c r="BY1671" s="25"/>
      <c r="BZ1671" s="25"/>
      <c r="CA1671" s="25"/>
      <c r="CB1671" s="25"/>
    </row>
    <row r="1672" spans="1:80" ht="12.75" customHeight="1">
      <c r="A1672" s="10">
        <f ca="1">IFERROR(__xludf.DUMMYFUNCTION("""COMPUTED_VALUE"""),2023)</f>
        <v>2023</v>
      </c>
      <c r="B1672" s="50">
        <f ca="1">IFERROR(__xludf.DUMMYFUNCTION("""COMPUTED_VALUE"""),45780)</f>
        <v>45780</v>
      </c>
      <c r="C1672" s="41">
        <f ca="1">IFERROR(__xludf.DUMMYFUNCTION("""COMPUTED_VALUE"""),45780)</f>
        <v>45780</v>
      </c>
      <c r="D1672" s="42" t="str">
        <f ca="1">IFERROR(__xludf.DUMMYFUNCTION("""COMPUTED_VALUE"""),"Wryneck")</f>
        <v>Wryneck</v>
      </c>
      <c r="E1672" s="53">
        <f ca="1">IFERROR(__xludf.DUMMYFUNCTION("""COMPUTED_VALUE"""),1)</f>
        <v>1</v>
      </c>
      <c r="F1672" s="15"/>
      <c r="G1672" s="44" t="str">
        <f ca="1">IFERROR(__xludf.DUMMYFUNCTION("""COMPUTED_VALUE"""),"Frodsham No 4 Tank")</f>
        <v>Frodsham No 4 Tank</v>
      </c>
      <c r="H1672" s="12">
        <f ca="1">IFERROR(__xludf.DUMMYFUNCTION("""COMPUTED_VALUE"""),45059)</f>
        <v>45059</v>
      </c>
      <c r="I1672" s="13"/>
      <c r="J1672" s="14" t="str">
        <f ca="1">IFERROR(__xludf.DUMMYFUNCTION("""COMPUTED_VALUE"""),"Frank Duff")</f>
        <v>Frank Duff</v>
      </c>
      <c r="K1672" s="15" t="str">
        <f ca="1">IFERROR(__xludf.DUMMYFUNCTION("""COMPUTED_VALUE"""),"Paul Crawley")</f>
        <v>Paul Crawley</v>
      </c>
      <c r="L1672" s="17" t="str">
        <f ca="1">IFERROR(__xludf.DUMMYFUNCTION("""COMPUTED_VALUE"""),"closed")</f>
        <v>closed</v>
      </c>
      <c r="M1672" s="17"/>
      <c r="N1672" s="58" t="str">
        <f ca="1">IFERROR(__xludf.DUMMYFUNCTION("""COMPUTED_VALUE"""),"Accepted")</f>
        <v>Accepted</v>
      </c>
      <c r="O1672" s="18" t="str">
        <f ca="1">IFERROR(__xludf.DUMMYFUNCTION("""COMPUTED_VALUE"""),"Phootographed, mult observed")</f>
        <v>Phootographed, mult observed</v>
      </c>
      <c r="P1672" s="15"/>
      <c r="Q1672" s="15"/>
      <c r="R1672" s="15"/>
      <c r="S1672" s="15"/>
      <c r="T1672" s="15"/>
      <c r="U1672" s="15"/>
      <c r="V1672" s="15"/>
      <c r="W1672" s="15"/>
      <c r="X1672" s="15"/>
      <c r="Y1672" s="15"/>
      <c r="Z1672" s="15"/>
      <c r="AA1672" s="15"/>
      <c r="AB1672" s="15"/>
      <c r="AC1672" s="15"/>
      <c r="AD1672" s="15"/>
      <c r="AE1672" s="15"/>
      <c r="AF1672" s="15"/>
      <c r="AG1672" s="15"/>
      <c r="AH1672" s="15"/>
      <c r="AI1672" s="15"/>
      <c r="AJ1672" s="15"/>
      <c r="AK1672" s="15"/>
      <c r="AL1672" s="15"/>
      <c r="AM1672" s="15"/>
      <c r="AN1672" s="15"/>
      <c r="AO1672" s="15"/>
      <c r="AP1672" s="15"/>
      <c r="AQ1672" s="15"/>
      <c r="AR1672" s="15"/>
      <c r="AS1672" s="15"/>
      <c r="AT1672" s="15"/>
      <c r="AU1672" s="15"/>
      <c r="AV1672" s="15"/>
      <c r="AW1672" s="15"/>
      <c r="AX1672" s="15"/>
      <c r="AY1672" s="15"/>
      <c r="AZ1672" s="15"/>
      <c r="BA1672" s="15"/>
      <c r="BB1672" s="15"/>
      <c r="BC1672" s="15"/>
      <c r="BD1672" s="15"/>
      <c r="BE1672" s="15"/>
      <c r="BF1672" s="15"/>
      <c r="BG1672" s="15"/>
      <c r="BH1672" s="15"/>
      <c r="BI1672" s="15"/>
      <c r="BJ1672" s="15"/>
      <c r="BK1672" s="15"/>
      <c r="BL1672" s="15"/>
      <c r="BM1672" s="15"/>
      <c r="BN1672" s="15"/>
      <c r="BO1672" s="15"/>
      <c r="BP1672" s="15"/>
      <c r="BQ1672" s="15"/>
      <c r="BR1672" s="15"/>
      <c r="BS1672" s="15"/>
      <c r="BT1672" s="15"/>
      <c r="BU1672" s="15"/>
      <c r="BV1672" s="15"/>
      <c r="BW1672" s="15"/>
      <c r="BX1672" s="15"/>
      <c r="BY1672" s="15"/>
      <c r="BZ1672" s="15"/>
      <c r="CA1672" s="15"/>
      <c r="CB1672" s="15"/>
    </row>
    <row r="1673" spans="1:80" ht="12.75" customHeight="1">
      <c r="A1673" s="20">
        <f ca="1">IFERROR(__xludf.DUMMYFUNCTION("""COMPUTED_VALUE"""),2023)</f>
        <v>2023</v>
      </c>
      <c r="B1673" s="45"/>
      <c r="C1673" s="46"/>
      <c r="D1673" s="47" t="str">
        <f ca="1">IFERROR(__xludf.DUMMYFUNCTION("""COMPUTED_VALUE"""),"Wryneck")</f>
        <v>Wryneck</v>
      </c>
      <c r="E1673" s="52">
        <f ca="1">IFERROR(__xludf.DUMMYFUNCTION("""COMPUTED_VALUE"""),1)</f>
        <v>1</v>
      </c>
      <c r="F1673" s="25"/>
      <c r="G1673" s="48" t="str">
        <f ca="1">IFERROR(__xludf.DUMMYFUNCTION("""COMPUTED_VALUE"""),"Spital")</f>
        <v>Spital</v>
      </c>
      <c r="H1673" s="22">
        <f ca="1">IFERROR(__xludf.DUMMYFUNCTION("""COMPUTED_VALUE"""),45161)</f>
        <v>45161</v>
      </c>
      <c r="I1673" s="23"/>
      <c r="J1673" s="24"/>
      <c r="K1673" s="25"/>
      <c r="L1673" s="27" t="str">
        <f ca="1">IFERROR(__xludf.DUMMYFUNCTION("""COMPUTED_VALUE"""),"open")</f>
        <v>open</v>
      </c>
      <c r="M1673" s="27" t="str">
        <f ca="1">IFERROR(__xludf.DUMMYFUNCTION("""COMPUTED_VALUE"""),"1st U")</f>
        <v>1st U</v>
      </c>
      <c r="N1673" s="40" t="str">
        <f ca="1">IFERROR(__xludf.DUMMYFUNCTION("""COMPUTED_VALUE"""),"accepted")</f>
        <v>accepted</v>
      </c>
      <c r="O1673" s="28" t="str">
        <f ca="1">IFERROR(__xludf.DUMMYFUNCTION("""COMPUTED_VALUE"""),"photo")</f>
        <v>photo</v>
      </c>
      <c r="P1673" s="25"/>
      <c r="Q1673" s="25"/>
      <c r="R1673" s="25"/>
      <c r="S1673" s="25"/>
      <c r="T1673" s="25"/>
      <c r="U1673" s="25"/>
      <c r="V1673" s="25"/>
      <c r="W1673" s="25"/>
      <c r="X1673" s="25"/>
      <c r="Y1673" s="25"/>
      <c r="Z1673" s="25"/>
      <c r="AA1673" s="25"/>
      <c r="AB1673" s="25"/>
      <c r="AC1673" s="25"/>
      <c r="AD1673" s="25"/>
      <c r="AE1673" s="25"/>
      <c r="AF1673" s="25"/>
      <c r="AG1673" s="25"/>
      <c r="AH1673" s="25"/>
      <c r="AI1673" s="25"/>
      <c r="AJ1673" s="25"/>
      <c r="AK1673" s="25"/>
      <c r="AL1673" s="25"/>
      <c r="AM1673" s="25"/>
      <c r="AN1673" s="25"/>
      <c r="AO1673" s="25"/>
      <c r="AP1673" s="25"/>
      <c r="AQ1673" s="25"/>
      <c r="AR1673" s="25"/>
      <c r="AS1673" s="25"/>
      <c r="AT1673" s="25"/>
      <c r="AU1673" s="25"/>
      <c r="AV1673" s="25"/>
      <c r="AW1673" s="25"/>
      <c r="AX1673" s="25"/>
      <c r="AY1673" s="25"/>
      <c r="AZ1673" s="25"/>
      <c r="BA1673" s="25"/>
      <c r="BB1673" s="25"/>
      <c r="BC1673" s="25"/>
      <c r="BD1673" s="25"/>
      <c r="BE1673" s="25"/>
      <c r="BF1673" s="25"/>
      <c r="BG1673" s="25"/>
      <c r="BH1673" s="25"/>
      <c r="BI1673" s="25"/>
      <c r="BJ1673" s="25"/>
      <c r="BK1673" s="25"/>
      <c r="BL1673" s="25"/>
      <c r="BM1673" s="25"/>
      <c r="BN1673" s="25"/>
      <c r="BO1673" s="25"/>
      <c r="BP1673" s="25"/>
      <c r="BQ1673" s="25"/>
      <c r="BR1673" s="25"/>
      <c r="BS1673" s="25"/>
      <c r="BT1673" s="25"/>
      <c r="BU1673" s="25"/>
      <c r="BV1673" s="25"/>
      <c r="BW1673" s="25"/>
      <c r="BX1673" s="25"/>
      <c r="BY1673" s="25"/>
      <c r="BZ1673" s="25"/>
      <c r="CA1673" s="25"/>
      <c r="CB1673" s="25"/>
    </row>
    <row r="1674" spans="1:80" ht="12.75" customHeight="1">
      <c r="A1674" s="10">
        <f ca="1">IFERROR(__xludf.DUMMYFUNCTION("""COMPUTED_VALUE"""),2023)</f>
        <v>2023</v>
      </c>
      <c r="B1674" s="50">
        <f ca="1">IFERROR(__xludf.DUMMYFUNCTION("""COMPUTED_VALUE"""),45558)</f>
        <v>45558</v>
      </c>
      <c r="C1674" s="41"/>
      <c r="D1674" s="42" t="str">
        <f ca="1">IFERROR(__xludf.DUMMYFUNCTION("""COMPUTED_VALUE"""),"Water Pipit")</f>
        <v>Water Pipit</v>
      </c>
      <c r="E1674" s="53">
        <f ca="1">IFERROR(__xludf.DUMMYFUNCTION("""COMPUTED_VALUE"""),1)</f>
        <v>1</v>
      </c>
      <c r="F1674" s="15"/>
      <c r="G1674" s="44" t="str">
        <f ca="1">IFERROR(__xludf.DUMMYFUNCTION("""COMPUTED_VALUE"""),"Wigg Island")</f>
        <v>Wigg Island</v>
      </c>
      <c r="H1674" s="12">
        <f ca="1">IFERROR(__xludf.DUMMYFUNCTION("""COMPUTED_VALUE"""),45233)</f>
        <v>45233</v>
      </c>
      <c r="I1674" s="13"/>
      <c r="J1674" s="14"/>
      <c r="K1674" s="15"/>
      <c r="L1674" s="17" t="str">
        <f ca="1">IFERROR(__xludf.DUMMYFUNCTION("""COMPUTED_VALUE"""),"limbo")</f>
        <v>limbo</v>
      </c>
      <c r="M1674" s="17"/>
      <c r="N1674" s="58" t="str">
        <f ca="1">IFERROR(__xludf.DUMMYFUNCTION("""COMPUTED_VALUE"""),"not submitted")</f>
        <v>not submitted</v>
      </c>
      <c r="O1674" s="18"/>
      <c r="P1674" s="15"/>
      <c r="Q1674" s="15"/>
      <c r="R1674" s="15"/>
      <c r="S1674" s="15"/>
      <c r="T1674" s="15"/>
      <c r="U1674" s="15"/>
      <c r="V1674" s="15"/>
      <c r="W1674" s="15"/>
      <c r="X1674" s="15"/>
      <c r="Y1674" s="15"/>
      <c r="Z1674" s="15"/>
      <c r="AA1674" s="15"/>
      <c r="AB1674" s="15"/>
      <c r="AC1674" s="15"/>
      <c r="AD1674" s="15"/>
      <c r="AE1674" s="15"/>
      <c r="AF1674" s="15"/>
      <c r="AG1674" s="15"/>
      <c r="AH1674" s="15"/>
      <c r="AI1674" s="15"/>
      <c r="AJ1674" s="15"/>
      <c r="AK1674" s="15"/>
      <c r="AL1674" s="15"/>
      <c r="AM1674" s="15"/>
      <c r="AN1674" s="15"/>
      <c r="AO1674" s="15"/>
      <c r="AP1674" s="15"/>
      <c r="AQ1674" s="15"/>
      <c r="AR1674" s="15"/>
      <c r="AS1674" s="15"/>
      <c r="AT1674" s="15"/>
      <c r="AU1674" s="15"/>
      <c r="AV1674" s="15"/>
      <c r="AW1674" s="15"/>
      <c r="AX1674" s="15"/>
      <c r="AY1674" s="15"/>
      <c r="AZ1674" s="15"/>
      <c r="BA1674" s="15"/>
      <c r="BB1674" s="15"/>
      <c r="BC1674" s="15"/>
      <c r="BD1674" s="15"/>
      <c r="BE1674" s="15"/>
      <c r="BF1674" s="15"/>
      <c r="BG1674" s="15"/>
      <c r="BH1674" s="15"/>
      <c r="BI1674" s="15"/>
      <c r="BJ1674" s="15"/>
      <c r="BK1674" s="15"/>
      <c r="BL1674" s="15"/>
      <c r="BM1674" s="15"/>
      <c r="BN1674" s="15"/>
      <c r="BO1674" s="15"/>
      <c r="BP1674" s="15"/>
      <c r="BQ1674" s="15"/>
      <c r="BR1674" s="15"/>
      <c r="BS1674" s="15"/>
      <c r="BT1674" s="15"/>
      <c r="BU1674" s="15"/>
      <c r="BV1674" s="15"/>
      <c r="BW1674" s="15"/>
      <c r="BX1674" s="15"/>
      <c r="BY1674" s="15"/>
      <c r="BZ1674" s="15"/>
      <c r="CA1674" s="15"/>
      <c r="CB1674" s="15"/>
    </row>
    <row r="1675" spans="1:80" ht="12.75" customHeight="1">
      <c r="A1675" s="20">
        <f ca="1">IFERROR(__xludf.DUMMYFUNCTION("""COMPUTED_VALUE"""),2023)</f>
        <v>2023</v>
      </c>
      <c r="B1675" s="45"/>
      <c r="C1675" s="46"/>
      <c r="D1675" s="47" t="str">
        <f ca="1">IFERROR(__xludf.DUMMYFUNCTION("""COMPUTED_VALUE"""),"Wood Warbler")</f>
        <v>Wood Warbler</v>
      </c>
      <c r="E1675" s="52">
        <f ca="1">IFERROR(__xludf.DUMMYFUNCTION("""COMPUTED_VALUE"""),1)</f>
        <v>1</v>
      </c>
      <c r="F1675" s="25"/>
      <c r="G1675" s="48" t="str">
        <f ca="1">IFERROR(__xludf.DUMMYFUNCTION("""COMPUTED_VALUE"""),"Meols/Leasowe")</f>
        <v>Meols/Leasowe</v>
      </c>
      <c r="H1675" s="22">
        <f ca="1">IFERROR(__xludf.DUMMYFUNCTION("""COMPUTED_VALUE"""),45045)</f>
        <v>45045</v>
      </c>
      <c r="I1675" s="23"/>
      <c r="J1675" s="24"/>
      <c r="K1675" s="25"/>
      <c r="L1675" s="27" t="str">
        <f ca="1">IFERROR(__xludf.DUMMYFUNCTION("""COMPUTED_VALUE"""),"limbo")</f>
        <v>limbo</v>
      </c>
      <c r="M1675" s="27"/>
      <c r="N1675" s="40" t="str">
        <f ca="1">IFERROR(__xludf.DUMMYFUNCTION("""COMPUTED_VALUE"""),"not submitted")</f>
        <v>not submitted</v>
      </c>
      <c r="O1675" s="28"/>
      <c r="P1675" s="25"/>
      <c r="Q1675" s="25"/>
      <c r="R1675" s="25"/>
      <c r="S1675" s="25"/>
      <c r="T1675" s="25"/>
      <c r="U1675" s="25"/>
      <c r="V1675" s="25"/>
      <c r="W1675" s="25"/>
      <c r="X1675" s="25"/>
      <c r="Y1675" s="25"/>
      <c r="Z1675" s="25"/>
      <c r="AA1675" s="25"/>
      <c r="AB1675" s="25"/>
      <c r="AC1675" s="25"/>
      <c r="AD1675" s="25"/>
      <c r="AE1675" s="25"/>
      <c r="AF1675" s="25"/>
      <c r="AG1675" s="25"/>
      <c r="AH1675" s="25"/>
      <c r="AI1675" s="25"/>
      <c r="AJ1675" s="25"/>
      <c r="AK1675" s="25"/>
      <c r="AL1675" s="25"/>
      <c r="AM1675" s="25"/>
      <c r="AN1675" s="25"/>
      <c r="AO1675" s="25"/>
      <c r="AP1675" s="25"/>
      <c r="AQ1675" s="25"/>
      <c r="AR1675" s="25"/>
      <c r="AS1675" s="25"/>
      <c r="AT1675" s="25"/>
      <c r="AU1675" s="25"/>
      <c r="AV1675" s="25"/>
      <c r="AW1675" s="25"/>
      <c r="AX1675" s="25"/>
      <c r="AY1675" s="25"/>
      <c r="AZ1675" s="25"/>
      <c r="BA1675" s="25"/>
      <c r="BB1675" s="25"/>
      <c r="BC1675" s="25"/>
      <c r="BD1675" s="25"/>
      <c r="BE1675" s="25"/>
      <c r="BF1675" s="25"/>
      <c r="BG1675" s="25"/>
      <c r="BH1675" s="25"/>
      <c r="BI1675" s="25"/>
      <c r="BJ1675" s="25"/>
      <c r="BK1675" s="25"/>
      <c r="BL1675" s="25"/>
      <c r="BM1675" s="25"/>
      <c r="BN1675" s="25"/>
      <c r="BO1675" s="25"/>
      <c r="BP1675" s="25"/>
      <c r="BQ1675" s="25"/>
      <c r="BR1675" s="25"/>
      <c r="BS1675" s="25"/>
      <c r="BT1675" s="25"/>
      <c r="BU1675" s="25"/>
      <c r="BV1675" s="25"/>
      <c r="BW1675" s="25"/>
      <c r="BX1675" s="25"/>
      <c r="BY1675" s="25"/>
      <c r="BZ1675" s="25"/>
      <c r="CA1675" s="25"/>
      <c r="CB1675" s="25"/>
    </row>
    <row r="1676" spans="1:80" ht="12.75" customHeight="1">
      <c r="A1676" s="10">
        <f ca="1">IFERROR(__xludf.DUMMYFUNCTION("""COMPUTED_VALUE"""),2023)</f>
        <v>2023</v>
      </c>
      <c r="B1676" s="50">
        <f ca="1">IFERROR(__xludf.DUMMYFUNCTION("""COMPUTED_VALUE"""),45557)</f>
        <v>45557</v>
      </c>
      <c r="C1676" s="41"/>
      <c r="D1676" s="42" t="str">
        <f ca="1">IFERROR(__xludf.DUMMYFUNCTION("""COMPUTED_VALUE"""),"Spotted Crake")</f>
        <v>Spotted Crake</v>
      </c>
      <c r="E1676" s="53">
        <f ca="1">IFERROR(__xludf.DUMMYFUNCTION("""COMPUTED_VALUE"""),1)</f>
        <v>1</v>
      </c>
      <c r="F1676" s="15"/>
      <c r="G1676" s="44" t="str">
        <f ca="1">IFERROR(__xludf.DUMMYFUNCTION("""COMPUTED_VALUE"""),"Burton Mere Wetlands RSPB")</f>
        <v>Burton Mere Wetlands RSPB</v>
      </c>
      <c r="H1676" s="12">
        <f ca="1">IFERROR(__xludf.DUMMYFUNCTION("""COMPUTED_VALUE"""),45138)</f>
        <v>45138</v>
      </c>
      <c r="I1676" s="12">
        <f ca="1">IFERROR(__xludf.DUMMYFUNCTION("""COMPUTED_VALUE"""),45151)</f>
        <v>45151</v>
      </c>
      <c r="J1676" s="14"/>
      <c r="K1676" s="15"/>
      <c r="L1676" s="17" t="str">
        <f ca="1">IFERROR(__xludf.DUMMYFUNCTION("""COMPUTED_VALUE"""),"limbo")</f>
        <v>limbo</v>
      </c>
      <c r="M1676" s="17"/>
      <c r="N1676" s="58" t="str">
        <f ca="1">IFERROR(__xludf.DUMMYFUNCTION("""COMPUTED_VALUE"""),"not submitted")</f>
        <v>not submitted</v>
      </c>
      <c r="O1676" s="18" t="str">
        <f ca="1">IFERROR(__xludf.DUMMYFUNCTION("""COMPUTED_VALUE"""),"1st and last dates only")</f>
        <v>1st and last dates only</v>
      </c>
      <c r="P1676" s="15"/>
      <c r="Q1676" s="15"/>
      <c r="R1676" s="15"/>
      <c r="S1676" s="15"/>
      <c r="T1676" s="15"/>
      <c r="U1676" s="15"/>
      <c r="V1676" s="15"/>
      <c r="W1676" s="15"/>
      <c r="X1676" s="15"/>
      <c r="Y1676" s="15"/>
      <c r="Z1676" s="15"/>
      <c r="AA1676" s="15"/>
      <c r="AB1676" s="15"/>
      <c r="AC1676" s="15"/>
      <c r="AD1676" s="15"/>
      <c r="AE1676" s="15"/>
      <c r="AF1676" s="15"/>
      <c r="AG1676" s="15"/>
      <c r="AH1676" s="15"/>
      <c r="AI1676" s="15"/>
      <c r="AJ1676" s="15"/>
      <c r="AK1676" s="15"/>
      <c r="AL1676" s="15"/>
      <c r="AM1676" s="15"/>
      <c r="AN1676" s="15"/>
      <c r="AO1676" s="15"/>
      <c r="AP1676" s="15"/>
      <c r="AQ1676" s="15"/>
      <c r="AR1676" s="15"/>
      <c r="AS1676" s="15"/>
      <c r="AT1676" s="15"/>
      <c r="AU1676" s="15"/>
      <c r="AV1676" s="15"/>
      <c r="AW1676" s="15"/>
      <c r="AX1676" s="15"/>
      <c r="AY1676" s="15"/>
      <c r="AZ1676" s="15"/>
      <c r="BA1676" s="15"/>
      <c r="BB1676" s="15"/>
      <c r="BC1676" s="15"/>
      <c r="BD1676" s="15"/>
      <c r="BE1676" s="15"/>
      <c r="BF1676" s="15"/>
      <c r="BG1676" s="15"/>
      <c r="BH1676" s="15"/>
      <c r="BI1676" s="15"/>
      <c r="BJ1676" s="15"/>
      <c r="BK1676" s="15"/>
      <c r="BL1676" s="15"/>
      <c r="BM1676" s="15"/>
      <c r="BN1676" s="15"/>
      <c r="BO1676" s="15"/>
      <c r="BP1676" s="15"/>
      <c r="BQ1676" s="15"/>
      <c r="BR1676" s="15"/>
      <c r="BS1676" s="15"/>
      <c r="BT1676" s="15"/>
      <c r="BU1676" s="15"/>
      <c r="BV1676" s="15"/>
      <c r="BW1676" s="15"/>
      <c r="BX1676" s="15"/>
      <c r="BY1676" s="15"/>
      <c r="BZ1676" s="15"/>
      <c r="CA1676" s="15"/>
      <c r="CB1676" s="15"/>
    </row>
    <row r="1677" spans="1:80" ht="12.75" customHeight="1">
      <c r="A1677" s="20">
        <f ca="1">IFERROR(__xludf.DUMMYFUNCTION("""COMPUTED_VALUE"""),2023)</f>
        <v>2023</v>
      </c>
      <c r="B1677" s="45">
        <f ca="1">IFERROR(__xludf.DUMMYFUNCTION("""COMPUTED_VALUE"""),45384)</f>
        <v>45384</v>
      </c>
      <c r="C1677" s="46"/>
      <c r="D1677" s="47" t="str">
        <f ca="1">IFERROR(__xludf.DUMMYFUNCTION("""COMPUTED_VALUE"""),"Black-necked Grebe")</f>
        <v>Black-necked Grebe</v>
      </c>
      <c r="E1677" s="52">
        <f ca="1">IFERROR(__xludf.DUMMYFUNCTION("""COMPUTED_VALUE"""),1)</f>
        <v>1</v>
      </c>
      <c r="F1677" s="25"/>
      <c r="G1677" s="48" t="str">
        <f ca="1">IFERROR(__xludf.DUMMYFUNCTION("""COMPUTED_VALUE"""),"Hoylake Shore")</f>
        <v>Hoylake Shore</v>
      </c>
      <c r="H1677" s="22">
        <f ca="1">IFERROR(__xludf.DUMMYFUNCTION("""COMPUTED_VALUE"""),45157)</f>
        <v>45157</v>
      </c>
      <c r="I1677" s="23"/>
      <c r="J1677" s="24"/>
      <c r="K1677" s="25"/>
      <c r="L1677" s="27" t="str">
        <f ca="1">IFERROR(__xludf.DUMMYFUNCTION("""COMPUTED_VALUE"""),"limbo")</f>
        <v>limbo</v>
      </c>
      <c r="M1677" s="27"/>
      <c r="N1677" s="40" t="str">
        <f ca="1">IFERROR(__xludf.DUMMYFUNCTION("""COMPUTED_VALUE"""),"not submitted")</f>
        <v>not submitted</v>
      </c>
      <c r="O1677" s="28"/>
      <c r="P1677" s="25"/>
      <c r="Q1677" s="25"/>
      <c r="R1677" s="25"/>
      <c r="S1677" s="25"/>
      <c r="T1677" s="25"/>
      <c r="U1677" s="25"/>
      <c r="V1677" s="25"/>
      <c r="W1677" s="25"/>
      <c r="X1677" s="25"/>
      <c r="Y1677" s="25"/>
      <c r="Z1677" s="25"/>
      <c r="AA1677" s="25"/>
      <c r="AB1677" s="25"/>
      <c r="AC1677" s="25"/>
      <c r="AD1677" s="25"/>
      <c r="AE1677" s="25"/>
      <c r="AF1677" s="25"/>
      <c r="AG1677" s="25"/>
      <c r="AH1677" s="25"/>
      <c r="AI1677" s="25"/>
      <c r="AJ1677" s="25"/>
      <c r="AK1677" s="25"/>
      <c r="AL1677" s="25"/>
      <c r="AM1677" s="25"/>
      <c r="AN1677" s="25"/>
      <c r="AO1677" s="25"/>
      <c r="AP1677" s="25"/>
      <c r="AQ1677" s="25"/>
      <c r="AR1677" s="25"/>
      <c r="AS1677" s="25"/>
      <c r="AT1677" s="25"/>
      <c r="AU1677" s="25"/>
      <c r="AV1677" s="25"/>
      <c r="AW1677" s="25"/>
      <c r="AX1677" s="25"/>
      <c r="AY1677" s="25"/>
      <c r="AZ1677" s="25"/>
      <c r="BA1677" s="25"/>
      <c r="BB1677" s="25"/>
      <c r="BC1677" s="25"/>
      <c r="BD1677" s="25"/>
      <c r="BE1677" s="25"/>
      <c r="BF1677" s="25"/>
      <c r="BG1677" s="25"/>
      <c r="BH1677" s="25"/>
      <c r="BI1677" s="25"/>
      <c r="BJ1677" s="25"/>
      <c r="BK1677" s="25"/>
      <c r="BL1677" s="25"/>
      <c r="BM1677" s="25"/>
      <c r="BN1677" s="25"/>
      <c r="BO1677" s="25"/>
      <c r="BP1677" s="25"/>
      <c r="BQ1677" s="25"/>
      <c r="BR1677" s="25"/>
      <c r="BS1677" s="25"/>
      <c r="BT1677" s="25"/>
      <c r="BU1677" s="25"/>
      <c r="BV1677" s="25"/>
      <c r="BW1677" s="25"/>
      <c r="BX1677" s="25"/>
      <c r="BY1677" s="25"/>
      <c r="BZ1677" s="25"/>
      <c r="CA1677" s="25"/>
      <c r="CB1677" s="25"/>
    </row>
    <row r="1678" spans="1:80" ht="12.75" customHeight="1">
      <c r="A1678" s="10">
        <f ca="1">IFERROR(__xludf.DUMMYFUNCTION("""COMPUTED_VALUE"""),2023)</f>
        <v>2023</v>
      </c>
      <c r="B1678" s="50">
        <f ca="1">IFERROR(__xludf.DUMMYFUNCTION("""COMPUTED_VALUE"""),45523)</f>
        <v>45523</v>
      </c>
      <c r="C1678" s="41"/>
      <c r="D1678" s="42" t="str">
        <f ca="1">IFERROR(__xludf.DUMMYFUNCTION("""COMPUTED_VALUE"""),"Black-winged Stilt")</f>
        <v>Black-winged Stilt</v>
      </c>
      <c r="E1678" s="53">
        <f ca="1">IFERROR(__xludf.DUMMYFUNCTION("""COMPUTED_VALUE"""),1)</f>
        <v>1</v>
      </c>
      <c r="F1678" s="15"/>
      <c r="G1678" s="44" t="str">
        <f ca="1">IFERROR(__xludf.DUMMYFUNCTION("""COMPUTED_VALUE"""),"Burton Mere Wetlands")</f>
        <v>Burton Mere Wetlands</v>
      </c>
      <c r="H1678" s="12">
        <f ca="1">IFERROR(__xludf.DUMMYFUNCTION("""COMPUTED_VALUE"""),45043)</f>
        <v>45043</v>
      </c>
      <c r="I1678" s="13" t="str">
        <f ca="1">IFERROR(__xludf.DUMMYFUNCTION("""COMPUTED_VALUE"""),"7/623")</f>
        <v>7/623</v>
      </c>
      <c r="J1678" s="14"/>
      <c r="K1678" s="15"/>
      <c r="L1678" s="17" t="str">
        <f ca="1">IFERROR(__xludf.DUMMYFUNCTION("""COMPUTED_VALUE"""),"closed")</f>
        <v>closed</v>
      </c>
      <c r="M1678" s="17"/>
      <c r="N1678" s="58" t="str">
        <f ca="1">IFERROR(__xludf.DUMMYFUNCTION("""COMPUTED_VALUE"""),"accepted without circulation")</f>
        <v>accepted without circulation</v>
      </c>
      <c r="O1678" s="18" t="str">
        <f ca="1">IFERROR(__xludf.DUMMYFUNCTION("""COMPUTED_VALUE"""),"intemitently")</f>
        <v>intemitently</v>
      </c>
      <c r="P1678" s="15"/>
      <c r="Q1678" s="15"/>
      <c r="R1678" s="15"/>
      <c r="S1678" s="15"/>
      <c r="T1678" s="15"/>
      <c r="U1678" s="15"/>
      <c r="V1678" s="15"/>
      <c r="W1678" s="15"/>
      <c r="X1678" s="15"/>
      <c r="Y1678" s="15"/>
      <c r="Z1678" s="15"/>
      <c r="AA1678" s="15"/>
      <c r="AB1678" s="15"/>
      <c r="AC1678" s="15"/>
      <c r="AD1678" s="15"/>
      <c r="AE1678" s="15"/>
      <c r="AF1678" s="15"/>
      <c r="AG1678" s="15"/>
      <c r="AH1678" s="15"/>
      <c r="AI1678" s="15"/>
      <c r="AJ1678" s="15"/>
      <c r="AK1678" s="15"/>
      <c r="AL1678" s="15"/>
      <c r="AM1678" s="15"/>
      <c r="AN1678" s="15"/>
      <c r="AO1678" s="15"/>
      <c r="AP1678" s="15"/>
      <c r="AQ1678" s="15"/>
      <c r="AR1678" s="15"/>
      <c r="AS1678" s="15"/>
      <c r="AT1678" s="15"/>
      <c r="AU1678" s="15"/>
      <c r="AV1678" s="15"/>
      <c r="AW1678" s="15"/>
      <c r="AX1678" s="15"/>
      <c r="AY1678" s="15"/>
      <c r="AZ1678" s="15"/>
      <c r="BA1678" s="15"/>
      <c r="BB1678" s="15"/>
      <c r="BC1678" s="15"/>
      <c r="BD1678" s="15"/>
      <c r="BE1678" s="15"/>
      <c r="BF1678" s="15"/>
      <c r="BG1678" s="15"/>
      <c r="BH1678" s="15"/>
      <c r="BI1678" s="15"/>
      <c r="BJ1678" s="15"/>
      <c r="BK1678" s="15"/>
      <c r="BL1678" s="15"/>
      <c r="BM1678" s="15"/>
      <c r="BN1678" s="15"/>
      <c r="BO1678" s="15"/>
      <c r="BP1678" s="15"/>
      <c r="BQ1678" s="15"/>
      <c r="BR1678" s="15"/>
      <c r="BS1678" s="15"/>
      <c r="BT1678" s="15"/>
      <c r="BU1678" s="15"/>
      <c r="BV1678" s="15"/>
      <c r="BW1678" s="15"/>
      <c r="BX1678" s="15"/>
      <c r="BY1678" s="15"/>
      <c r="BZ1678" s="15"/>
      <c r="CA1678" s="15"/>
      <c r="CB1678" s="15"/>
    </row>
    <row r="1679" spans="1:80" ht="12.75" customHeight="1">
      <c r="A1679" s="20">
        <f ca="1">IFERROR(__xludf.DUMMYFUNCTION("""COMPUTED_VALUE"""),2023)</f>
        <v>2023</v>
      </c>
      <c r="B1679" s="45">
        <f ca="1">IFERROR(__xludf.DUMMYFUNCTION("""COMPUTED_VALUE"""),45557)</f>
        <v>45557</v>
      </c>
      <c r="C1679" s="46"/>
      <c r="D1679" s="47" t="str">
        <f ca="1">IFERROR(__xludf.DUMMYFUNCTION("""COMPUTED_VALUE"""),"Temminck's Stint")</f>
        <v>Temminck's Stint</v>
      </c>
      <c r="E1679" s="52">
        <f ca="1">IFERROR(__xludf.DUMMYFUNCTION("""COMPUTED_VALUE"""),1)</f>
        <v>1</v>
      </c>
      <c r="F1679" s="25"/>
      <c r="G1679" s="48" t="str">
        <f ca="1">IFERROR(__xludf.DUMMYFUNCTION("""COMPUTED_VALUE"""),"Carr Lane Pools, Hale")</f>
        <v>Carr Lane Pools, Hale</v>
      </c>
      <c r="H1679" s="22">
        <f ca="1">IFERROR(__xludf.DUMMYFUNCTION("""COMPUTED_VALUE"""),45062)</f>
        <v>45062</v>
      </c>
      <c r="I1679" s="22">
        <f ca="1">IFERROR(__xludf.DUMMYFUNCTION("""COMPUTED_VALUE"""),45068)</f>
        <v>45068</v>
      </c>
      <c r="J1679" s="24" t="str">
        <f ca="1">IFERROR(__xludf.DUMMYFUNCTION("""COMPUTED_VALUE"""),"County recorder")</f>
        <v>County recorder</v>
      </c>
      <c r="K1679" s="25" t="str">
        <f ca="1">IFERROR(__xludf.DUMMYFUNCTION("""COMPUTED_VALUE"""),"tbd")</f>
        <v>tbd</v>
      </c>
      <c r="L1679" s="27" t="str">
        <f ca="1">IFERROR(__xludf.DUMMYFUNCTION("""COMPUTED_VALUE"""),"closed")</f>
        <v>closed</v>
      </c>
      <c r="M1679" s="27"/>
      <c r="N1679" s="40" t="str">
        <f ca="1">IFERROR(__xludf.DUMMYFUNCTION("""COMPUTED_VALUE"""),"Accepted w/o circ")</f>
        <v>Accepted w/o circ</v>
      </c>
      <c r="O1679" s="28"/>
      <c r="P1679" s="25"/>
      <c r="Q1679" s="25"/>
      <c r="R1679" s="25"/>
      <c r="S1679" s="25"/>
      <c r="T1679" s="25"/>
      <c r="U1679" s="25"/>
      <c r="V1679" s="25"/>
      <c r="W1679" s="25"/>
      <c r="X1679" s="25"/>
      <c r="Y1679" s="25"/>
      <c r="Z1679" s="25"/>
      <c r="AA1679" s="25"/>
      <c r="AB1679" s="25"/>
      <c r="AC1679" s="25"/>
      <c r="AD1679" s="25"/>
      <c r="AE1679" s="25"/>
      <c r="AF1679" s="25"/>
      <c r="AG1679" s="25"/>
      <c r="AH1679" s="25"/>
      <c r="AI1679" s="25"/>
      <c r="AJ1679" s="25"/>
      <c r="AK1679" s="25"/>
      <c r="AL1679" s="25"/>
      <c r="AM1679" s="25"/>
      <c r="AN1679" s="25"/>
      <c r="AO1679" s="25"/>
      <c r="AP1679" s="25"/>
      <c r="AQ1679" s="25"/>
      <c r="AR1679" s="25"/>
      <c r="AS1679" s="25"/>
      <c r="AT1679" s="25"/>
      <c r="AU1679" s="25"/>
      <c r="AV1679" s="25"/>
      <c r="AW1679" s="25"/>
      <c r="AX1679" s="25"/>
      <c r="AY1679" s="25"/>
      <c r="AZ1679" s="25"/>
      <c r="BA1679" s="25"/>
      <c r="BB1679" s="25"/>
      <c r="BC1679" s="25"/>
      <c r="BD1679" s="25"/>
      <c r="BE1679" s="25"/>
      <c r="BF1679" s="25"/>
      <c r="BG1679" s="25"/>
      <c r="BH1679" s="25"/>
      <c r="BI1679" s="25"/>
      <c r="BJ1679" s="25"/>
      <c r="BK1679" s="25"/>
      <c r="BL1679" s="25"/>
      <c r="BM1679" s="25"/>
      <c r="BN1679" s="25"/>
      <c r="BO1679" s="25"/>
      <c r="BP1679" s="25"/>
      <c r="BQ1679" s="25"/>
      <c r="BR1679" s="25"/>
      <c r="BS1679" s="25"/>
      <c r="BT1679" s="25"/>
      <c r="BU1679" s="25"/>
      <c r="BV1679" s="25"/>
      <c r="BW1679" s="25"/>
      <c r="BX1679" s="25"/>
      <c r="BY1679" s="25"/>
      <c r="BZ1679" s="25"/>
      <c r="CA1679" s="25"/>
      <c r="CB1679" s="25"/>
    </row>
    <row r="1680" spans="1:80" ht="12.75" customHeight="1">
      <c r="A1680" s="10">
        <f ca="1">IFERROR(__xludf.DUMMYFUNCTION("""COMPUTED_VALUE"""),2023)</f>
        <v>2023</v>
      </c>
      <c r="B1680" s="50">
        <f ca="1">IFERROR(__xludf.DUMMYFUNCTION("""COMPUTED_VALUE"""),45384)</f>
        <v>45384</v>
      </c>
      <c r="C1680" s="41"/>
      <c r="D1680" s="42" t="str">
        <f ca="1">IFERROR(__xludf.DUMMYFUNCTION("""COMPUTED_VALUE"""),"Baird's Sandpiper")</f>
        <v>Baird's Sandpiper</v>
      </c>
      <c r="E1680" s="53">
        <f ca="1">IFERROR(__xludf.DUMMYFUNCTION("""COMPUTED_VALUE"""),1)</f>
        <v>1</v>
      </c>
      <c r="F1680" s="15"/>
      <c r="G1680" s="44" t="str">
        <f ca="1">IFERROR(__xludf.DUMMYFUNCTION("""COMPUTED_VALUE"""),"Meols")</f>
        <v>Meols</v>
      </c>
      <c r="H1680" s="12">
        <f ca="1">IFERROR(__xludf.DUMMYFUNCTION("""COMPUTED_VALUE"""),45189)</f>
        <v>45189</v>
      </c>
      <c r="I1680" s="12">
        <f ca="1">IFERROR(__xludf.DUMMYFUNCTION("""COMPUTED_VALUE"""),45190)</f>
        <v>45190</v>
      </c>
      <c r="J1680" s="14"/>
      <c r="K1680" s="15"/>
      <c r="L1680" s="17" t="str">
        <f ca="1">IFERROR(__xludf.DUMMYFUNCTION("""COMPUTED_VALUE"""),"open")</f>
        <v>open</v>
      </c>
      <c r="M1680" s="17"/>
      <c r="N1680" s="58" t="str">
        <f ca="1">IFERROR(__xludf.DUMMYFUNCTION("""COMPUTED_VALUE"""),"BBRC-IC")</f>
        <v>BBRC-IC</v>
      </c>
      <c r="O1680" s="18" t="str">
        <f ca="1">IFERROR(__xludf.DUMMYFUNCTION("""COMPUTED_VALUE""")," ")</f>
        <v xml:space="preserve"> </v>
      </c>
      <c r="P1680" s="15"/>
      <c r="Q1680" s="15"/>
      <c r="R1680" s="15"/>
      <c r="S1680" s="15"/>
      <c r="T1680" s="15"/>
      <c r="U1680" s="15"/>
      <c r="V1680" s="15"/>
      <c r="W1680" s="15"/>
      <c r="X1680" s="15"/>
      <c r="Y1680" s="15"/>
      <c r="Z1680" s="15"/>
      <c r="AA1680" s="15"/>
      <c r="AB1680" s="15"/>
      <c r="AC1680" s="15"/>
      <c r="AD1680" s="15"/>
      <c r="AE1680" s="15"/>
      <c r="AF1680" s="15"/>
      <c r="AG1680" s="15"/>
      <c r="AH1680" s="15"/>
      <c r="AI1680" s="15"/>
      <c r="AJ1680" s="15"/>
      <c r="AK1680" s="15"/>
      <c r="AL1680" s="15"/>
      <c r="AM1680" s="15"/>
      <c r="AN1680" s="15"/>
      <c r="AO1680" s="15"/>
      <c r="AP1680" s="15"/>
      <c r="AQ1680" s="15"/>
      <c r="AR1680" s="15"/>
      <c r="AS1680" s="15"/>
      <c r="AT1680" s="15"/>
      <c r="AU1680" s="15"/>
      <c r="AV1680" s="15"/>
      <c r="AW1680" s="15"/>
      <c r="AX1680" s="15"/>
      <c r="AY1680" s="15"/>
      <c r="AZ1680" s="15"/>
      <c r="BA1680" s="15"/>
      <c r="BB1680" s="15"/>
      <c r="BC1680" s="15"/>
      <c r="BD1680" s="15"/>
      <c r="BE1680" s="15"/>
      <c r="BF1680" s="15"/>
      <c r="BG1680" s="15"/>
      <c r="BH1680" s="15"/>
      <c r="BI1680" s="15"/>
      <c r="BJ1680" s="15"/>
      <c r="BK1680" s="15"/>
      <c r="BL1680" s="15"/>
      <c r="BM1680" s="15"/>
      <c r="BN1680" s="15"/>
      <c r="BO1680" s="15"/>
      <c r="BP1680" s="15"/>
      <c r="BQ1680" s="15"/>
      <c r="BR1680" s="15"/>
      <c r="BS1680" s="15"/>
      <c r="BT1680" s="15"/>
      <c r="BU1680" s="15"/>
      <c r="BV1680" s="15"/>
      <c r="BW1680" s="15"/>
      <c r="BX1680" s="15"/>
      <c r="BY1680" s="15"/>
      <c r="BZ1680" s="15"/>
      <c r="CA1680" s="15"/>
      <c r="CB1680" s="15"/>
    </row>
    <row r="1681" spans="1:80" ht="12.75" customHeight="1">
      <c r="A1681" s="20">
        <f ca="1">IFERROR(__xludf.DUMMYFUNCTION("""COMPUTED_VALUE"""),2023)</f>
        <v>2023</v>
      </c>
      <c r="B1681" s="45">
        <f ca="1">IFERROR(__xludf.DUMMYFUNCTION("""COMPUTED_VALUE"""),45557)</f>
        <v>45557</v>
      </c>
      <c r="C1681" s="46"/>
      <c r="D1681" s="47" t="str">
        <f ca="1">IFERROR(__xludf.DUMMYFUNCTION("""COMPUTED_VALUE"""),"Pectoral Sandpiper")</f>
        <v>Pectoral Sandpiper</v>
      </c>
      <c r="E1681" s="52">
        <f ca="1">IFERROR(__xludf.DUMMYFUNCTION("""COMPUTED_VALUE"""),1)</f>
        <v>1</v>
      </c>
      <c r="F1681" s="25"/>
      <c r="G1681" s="48" t="str">
        <f ca="1">IFERROR(__xludf.DUMMYFUNCTION("""COMPUTED_VALUE"""),"Carr Lane Pools, hale")</f>
        <v>Carr Lane Pools, hale</v>
      </c>
      <c r="H1681" s="22">
        <f ca="1">IFERROR(__xludf.DUMMYFUNCTION("""COMPUTED_VALUE"""),45060)</f>
        <v>45060</v>
      </c>
      <c r="I1681" s="82">
        <f ca="1">IFERROR(__xludf.DUMMYFUNCTION("""COMPUTED_VALUE"""),45063)</f>
        <v>45063</v>
      </c>
      <c r="J1681" s="24"/>
      <c r="K1681" s="25"/>
      <c r="L1681" s="27" t="str">
        <f ca="1">IFERROR(__xludf.DUMMYFUNCTION("""COMPUTED_VALUE"""),"closed")</f>
        <v>closed</v>
      </c>
      <c r="M1681" s="27" t="str">
        <f ca="1">IFERROR(__xludf.DUMMYFUNCTION("""COMPUTED_VALUE"""),"photo")</f>
        <v>photo</v>
      </c>
      <c r="N1681" s="40" t="str">
        <f ca="1">IFERROR(__xludf.DUMMYFUNCTION("""COMPUTED_VALUE"""),"Accepted w/o circ")</f>
        <v>Accepted w/o circ</v>
      </c>
      <c r="O1681" s="28"/>
      <c r="P1681" s="25"/>
      <c r="Q1681" s="25"/>
      <c r="R1681" s="25"/>
      <c r="S1681" s="25"/>
      <c r="T1681" s="25"/>
      <c r="U1681" s="25"/>
      <c r="V1681" s="25"/>
      <c r="W1681" s="25"/>
      <c r="X1681" s="25"/>
      <c r="Y1681" s="25"/>
      <c r="Z1681" s="25"/>
      <c r="AA1681" s="25"/>
      <c r="AB1681" s="25"/>
      <c r="AC1681" s="25"/>
      <c r="AD1681" s="25"/>
      <c r="AE1681" s="25"/>
      <c r="AF1681" s="25"/>
      <c r="AG1681" s="25"/>
      <c r="AH1681" s="25"/>
      <c r="AI1681" s="25"/>
      <c r="AJ1681" s="25"/>
      <c r="AK1681" s="25"/>
      <c r="AL1681" s="25"/>
      <c r="AM1681" s="25"/>
      <c r="AN1681" s="25"/>
      <c r="AO1681" s="25"/>
      <c r="AP1681" s="25"/>
      <c r="AQ1681" s="25"/>
      <c r="AR1681" s="25"/>
      <c r="AS1681" s="25"/>
      <c r="AT1681" s="25"/>
      <c r="AU1681" s="25"/>
      <c r="AV1681" s="25"/>
      <c r="AW1681" s="25"/>
      <c r="AX1681" s="25"/>
      <c r="AY1681" s="25"/>
      <c r="AZ1681" s="25"/>
      <c r="BA1681" s="25"/>
      <c r="BB1681" s="25"/>
      <c r="BC1681" s="25"/>
      <c r="BD1681" s="25"/>
      <c r="BE1681" s="25"/>
      <c r="BF1681" s="25"/>
      <c r="BG1681" s="25"/>
      <c r="BH1681" s="25"/>
      <c r="BI1681" s="25"/>
      <c r="BJ1681" s="25"/>
      <c r="BK1681" s="25"/>
      <c r="BL1681" s="25"/>
      <c r="BM1681" s="25"/>
      <c r="BN1681" s="25"/>
      <c r="BO1681" s="25"/>
      <c r="BP1681" s="25"/>
      <c r="BQ1681" s="25"/>
      <c r="BR1681" s="25"/>
      <c r="BS1681" s="25"/>
      <c r="BT1681" s="25"/>
      <c r="BU1681" s="25"/>
      <c r="BV1681" s="25"/>
      <c r="BW1681" s="25"/>
      <c r="BX1681" s="25"/>
      <c r="BY1681" s="25"/>
      <c r="BZ1681" s="25"/>
      <c r="CA1681" s="25"/>
      <c r="CB1681" s="25"/>
    </row>
    <row r="1682" spans="1:80" ht="12.75" customHeight="1">
      <c r="A1682" s="10">
        <f ca="1">IFERROR(__xludf.DUMMYFUNCTION("""COMPUTED_VALUE"""),2023)</f>
        <v>2023</v>
      </c>
      <c r="B1682" s="50">
        <f ca="1">IFERROR(__xludf.DUMMYFUNCTION("""COMPUTED_VALUE"""),45557)</f>
        <v>45557</v>
      </c>
      <c r="C1682" s="41"/>
      <c r="D1682" s="42" t="str">
        <f ca="1">IFERROR(__xludf.DUMMYFUNCTION("""COMPUTED_VALUE"""),"Pectoral Sandpiper")</f>
        <v>Pectoral Sandpiper</v>
      </c>
      <c r="E1682" s="53">
        <f ca="1">IFERROR(__xludf.DUMMYFUNCTION("""COMPUTED_VALUE"""),1)</f>
        <v>1</v>
      </c>
      <c r="F1682" s="15"/>
      <c r="G1682" s="44" t="str">
        <f ca="1">IFERROR(__xludf.DUMMYFUNCTION("""COMPUTED_VALUE"""),"Burton Mere Wetlands RSPB")</f>
        <v>Burton Mere Wetlands RSPB</v>
      </c>
      <c r="H1682" s="12">
        <f ca="1">IFERROR(__xludf.DUMMYFUNCTION("""COMPUTED_VALUE"""),45184)</f>
        <v>45184</v>
      </c>
      <c r="I1682" s="12">
        <f ca="1">IFERROR(__xludf.DUMMYFUNCTION("""COMPUTED_VALUE"""),45201)</f>
        <v>45201</v>
      </c>
      <c r="J1682" s="14"/>
      <c r="K1682" s="15"/>
      <c r="L1682" s="17" t="str">
        <f ca="1">IFERROR(__xludf.DUMMYFUNCTION("""COMPUTED_VALUE"""),"closed")</f>
        <v>closed</v>
      </c>
      <c r="M1682" s="17" t="str">
        <f ca="1">IFERROR(__xludf.DUMMYFUNCTION("""COMPUTED_VALUE"""),"photo")</f>
        <v>photo</v>
      </c>
      <c r="N1682" s="58" t="str">
        <f ca="1">IFERROR(__xludf.DUMMYFUNCTION("""COMPUTED_VALUE"""),"Accepted w/o circ")</f>
        <v>Accepted w/o circ</v>
      </c>
      <c r="O1682" s="18"/>
      <c r="P1682" s="15"/>
      <c r="Q1682" s="15"/>
      <c r="R1682" s="15"/>
      <c r="S1682" s="15"/>
      <c r="T1682" s="15"/>
      <c r="U1682" s="15"/>
      <c r="V1682" s="15"/>
      <c r="W1682" s="15"/>
      <c r="X1682" s="15"/>
      <c r="Y1682" s="15"/>
      <c r="Z1682" s="15"/>
      <c r="AA1682" s="15"/>
      <c r="AB1682" s="15"/>
      <c r="AC1682" s="15"/>
      <c r="AD1682" s="15"/>
      <c r="AE1682" s="15"/>
      <c r="AF1682" s="15"/>
      <c r="AG1682" s="15"/>
      <c r="AH1682" s="15"/>
      <c r="AI1682" s="15"/>
      <c r="AJ1682" s="15"/>
      <c r="AK1682" s="15"/>
      <c r="AL1682" s="15"/>
      <c r="AM1682" s="15"/>
      <c r="AN1682" s="15"/>
      <c r="AO1682" s="15"/>
      <c r="AP1682" s="15"/>
      <c r="AQ1682" s="15"/>
      <c r="AR1682" s="15"/>
      <c r="AS1682" s="15"/>
      <c r="AT1682" s="15"/>
      <c r="AU1682" s="15"/>
      <c r="AV1682" s="15"/>
      <c r="AW1682" s="15"/>
      <c r="AX1682" s="15"/>
      <c r="AY1682" s="15"/>
      <c r="AZ1682" s="15"/>
      <c r="BA1682" s="15"/>
      <c r="BB1682" s="15"/>
      <c r="BC1682" s="15"/>
      <c r="BD1682" s="15"/>
      <c r="BE1682" s="15"/>
      <c r="BF1682" s="15"/>
      <c r="BG1682" s="15"/>
      <c r="BH1682" s="15"/>
      <c r="BI1682" s="15"/>
      <c r="BJ1682" s="15"/>
      <c r="BK1682" s="15"/>
      <c r="BL1682" s="15"/>
      <c r="BM1682" s="15"/>
      <c r="BN1682" s="15"/>
      <c r="BO1682" s="15"/>
      <c r="BP1682" s="15"/>
      <c r="BQ1682" s="15"/>
      <c r="BR1682" s="15"/>
      <c r="BS1682" s="15"/>
      <c r="BT1682" s="15"/>
      <c r="BU1682" s="15"/>
      <c r="BV1682" s="15"/>
      <c r="BW1682" s="15"/>
      <c r="BX1682" s="15"/>
      <c r="BY1682" s="15"/>
      <c r="BZ1682" s="15"/>
      <c r="CA1682" s="15"/>
      <c r="CB1682" s="15"/>
    </row>
    <row r="1683" spans="1:80" ht="12.75" customHeight="1">
      <c r="A1683" s="20">
        <f ca="1">IFERROR(__xludf.DUMMYFUNCTION("""COMPUTED_VALUE"""),2023)</f>
        <v>2023</v>
      </c>
      <c r="B1683" s="45">
        <f ca="1">IFERROR(__xludf.DUMMYFUNCTION("""COMPUTED_VALUE"""),45555)</f>
        <v>45555</v>
      </c>
      <c r="C1683" s="46"/>
      <c r="D1683" s="47" t="str">
        <f ca="1">IFERROR(__xludf.DUMMYFUNCTION("""COMPUTED_VALUE"""),"Long-billed Dowitcher")</f>
        <v>Long-billed Dowitcher</v>
      </c>
      <c r="E1683" s="52">
        <f ca="1">IFERROR(__xludf.DUMMYFUNCTION("""COMPUTED_VALUE"""),1)</f>
        <v>1</v>
      </c>
      <c r="F1683" s="25"/>
      <c r="G1683" s="48" t="str">
        <f ca="1">IFERROR(__xludf.DUMMYFUNCTION("""COMPUTED_VALUE"""),"Burton Mere Wetlands RSPB")</f>
        <v>Burton Mere Wetlands RSPB</v>
      </c>
      <c r="H1683" s="22">
        <f ca="1">IFERROR(__xludf.DUMMYFUNCTION("""COMPUTED_VALUE"""),44937)</f>
        <v>44937</v>
      </c>
      <c r="I1683" s="23"/>
      <c r="J1683" s="24"/>
      <c r="K1683" s="25"/>
      <c r="L1683" s="27" t="str">
        <f ca="1">IFERROR(__xludf.DUMMYFUNCTION("""COMPUTED_VALUE"""),"Limbo")</f>
        <v>Limbo</v>
      </c>
      <c r="M1683" s="27"/>
      <c r="N1683" s="40" t="str">
        <f ca="1">IFERROR(__xludf.DUMMYFUNCTION("""COMPUTED_VALUE"""),"BBRC - not submitted")</f>
        <v>BBRC - not submitted</v>
      </c>
      <c r="O1683" s="28"/>
      <c r="P1683" s="25"/>
      <c r="Q1683" s="25"/>
      <c r="R1683" s="25"/>
      <c r="S1683" s="25"/>
      <c r="T1683" s="25"/>
      <c r="U1683" s="25"/>
      <c r="V1683" s="25"/>
      <c r="W1683" s="25"/>
      <c r="X1683" s="25"/>
      <c r="Y1683" s="25"/>
      <c r="Z1683" s="25"/>
      <c r="AA1683" s="25"/>
      <c r="AB1683" s="25"/>
      <c r="AC1683" s="25"/>
      <c r="AD1683" s="25"/>
      <c r="AE1683" s="25"/>
      <c r="AF1683" s="25"/>
      <c r="AG1683" s="25"/>
      <c r="AH1683" s="25"/>
      <c r="AI1683" s="25"/>
      <c r="AJ1683" s="25"/>
      <c r="AK1683" s="25"/>
      <c r="AL1683" s="25"/>
      <c r="AM1683" s="25"/>
      <c r="AN1683" s="25"/>
      <c r="AO1683" s="25"/>
      <c r="AP1683" s="25"/>
      <c r="AQ1683" s="25"/>
      <c r="AR1683" s="25"/>
      <c r="AS1683" s="25"/>
      <c r="AT1683" s="25"/>
      <c r="AU1683" s="25"/>
      <c r="AV1683" s="25"/>
      <c r="AW1683" s="25"/>
      <c r="AX1683" s="25"/>
      <c r="AY1683" s="25"/>
      <c r="AZ1683" s="25"/>
      <c r="BA1683" s="25"/>
      <c r="BB1683" s="25"/>
      <c r="BC1683" s="25"/>
      <c r="BD1683" s="25"/>
      <c r="BE1683" s="25"/>
      <c r="BF1683" s="25"/>
      <c r="BG1683" s="25"/>
      <c r="BH1683" s="25"/>
      <c r="BI1683" s="25"/>
      <c r="BJ1683" s="25"/>
      <c r="BK1683" s="25"/>
      <c r="BL1683" s="25"/>
      <c r="BM1683" s="25"/>
      <c r="BN1683" s="25"/>
      <c r="BO1683" s="25"/>
      <c r="BP1683" s="25"/>
      <c r="BQ1683" s="25"/>
      <c r="BR1683" s="25"/>
      <c r="BS1683" s="25"/>
      <c r="BT1683" s="25"/>
      <c r="BU1683" s="25"/>
      <c r="BV1683" s="25"/>
      <c r="BW1683" s="25"/>
      <c r="BX1683" s="25"/>
      <c r="BY1683" s="25"/>
      <c r="BZ1683" s="25"/>
      <c r="CA1683" s="25"/>
      <c r="CB1683" s="25"/>
    </row>
    <row r="1684" spans="1:80" ht="12.75" customHeight="1">
      <c r="A1684" s="10">
        <f ca="1">IFERROR(__xludf.DUMMYFUNCTION("""COMPUTED_VALUE"""),2023)</f>
        <v>2023</v>
      </c>
      <c r="B1684" s="50">
        <f ca="1">IFERROR(__xludf.DUMMYFUNCTION("""COMPUTED_VALUE"""),45555)</f>
        <v>45555</v>
      </c>
      <c r="C1684" s="41"/>
      <c r="D1684" s="42" t="str">
        <f ca="1">IFERROR(__xludf.DUMMYFUNCTION("""COMPUTED_VALUE"""),"Long-billed Dowitcher")</f>
        <v>Long-billed Dowitcher</v>
      </c>
      <c r="E1684" s="53">
        <f ca="1">IFERROR(__xludf.DUMMYFUNCTION("""COMPUTED_VALUE"""),1)</f>
        <v>1</v>
      </c>
      <c r="F1684" s="15"/>
      <c r="G1684" s="44" t="str">
        <f ca="1">IFERROR(__xludf.DUMMYFUNCTION("""COMPUTED_VALUE"""),"Burton Mere Wetlands RSPB")</f>
        <v>Burton Mere Wetlands RSPB</v>
      </c>
      <c r="H1684" s="12">
        <f ca="1">IFERROR(__xludf.DUMMYFUNCTION("""COMPUTED_VALUE"""),44978)</f>
        <v>44978</v>
      </c>
      <c r="I1684" s="12">
        <f ca="1">IFERROR(__xludf.DUMMYFUNCTION("""COMPUTED_VALUE"""),44981)</f>
        <v>44981</v>
      </c>
      <c r="J1684" s="14"/>
      <c r="K1684" s="15"/>
      <c r="L1684" s="17" t="str">
        <f ca="1">IFERROR(__xludf.DUMMYFUNCTION("""COMPUTED_VALUE"""),"Limbo")</f>
        <v>Limbo</v>
      </c>
      <c r="M1684" s="17"/>
      <c r="N1684" s="15" t="str">
        <f ca="1">IFERROR(__xludf.DUMMYFUNCTION("""COMPUTED_VALUE"""),"BBRC - not submitted")</f>
        <v>BBRC - not submitted</v>
      </c>
      <c r="O1684" s="18"/>
      <c r="P1684" s="15"/>
      <c r="Q1684" s="15"/>
      <c r="R1684" s="15"/>
      <c r="S1684" s="15"/>
      <c r="T1684" s="15"/>
      <c r="U1684" s="15"/>
      <c r="V1684" s="15"/>
      <c r="W1684" s="15"/>
      <c r="X1684" s="15"/>
      <c r="Y1684" s="15"/>
      <c r="Z1684" s="15"/>
      <c r="AA1684" s="15"/>
      <c r="AB1684" s="15"/>
      <c r="AC1684" s="15"/>
      <c r="AD1684" s="15"/>
      <c r="AE1684" s="15"/>
      <c r="AF1684" s="15"/>
      <c r="AG1684" s="15"/>
      <c r="AH1684" s="15"/>
      <c r="AI1684" s="15"/>
      <c r="AJ1684" s="15"/>
      <c r="AK1684" s="15"/>
      <c r="AL1684" s="15"/>
      <c r="AM1684" s="15"/>
      <c r="AN1684" s="15"/>
      <c r="AO1684" s="15"/>
      <c r="AP1684" s="15"/>
      <c r="AQ1684" s="15"/>
      <c r="AR1684" s="15"/>
      <c r="AS1684" s="15"/>
      <c r="AT1684" s="15"/>
      <c r="AU1684" s="15"/>
      <c r="AV1684" s="15"/>
      <c r="AW1684" s="15"/>
      <c r="AX1684" s="15"/>
      <c r="AY1684" s="15"/>
      <c r="AZ1684" s="15"/>
      <c r="BA1684" s="15"/>
      <c r="BB1684" s="15"/>
      <c r="BC1684" s="15"/>
      <c r="BD1684" s="15"/>
      <c r="BE1684" s="15"/>
      <c r="BF1684" s="15"/>
      <c r="BG1684" s="15"/>
      <c r="BH1684" s="15"/>
      <c r="BI1684" s="15"/>
      <c r="BJ1684" s="15"/>
      <c r="BK1684" s="15"/>
      <c r="BL1684" s="15"/>
      <c r="BM1684" s="15"/>
      <c r="BN1684" s="15"/>
      <c r="BO1684" s="15"/>
      <c r="BP1684" s="15"/>
      <c r="BQ1684" s="15"/>
      <c r="BR1684" s="15"/>
      <c r="BS1684" s="15"/>
      <c r="BT1684" s="15"/>
      <c r="BU1684" s="15"/>
      <c r="BV1684" s="15"/>
      <c r="BW1684" s="15"/>
      <c r="BX1684" s="15"/>
      <c r="BY1684" s="15"/>
      <c r="BZ1684" s="15"/>
      <c r="CA1684" s="15"/>
      <c r="CB1684" s="15"/>
    </row>
    <row r="1685" spans="1:80" ht="12.75" customHeight="1">
      <c r="A1685" s="20">
        <f ca="1">IFERROR(__xludf.DUMMYFUNCTION("""COMPUTED_VALUE"""),2023)</f>
        <v>2023</v>
      </c>
      <c r="B1685" s="45">
        <f ca="1">IFERROR(__xludf.DUMMYFUNCTION("""COMPUTED_VALUE"""),45555)</f>
        <v>45555</v>
      </c>
      <c r="C1685" s="46"/>
      <c r="D1685" s="47" t="str">
        <f ca="1">IFERROR(__xludf.DUMMYFUNCTION("""COMPUTED_VALUE"""),"Long-billed Dowitcher")</f>
        <v>Long-billed Dowitcher</v>
      </c>
      <c r="E1685" s="52">
        <f ca="1">IFERROR(__xludf.DUMMYFUNCTION("""COMPUTED_VALUE"""),1)</f>
        <v>1</v>
      </c>
      <c r="F1685" s="25"/>
      <c r="G1685" s="48" t="str">
        <f ca="1">IFERROR(__xludf.DUMMYFUNCTION("""COMPUTED_VALUE"""),"Burton Mere Wetlands RSPB")</f>
        <v>Burton Mere Wetlands RSPB</v>
      </c>
      <c r="H1685" s="22">
        <f ca="1">IFERROR(__xludf.DUMMYFUNCTION("""COMPUTED_VALUE"""),45006)</f>
        <v>45006</v>
      </c>
      <c r="I1685" s="22">
        <f ca="1">IFERROR(__xludf.DUMMYFUNCTION("""COMPUTED_VALUE"""),45048)</f>
        <v>45048</v>
      </c>
      <c r="J1685" s="24"/>
      <c r="K1685" s="25"/>
      <c r="L1685" s="27" t="str">
        <f ca="1">IFERROR(__xludf.DUMMYFUNCTION("""COMPUTED_VALUE"""),"Limbo")</f>
        <v>Limbo</v>
      </c>
      <c r="M1685" s="27"/>
      <c r="N1685" s="40" t="str">
        <f ca="1">IFERROR(__xludf.DUMMYFUNCTION("""COMPUTED_VALUE"""),"BBRC - not submitted")</f>
        <v>BBRC - not submitted</v>
      </c>
      <c r="O1685" s="28" t="str">
        <f ca="1">IFERROR(__xludf.DUMMYFUNCTION("""COMPUTED_VALUE"""),"intermitently")</f>
        <v>intermitently</v>
      </c>
      <c r="P1685" s="25"/>
      <c r="Q1685" s="25"/>
      <c r="R1685" s="25"/>
      <c r="S1685" s="25"/>
      <c r="T1685" s="25"/>
      <c r="U1685" s="25"/>
      <c r="V1685" s="25"/>
      <c r="W1685" s="25"/>
      <c r="X1685" s="25"/>
      <c r="Y1685" s="25"/>
      <c r="Z1685" s="25"/>
      <c r="AA1685" s="25"/>
      <c r="AB1685" s="25"/>
      <c r="AC1685" s="25"/>
      <c r="AD1685" s="25"/>
      <c r="AE1685" s="25"/>
      <c r="AF1685" s="25"/>
      <c r="AG1685" s="25"/>
      <c r="AH1685" s="25"/>
      <c r="AI1685" s="25"/>
      <c r="AJ1685" s="25"/>
      <c r="AK1685" s="25"/>
      <c r="AL1685" s="25"/>
      <c r="AM1685" s="25"/>
      <c r="AN1685" s="25"/>
      <c r="AO1685" s="25"/>
      <c r="AP1685" s="25"/>
      <c r="AQ1685" s="25"/>
      <c r="AR1685" s="25"/>
      <c r="AS1685" s="25"/>
      <c r="AT1685" s="25"/>
      <c r="AU1685" s="25"/>
      <c r="AV1685" s="25"/>
      <c r="AW1685" s="25"/>
      <c r="AX1685" s="25"/>
      <c r="AY1685" s="25"/>
      <c r="AZ1685" s="25"/>
      <c r="BA1685" s="25"/>
      <c r="BB1685" s="25"/>
      <c r="BC1685" s="25"/>
      <c r="BD1685" s="25"/>
      <c r="BE1685" s="25"/>
      <c r="BF1685" s="25"/>
      <c r="BG1685" s="25"/>
      <c r="BH1685" s="25"/>
      <c r="BI1685" s="25"/>
      <c r="BJ1685" s="25"/>
      <c r="BK1685" s="25"/>
      <c r="BL1685" s="25"/>
      <c r="BM1685" s="25"/>
      <c r="BN1685" s="25"/>
      <c r="BO1685" s="25"/>
      <c r="BP1685" s="25"/>
      <c r="BQ1685" s="25"/>
      <c r="BR1685" s="25"/>
      <c r="BS1685" s="25"/>
      <c r="BT1685" s="25"/>
      <c r="BU1685" s="25"/>
      <c r="BV1685" s="25"/>
      <c r="BW1685" s="25"/>
      <c r="BX1685" s="25"/>
      <c r="BY1685" s="25"/>
      <c r="BZ1685" s="25"/>
      <c r="CA1685" s="25"/>
      <c r="CB1685" s="25"/>
    </row>
    <row r="1686" spans="1:80" ht="12.75" customHeight="1">
      <c r="A1686" s="10">
        <f ca="1">IFERROR(__xludf.DUMMYFUNCTION("""COMPUTED_VALUE"""),2023)</f>
        <v>2023</v>
      </c>
      <c r="B1686" s="50">
        <f ca="1">IFERROR(__xludf.DUMMYFUNCTION("""COMPUTED_VALUE"""),45609)</f>
        <v>45609</v>
      </c>
      <c r="C1686" s="41"/>
      <c r="D1686" s="42" t="str">
        <f ca="1">IFERROR(__xludf.DUMMYFUNCTION("""COMPUTED_VALUE"""),"Grey Phalarope")</f>
        <v>Grey Phalarope</v>
      </c>
      <c r="E1686" s="53">
        <f ca="1">IFERROR(__xludf.DUMMYFUNCTION("""COMPUTED_VALUE"""),1)</f>
        <v>1</v>
      </c>
      <c r="F1686" s="15"/>
      <c r="G1686" s="44" t="str">
        <f ca="1">IFERROR(__xludf.DUMMYFUNCTION("""COMPUTED_VALUE"""),"Woolston Eyes")</f>
        <v>Woolston Eyes</v>
      </c>
      <c r="H1686" s="12">
        <f ca="1">IFERROR(__xludf.DUMMYFUNCTION("""COMPUTED_VALUE"""),45189)</f>
        <v>45189</v>
      </c>
      <c r="I1686" s="13"/>
      <c r="J1686" s="14"/>
      <c r="K1686" s="15"/>
      <c r="L1686" s="17" t="str">
        <f ca="1">IFERROR(__xludf.DUMMYFUNCTION("""COMPUTED_VALUE"""),"Limbo")</f>
        <v>Limbo</v>
      </c>
      <c r="M1686" s="17"/>
      <c r="N1686" s="15" t="str">
        <f ca="1">IFERROR(__xludf.DUMMYFUNCTION("""COMPUTED_VALUE"""),"not submitted")</f>
        <v>not submitted</v>
      </c>
      <c r="O1686" s="18"/>
      <c r="P1686" s="15"/>
      <c r="Q1686" s="15"/>
      <c r="R1686" s="15"/>
      <c r="S1686" s="15"/>
      <c r="T1686" s="15"/>
      <c r="U1686" s="15"/>
      <c r="V1686" s="15"/>
      <c r="W1686" s="15"/>
      <c r="X1686" s="15"/>
      <c r="Y1686" s="15"/>
      <c r="Z1686" s="15"/>
      <c r="AA1686" s="15"/>
      <c r="AB1686" s="15"/>
      <c r="AC1686" s="15"/>
      <c r="AD1686" s="15"/>
      <c r="AE1686" s="15"/>
      <c r="AF1686" s="15"/>
      <c r="AG1686" s="15"/>
      <c r="AH1686" s="15"/>
      <c r="AI1686" s="15"/>
      <c r="AJ1686" s="15"/>
      <c r="AK1686" s="15"/>
      <c r="AL1686" s="15"/>
      <c r="AM1686" s="15"/>
      <c r="AN1686" s="15"/>
      <c r="AO1686" s="15"/>
      <c r="AP1686" s="15"/>
      <c r="AQ1686" s="15"/>
      <c r="AR1686" s="15"/>
      <c r="AS1686" s="15"/>
      <c r="AT1686" s="15"/>
      <c r="AU1686" s="15"/>
      <c r="AV1686" s="15"/>
      <c r="AW1686" s="15"/>
      <c r="AX1686" s="15"/>
      <c r="AY1686" s="15"/>
      <c r="AZ1686" s="15"/>
      <c r="BA1686" s="15"/>
      <c r="BB1686" s="15"/>
      <c r="BC1686" s="15"/>
      <c r="BD1686" s="15"/>
      <c r="BE1686" s="15"/>
      <c r="BF1686" s="15"/>
      <c r="BG1686" s="15"/>
      <c r="BH1686" s="15"/>
      <c r="BI1686" s="15"/>
      <c r="BJ1686" s="15"/>
      <c r="BK1686" s="15"/>
      <c r="BL1686" s="15"/>
      <c r="BM1686" s="15"/>
      <c r="BN1686" s="15"/>
      <c r="BO1686" s="15"/>
      <c r="BP1686" s="15"/>
      <c r="BQ1686" s="15"/>
      <c r="BR1686" s="15"/>
      <c r="BS1686" s="15"/>
      <c r="BT1686" s="15"/>
      <c r="BU1686" s="15"/>
      <c r="BV1686" s="15"/>
      <c r="BW1686" s="15"/>
      <c r="BX1686" s="15"/>
      <c r="BY1686" s="15"/>
      <c r="BZ1686" s="15"/>
      <c r="CA1686" s="15"/>
      <c r="CB1686" s="15"/>
    </row>
    <row r="1687" spans="1:80" ht="12.75" customHeight="1">
      <c r="A1687" s="20">
        <f ca="1">IFERROR(__xludf.DUMMYFUNCTION("""COMPUTED_VALUE"""),2023)</f>
        <v>2023</v>
      </c>
      <c r="B1687" s="45">
        <f ca="1">IFERROR(__xludf.DUMMYFUNCTION("""COMPUTED_VALUE"""),45554)</f>
        <v>45554</v>
      </c>
      <c r="C1687" s="46"/>
      <c r="D1687" s="47" t="str">
        <f ca="1">IFERROR(__xludf.DUMMYFUNCTION("""COMPUTED_VALUE"""),"Grey Phalarope")</f>
        <v>Grey Phalarope</v>
      </c>
      <c r="E1687" s="52">
        <f ca="1">IFERROR(__xludf.DUMMYFUNCTION("""COMPUTED_VALUE"""),1)</f>
        <v>1</v>
      </c>
      <c r="F1687" s="25"/>
      <c r="G1687" s="48" t="str">
        <f ca="1">IFERROR(__xludf.DUMMYFUNCTION("""COMPUTED_VALUE"""),"Lapwing Hall Pool, Chelford")</f>
        <v>Lapwing Hall Pool, Chelford</v>
      </c>
      <c r="H1687" s="22">
        <f ca="1">IFERROR(__xludf.DUMMYFUNCTION("""COMPUTED_VALUE"""),45201)</f>
        <v>45201</v>
      </c>
      <c r="I1687" s="22">
        <f ca="1">IFERROR(__xludf.DUMMYFUNCTION("""COMPUTED_VALUE"""),45208)</f>
        <v>45208</v>
      </c>
      <c r="J1687" s="24" t="str">
        <f ca="1">IFERROR(__xludf.DUMMYFUNCTION("""COMPUTED_VALUE"""),"County recorder")</f>
        <v>County recorder</v>
      </c>
      <c r="K1687" s="25" t="str">
        <f ca="1">IFERROR(__xludf.DUMMYFUNCTION("""COMPUTED_VALUE"""),"tbd - ask Steve Barber")</f>
        <v>tbd - ask Steve Barber</v>
      </c>
      <c r="L1687" s="27" t="str">
        <f ca="1">IFERROR(__xludf.DUMMYFUNCTION("""COMPUTED_VALUE"""),"closed")</f>
        <v>closed</v>
      </c>
      <c r="M1687" s="27"/>
      <c r="N1687" s="25" t="str">
        <f ca="1">IFERROR(__xludf.DUMMYFUNCTION("""COMPUTED_VALUE"""),"accepted without circulation")</f>
        <v>accepted without circulation</v>
      </c>
      <c r="O1687" s="28" t="str">
        <f ca="1">IFERROR(__xludf.DUMMYFUNCTION("""COMPUTED_VALUE"""),"Multi observed over multiple days")</f>
        <v>Multi observed over multiple days</v>
      </c>
      <c r="P1687" s="25"/>
      <c r="Q1687" s="25"/>
      <c r="R1687" s="25"/>
      <c r="S1687" s="25"/>
      <c r="T1687" s="25"/>
      <c r="U1687" s="25"/>
      <c r="V1687" s="25"/>
      <c r="W1687" s="25"/>
      <c r="X1687" s="25"/>
      <c r="Y1687" s="25"/>
      <c r="Z1687" s="25"/>
      <c r="AA1687" s="25"/>
      <c r="AB1687" s="25"/>
      <c r="AC1687" s="25"/>
      <c r="AD1687" s="25"/>
      <c r="AE1687" s="25"/>
      <c r="AF1687" s="25"/>
      <c r="AG1687" s="25"/>
      <c r="AH1687" s="25"/>
      <c r="AI1687" s="25"/>
      <c r="AJ1687" s="25"/>
      <c r="AK1687" s="25"/>
      <c r="AL1687" s="25"/>
      <c r="AM1687" s="25"/>
      <c r="AN1687" s="25"/>
      <c r="AO1687" s="25"/>
      <c r="AP1687" s="25"/>
      <c r="AQ1687" s="25"/>
      <c r="AR1687" s="25"/>
      <c r="AS1687" s="25"/>
      <c r="AT1687" s="25"/>
      <c r="AU1687" s="25"/>
      <c r="AV1687" s="25"/>
      <c r="AW1687" s="25"/>
      <c r="AX1687" s="25"/>
      <c r="AY1687" s="25"/>
      <c r="AZ1687" s="25"/>
      <c r="BA1687" s="25"/>
      <c r="BB1687" s="25"/>
      <c r="BC1687" s="25"/>
      <c r="BD1687" s="25"/>
      <c r="BE1687" s="25"/>
      <c r="BF1687" s="25"/>
      <c r="BG1687" s="25"/>
      <c r="BH1687" s="25"/>
      <c r="BI1687" s="25"/>
      <c r="BJ1687" s="25"/>
      <c r="BK1687" s="25"/>
      <c r="BL1687" s="25"/>
      <c r="BM1687" s="25"/>
      <c r="BN1687" s="25"/>
      <c r="BO1687" s="25"/>
      <c r="BP1687" s="25"/>
      <c r="BQ1687" s="25"/>
      <c r="BR1687" s="25"/>
      <c r="BS1687" s="25"/>
      <c r="BT1687" s="25"/>
      <c r="BU1687" s="25"/>
      <c r="BV1687" s="25"/>
      <c r="BW1687" s="25"/>
      <c r="BX1687" s="25"/>
      <c r="BY1687" s="25"/>
      <c r="BZ1687" s="25"/>
      <c r="CA1687" s="25"/>
      <c r="CB1687" s="25"/>
    </row>
    <row r="1688" spans="1:80" ht="12.75" customHeight="1">
      <c r="A1688" s="10">
        <f ca="1">IFERROR(__xludf.DUMMYFUNCTION("""COMPUTED_VALUE"""),2023)</f>
        <v>2023</v>
      </c>
      <c r="B1688" s="50">
        <f ca="1">IFERROR(__xludf.DUMMYFUNCTION("""COMPUTED_VALUE"""),45555)</f>
        <v>45555</v>
      </c>
      <c r="C1688" s="41"/>
      <c r="D1688" s="42" t="str">
        <f ca="1">IFERROR(__xludf.DUMMYFUNCTION("""COMPUTED_VALUE"""),"Kumlien's Gull")</f>
        <v>Kumlien's Gull</v>
      </c>
      <c r="E1688" s="53">
        <f ca="1">IFERROR(__xludf.DUMMYFUNCTION("""COMPUTED_VALUE"""),1)</f>
        <v>1</v>
      </c>
      <c r="F1688" s="15" t="str">
        <f ca="1">IFERROR(__xludf.DUMMYFUNCTION("""COMPUTED_VALUE"""),"2nd W")</f>
        <v>2nd W</v>
      </c>
      <c r="G1688" s="44" t="str">
        <f ca="1">IFERROR(__xludf.DUMMYFUNCTION("""COMPUTED_VALUE"""),"Old Runcorn Bridge, Widnes")</f>
        <v>Old Runcorn Bridge, Widnes</v>
      </c>
      <c r="H1688" s="12">
        <f ca="1">IFERROR(__xludf.DUMMYFUNCTION("""COMPUTED_VALUE"""),45022)</f>
        <v>45022</v>
      </c>
      <c r="I1688" s="12">
        <f ca="1">IFERROR(__xludf.DUMMYFUNCTION("""COMPUTED_VALUE"""),45024)</f>
        <v>45024</v>
      </c>
      <c r="J1688" s="14" t="str">
        <f ca="1">IFERROR(__xludf.DUMMYFUNCTION("""COMPUTED_VALUE"""),"County recorder")</f>
        <v>County recorder</v>
      </c>
      <c r="K1688" s="15"/>
      <c r="L1688" s="17" t="str">
        <f ca="1">IFERROR(__xludf.DUMMYFUNCTION("""COMPUTED_VALUE"""),"closed")</f>
        <v>closed</v>
      </c>
      <c r="M1688" s="17"/>
      <c r="N1688" s="58" t="str">
        <f ca="1">IFERROR(__xludf.DUMMYFUNCTION("""COMPUTED_VALUE"""),"accepted without circulation")</f>
        <v>accepted without circulation</v>
      </c>
      <c r="O1688" s="18" t="str">
        <f ca="1">IFERROR(__xludf.DUMMYFUNCTION("""COMPUTED_VALUE"""),"multi-observed, photos")</f>
        <v>multi-observed, photos</v>
      </c>
      <c r="P1688" s="15"/>
      <c r="Q1688" s="15"/>
      <c r="R1688" s="15"/>
      <c r="S1688" s="15"/>
      <c r="T1688" s="15"/>
      <c r="U1688" s="15"/>
      <c r="V1688" s="15"/>
      <c r="W1688" s="15"/>
      <c r="X1688" s="15"/>
      <c r="Y1688" s="15"/>
      <c r="Z1688" s="15"/>
      <c r="AA1688" s="15"/>
      <c r="AB1688" s="15"/>
      <c r="AC1688" s="15"/>
      <c r="AD1688" s="15"/>
      <c r="AE1688" s="15"/>
      <c r="AF1688" s="15"/>
      <c r="AG1688" s="15"/>
      <c r="AH1688" s="15"/>
      <c r="AI1688" s="15"/>
      <c r="AJ1688" s="15"/>
      <c r="AK1688" s="15"/>
      <c r="AL1688" s="15"/>
      <c r="AM1688" s="15"/>
      <c r="AN1688" s="15"/>
      <c r="AO1688" s="15"/>
      <c r="AP1688" s="15"/>
      <c r="AQ1688" s="15"/>
      <c r="AR1688" s="15"/>
      <c r="AS1688" s="15"/>
      <c r="AT1688" s="15"/>
      <c r="AU1688" s="15"/>
      <c r="AV1688" s="15"/>
      <c r="AW1688" s="15"/>
      <c r="AX1688" s="15"/>
      <c r="AY1688" s="15"/>
      <c r="AZ1688" s="15"/>
      <c r="BA1688" s="15"/>
      <c r="BB1688" s="15"/>
      <c r="BC1688" s="15"/>
      <c r="BD1688" s="15"/>
      <c r="BE1688" s="15"/>
      <c r="BF1688" s="15"/>
      <c r="BG1688" s="15"/>
      <c r="BH1688" s="15"/>
      <c r="BI1688" s="15"/>
      <c r="BJ1688" s="15"/>
      <c r="BK1688" s="15"/>
      <c r="BL1688" s="15"/>
      <c r="BM1688" s="15"/>
      <c r="BN1688" s="15"/>
      <c r="BO1688" s="15"/>
      <c r="BP1688" s="15"/>
      <c r="BQ1688" s="15"/>
      <c r="BR1688" s="15"/>
      <c r="BS1688" s="15"/>
      <c r="BT1688" s="15"/>
      <c r="BU1688" s="15"/>
      <c r="BV1688" s="15"/>
      <c r="BW1688" s="15"/>
      <c r="BX1688" s="15"/>
      <c r="BY1688" s="15"/>
      <c r="BZ1688" s="15"/>
      <c r="CA1688" s="15"/>
      <c r="CB1688" s="15"/>
    </row>
    <row r="1689" spans="1:80" ht="12.75" customHeight="1">
      <c r="A1689" s="20">
        <f ca="1">IFERROR(__xludf.DUMMYFUNCTION("""COMPUTED_VALUE"""),2023)</f>
        <v>2023</v>
      </c>
      <c r="B1689" s="45">
        <f ca="1">IFERROR(__xludf.DUMMYFUNCTION("""COMPUTED_VALUE"""),45554)</f>
        <v>45554</v>
      </c>
      <c r="C1689" s="46"/>
      <c r="D1689" s="47" t="str">
        <f ca="1">IFERROR(__xludf.DUMMYFUNCTION("""COMPUTED_VALUE"""),"Gull-billed Tern")</f>
        <v>Gull-billed Tern</v>
      </c>
      <c r="E1689" s="52">
        <f ca="1">IFERROR(__xludf.DUMMYFUNCTION("""COMPUTED_VALUE"""),1)</f>
        <v>1</v>
      </c>
      <c r="F1689" s="25"/>
      <c r="G1689" s="48" t="str">
        <f ca="1">IFERROR(__xludf.DUMMYFUNCTION("""COMPUTED_VALUE"""),"Burton Mere Wetlands")</f>
        <v>Burton Mere Wetlands</v>
      </c>
      <c r="H1689" s="22">
        <f ca="1">IFERROR(__xludf.DUMMYFUNCTION("""COMPUTED_VALUE"""),45035)</f>
        <v>45035</v>
      </c>
      <c r="I1689" s="23"/>
      <c r="J1689" s="24"/>
      <c r="K1689" s="25"/>
      <c r="L1689" s="27" t="str">
        <f ca="1">IFERROR(__xludf.DUMMYFUNCTION("""COMPUTED_VALUE"""),"closed")</f>
        <v>closed</v>
      </c>
      <c r="M1689" s="27"/>
      <c r="N1689" s="40" t="str">
        <f ca="1">IFERROR(__xludf.DUMMYFUNCTION("""COMPUTED_VALUE"""),"BBRC-OK")</f>
        <v>BBRC-OK</v>
      </c>
      <c r="O1689" s="28"/>
      <c r="P1689" s="25"/>
      <c r="Q1689" s="25"/>
      <c r="R1689" s="25"/>
      <c r="S1689" s="25"/>
      <c r="T1689" s="25"/>
      <c r="U1689" s="25"/>
      <c r="V1689" s="25"/>
      <c r="W1689" s="25"/>
      <c r="X1689" s="25"/>
      <c r="Y1689" s="25"/>
      <c r="Z1689" s="25"/>
      <c r="AA1689" s="25"/>
      <c r="AB1689" s="25"/>
      <c r="AC1689" s="25"/>
      <c r="AD1689" s="25"/>
      <c r="AE1689" s="25"/>
      <c r="AF1689" s="25"/>
      <c r="AG1689" s="25"/>
      <c r="AH1689" s="25"/>
      <c r="AI1689" s="25"/>
      <c r="AJ1689" s="25"/>
      <c r="AK1689" s="25"/>
      <c r="AL1689" s="25"/>
      <c r="AM1689" s="25"/>
      <c r="AN1689" s="25"/>
      <c r="AO1689" s="25"/>
      <c r="AP1689" s="25"/>
      <c r="AQ1689" s="25"/>
      <c r="AR1689" s="25"/>
      <c r="AS1689" s="25"/>
      <c r="AT1689" s="25"/>
      <c r="AU1689" s="25"/>
      <c r="AV1689" s="25"/>
      <c r="AW1689" s="25"/>
      <c r="AX1689" s="25"/>
      <c r="AY1689" s="25"/>
      <c r="AZ1689" s="25"/>
      <c r="BA1689" s="25"/>
      <c r="BB1689" s="25"/>
      <c r="BC1689" s="25"/>
      <c r="BD1689" s="25"/>
      <c r="BE1689" s="25"/>
      <c r="BF1689" s="25"/>
      <c r="BG1689" s="25"/>
      <c r="BH1689" s="25"/>
      <c r="BI1689" s="25"/>
      <c r="BJ1689" s="25"/>
      <c r="BK1689" s="25"/>
      <c r="BL1689" s="25"/>
      <c r="BM1689" s="25"/>
      <c r="BN1689" s="25"/>
      <c r="BO1689" s="25"/>
      <c r="BP1689" s="25"/>
      <c r="BQ1689" s="25"/>
      <c r="BR1689" s="25"/>
      <c r="BS1689" s="25"/>
      <c r="BT1689" s="25"/>
      <c r="BU1689" s="25"/>
      <c r="BV1689" s="25"/>
      <c r="BW1689" s="25"/>
      <c r="BX1689" s="25"/>
      <c r="BY1689" s="25"/>
      <c r="BZ1689" s="25"/>
      <c r="CA1689" s="25"/>
      <c r="CB1689" s="25"/>
    </row>
    <row r="1690" spans="1:80" ht="12.75" customHeight="1">
      <c r="A1690" s="10">
        <f ca="1">IFERROR(__xludf.DUMMYFUNCTION("""COMPUTED_VALUE"""),2023)</f>
        <v>2023</v>
      </c>
      <c r="B1690" s="50">
        <f ca="1">IFERROR(__xludf.DUMMYFUNCTION("""COMPUTED_VALUE"""),45557)</f>
        <v>45557</v>
      </c>
      <c r="C1690" s="41"/>
      <c r="D1690" s="42" t="str">
        <f ca="1">IFERROR(__xludf.DUMMYFUNCTION("""COMPUTED_VALUE"""),"Pomarine Skua")</f>
        <v>Pomarine Skua</v>
      </c>
      <c r="E1690" s="53">
        <f ca="1">IFERROR(__xludf.DUMMYFUNCTION("""COMPUTED_VALUE"""),1)</f>
        <v>1</v>
      </c>
      <c r="F1690" s="15" t="str">
        <f ca="1">IFERROR(__xludf.DUMMYFUNCTION("""COMPUTED_VALUE"""),"near Ad")</f>
        <v>near Ad</v>
      </c>
      <c r="G1690" s="44" t="str">
        <f ca="1">IFERROR(__xludf.DUMMYFUNCTION("""COMPUTED_VALUE"""),"Hockenhall Plats")</f>
        <v>Hockenhall Plats</v>
      </c>
      <c r="H1690" s="12">
        <f ca="1">IFERROR(__xludf.DUMMYFUNCTION("""COMPUTED_VALUE"""),45124)</f>
        <v>45124</v>
      </c>
      <c r="I1690" s="13"/>
      <c r="J1690" s="14" t="str">
        <f ca="1">IFERROR(__xludf.DUMMYFUNCTION("""COMPUTED_VALUE"""),"Joe O'Hanlon")</f>
        <v>Joe O'Hanlon</v>
      </c>
      <c r="K1690" s="15" t="str">
        <f ca="1">IFERROR(__xludf.DUMMYFUNCTION("""COMPUTED_VALUE"""),"Joe O'Hanlon")</f>
        <v>Joe O'Hanlon</v>
      </c>
      <c r="L1690" s="17" t="str">
        <f ca="1">IFERROR(__xludf.DUMMYFUNCTION("""COMPUTED_VALUE"""),"open")</f>
        <v>open</v>
      </c>
      <c r="M1690" s="17" t="str">
        <f ca="1">IFERROR(__xludf.DUMMYFUNCTION("""COMPUTED_VALUE"""),"photo")</f>
        <v>photo</v>
      </c>
      <c r="N1690" s="58" t="str">
        <f ca="1">IFERROR(__xludf.DUMMYFUNCTION("""COMPUTED_VALUE"""),"accepted")</f>
        <v>accepted</v>
      </c>
      <c r="O1690" s="18"/>
      <c r="P1690" s="15"/>
      <c r="Q1690" s="15"/>
      <c r="R1690" s="15"/>
      <c r="S1690" s="15"/>
      <c r="T1690" s="15"/>
      <c r="U1690" s="15"/>
      <c r="V1690" s="15"/>
      <c r="W1690" s="15"/>
      <c r="X1690" s="15"/>
      <c r="Y1690" s="15"/>
      <c r="Z1690" s="15"/>
      <c r="AA1690" s="15"/>
      <c r="AB1690" s="15"/>
      <c r="AC1690" s="15"/>
      <c r="AD1690" s="15"/>
      <c r="AE1690" s="15"/>
      <c r="AF1690" s="15"/>
      <c r="AG1690" s="15"/>
      <c r="AH1690" s="15"/>
      <c r="AI1690" s="15"/>
      <c r="AJ1690" s="15"/>
      <c r="AK1690" s="15"/>
      <c r="AL1690" s="15"/>
      <c r="AM1690" s="15"/>
      <c r="AN1690" s="15"/>
      <c r="AO1690" s="15"/>
      <c r="AP1690" s="15"/>
      <c r="AQ1690" s="15"/>
      <c r="AR1690" s="15"/>
      <c r="AS1690" s="15"/>
      <c r="AT1690" s="15"/>
      <c r="AU1690" s="15"/>
      <c r="AV1690" s="15"/>
      <c r="AW1690" s="15"/>
      <c r="AX1690" s="15"/>
      <c r="AY1690" s="15"/>
      <c r="AZ1690" s="15"/>
      <c r="BA1690" s="15"/>
      <c r="BB1690" s="15"/>
      <c r="BC1690" s="15"/>
      <c r="BD1690" s="15"/>
      <c r="BE1690" s="15"/>
      <c r="BF1690" s="15"/>
      <c r="BG1690" s="15"/>
      <c r="BH1690" s="15"/>
      <c r="BI1690" s="15"/>
      <c r="BJ1690" s="15"/>
      <c r="BK1690" s="15"/>
      <c r="BL1690" s="15"/>
      <c r="BM1690" s="15"/>
      <c r="BN1690" s="15"/>
      <c r="BO1690" s="15"/>
      <c r="BP1690" s="15"/>
      <c r="BQ1690" s="15"/>
      <c r="BR1690" s="15"/>
      <c r="BS1690" s="15"/>
      <c r="BT1690" s="15"/>
      <c r="BU1690" s="15"/>
      <c r="BV1690" s="15"/>
      <c r="BW1690" s="15"/>
      <c r="BX1690" s="15"/>
      <c r="BY1690" s="15"/>
      <c r="BZ1690" s="15"/>
      <c r="CA1690" s="15"/>
      <c r="CB1690" s="15"/>
    </row>
    <row r="1691" spans="1:80" ht="12.75" customHeight="1">
      <c r="A1691" s="20">
        <f ca="1">IFERROR(__xludf.DUMMYFUNCTION("""COMPUTED_VALUE"""),2023)</f>
        <v>2023</v>
      </c>
      <c r="B1691" s="45">
        <f ca="1">IFERROR(__xludf.DUMMYFUNCTION("""COMPUTED_VALUE"""),45557)</f>
        <v>45557</v>
      </c>
      <c r="C1691" s="46"/>
      <c r="D1691" s="47" t="str">
        <f ca="1">IFERROR(__xludf.DUMMYFUNCTION("""COMPUTED_VALUE"""),"Pomarine Skua")</f>
        <v>Pomarine Skua</v>
      </c>
      <c r="E1691" s="52">
        <f ca="1">IFERROR(__xludf.DUMMYFUNCTION("""COMPUTED_VALUE"""),1)</f>
        <v>1</v>
      </c>
      <c r="F1691" s="25"/>
      <c r="G1691" s="48" t="str">
        <f ca="1">IFERROR(__xludf.DUMMYFUNCTION("""COMPUTED_VALUE"""),"Wallasey Coastguards")</f>
        <v>Wallasey Coastguards</v>
      </c>
      <c r="H1691" s="22">
        <f ca="1">IFERROR(__xludf.DUMMYFUNCTION("""COMPUTED_VALUE"""),45192)</f>
        <v>45192</v>
      </c>
      <c r="I1691" s="23"/>
      <c r="J1691" s="24"/>
      <c r="K1691" s="25"/>
      <c r="L1691" s="27" t="str">
        <f ca="1">IFERROR(__xludf.DUMMYFUNCTION("""COMPUTED_VALUE"""),"closed")</f>
        <v>closed</v>
      </c>
      <c r="M1691" s="27"/>
      <c r="N1691" s="25" t="str">
        <f ca="1">IFERROR(__xludf.DUMMYFUNCTION("""COMPUTED_VALUE"""),"Description not needed")</f>
        <v>Description not needed</v>
      </c>
      <c r="O1691" s="28" t="str">
        <f ca="1">IFERROR(__xludf.DUMMYFUNCTION("""COMPUTED_VALUE"""),"Ad with spoons")</f>
        <v>Ad with spoons</v>
      </c>
      <c r="P1691" s="25"/>
      <c r="Q1691" s="25"/>
      <c r="R1691" s="25"/>
      <c r="S1691" s="25"/>
      <c r="T1691" s="25"/>
      <c r="U1691" s="25"/>
      <c r="V1691" s="25"/>
      <c r="W1691" s="25"/>
      <c r="X1691" s="25"/>
      <c r="Y1691" s="25"/>
      <c r="Z1691" s="25"/>
      <c r="AA1691" s="25"/>
      <c r="AB1691" s="25"/>
      <c r="AC1691" s="25"/>
      <c r="AD1691" s="25"/>
      <c r="AE1691" s="25"/>
      <c r="AF1691" s="25"/>
      <c r="AG1691" s="25"/>
      <c r="AH1691" s="25"/>
      <c r="AI1691" s="25"/>
      <c r="AJ1691" s="25"/>
      <c r="AK1691" s="25"/>
      <c r="AL1691" s="25"/>
      <c r="AM1691" s="25"/>
      <c r="AN1691" s="25"/>
      <c r="AO1691" s="25"/>
      <c r="AP1691" s="25"/>
      <c r="AQ1691" s="25"/>
      <c r="AR1691" s="25"/>
      <c r="AS1691" s="25"/>
      <c r="AT1691" s="25"/>
      <c r="AU1691" s="25"/>
      <c r="AV1691" s="25"/>
      <c r="AW1691" s="25"/>
      <c r="AX1691" s="25"/>
      <c r="AY1691" s="25"/>
      <c r="AZ1691" s="25"/>
      <c r="BA1691" s="25"/>
      <c r="BB1691" s="25"/>
      <c r="BC1691" s="25"/>
      <c r="BD1691" s="25"/>
      <c r="BE1691" s="25"/>
      <c r="BF1691" s="25"/>
      <c r="BG1691" s="25"/>
      <c r="BH1691" s="25"/>
      <c r="BI1691" s="25"/>
      <c r="BJ1691" s="25"/>
      <c r="BK1691" s="25"/>
      <c r="BL1691" s="25"/>
      <c r="BM1691" s="25"/>
      <c r="BN1691" s="25"/>
      <c r="BO1691" s="25"/>
      <c r="BP1691" s="25"/>
      <c r="BQ1691" s="25"/>
      <c r="BR1691" s="25"/>
      <c r="BS1691" s="25"/>
      <c r="BT1691" s="25"/>
      <c r="BU1691" s="25"/>
      <c r="BV1691" s="25"/>
      <c r="BW1691" s="25"/>
      <c r="BX1691" s="25"/>
      <c r="BY1691" s="25"/>
      <c r="BZ1691" s="25"/>
      <c r="CA1691" s="25"/>
      <c r="CB1691" s="25"/>
    </row>
    <row r="1692" spans="1:80" ht="12.75" customHeight="1">
      <c r="A1692" s="10">
        <f ca="1">IFERROR(__xludf.DUMMYFUNCTION("""COMPUTED_VALUE"""),2023)</f>
        <v>2023</v>
      </c>
      <c r="B1692" s="50">
        <f ca="1">IFERROR(__xludf.DUMMYFUNCTION("""COMPUTED_VALUE"""),45555)</f>
        <v>45555</v>
      </c>
      <c r="C1692" s="41"/>
      <c r="D1692" s="42" t="str">
        <f ca="1">IFERROR(__xludf.DUMMYFUNCTION("""COMPUTED_VALUE"""),"Long-tailed skua")</f>
        <v>Long-tailed skua</v>
      </c>
      <c r="E1692" s="53">
        <f ca="1">IFERROR(__xludf.DUMMYFUNCTION("""COMPUTED_VALUE"""),1)</f>
        <v>1</v>
      </c>
      <c r="F1692" s="15"/>
      <c r="G1692" s="44" t="str">
        <f ca="1">IFERROR(__xludf.DUMMYFUNCTION("""COMPUTED_VALUE"""),"Hoylake")</f>
        <v>Hoylake</v>
      </c>
      <c r="H1692" s="12">
        <f ca="1">IFERROR(__xludf.DUMMYFUNCTION("""COMPUTED_VALUE"""),45167)</f>
        <v>45167</v>
      </c>
      <c r="I1692" s="13"/>
      <c r="J1692" s="14"/>
      <c r="K1692" s="15"/>
      <c r="L1692" s="17" t="str">
        <f ca="1">IFERROR(__xludf.DUMMYFUNCTION("""COMPUTED_VALUE"""),"Limbo")</f>
        <v>Limbo</v>
      </c>
      <c r="M1692" s="17"/>
      <c r="N1692" s="58" t="str">
        <f ca="1">IFERROR(__xludf.DUMMYFUNCTION("""COMPUTED_VALUE"""),"not submtted")</f>
        <v>not submtted</v>
      </c>
      <c r="O1692" s="18"/>
      <c r="P1692" s="15"/>
      <c r="Q1692" s="15"/>
      <c r="R1692" s="15"/>
      <c r="S1692" s="15"/>
      <c r="T1692" s="15"/>
      <c r="U1692" s="15"/>
      <c r="V1692" s="15"/>
      <c r="W1692" s="15"/>
      <c r="X1692" s="15"/>
      <c r="Y1692" s="15"/>
      <c r="Z1692" s="15"/>
      <c r="AA1692" s="15"/>
      <c r="AB1692" s="15"/>
      <c r="AC1692" s="15"/>
      <c r="AD1692" s="15"/>
      <c r="AE1692" s="15"/>
      <c r="AF1692" s="15"/>
      <c r="AG1692" s="15"/>
      <c r="AH1692" s="15"/>
      <c r="AI1692" s="15"/>
      <c r="AJ1692" s="15"/>
      <c r="AK1692" s="15"/>
      <c r="AL1692" s="15"/>
      <c r="AM1692" s="15"/>
      <c r="AN1692" s="15"/>
      <c r="AO1692" s="15"/>
      <c r="AP1692" s="15"/>
      <c r="AQ1692" s="15"/>
      <c r="AR1692" s="15"/>
      <c r="AS1692" s="15"/>
      <c r="AT1692" s="15"/>
      <c r="AU1692" s="15"/>
      <c r="AV1692" s="15"/>
      <c r="AW1692" s="15"/>
      <c r="AX1692" s="15"/>
      <c r="AY1692" s="15"/>
      <c r="AZ1692" s="15"/>
      <c r="BA1692" s="15"/>
      <c r="BB1692" s="15"/>
      <c r="BC1692" s="15"/>
      <c r="BD1692" s="15"/>
      <c r="BE1692" s="15"/>
      <c r="BF1692" s="15"/>
      <c r="BG1692" s="15"/>
      <c r="BH1692" s="15"/>
      <c r="BI1692" s="15"/>
      <c r="BJ1692" s="15"/>
      <c r="BK1692" s="15"/>
      <c r="BL1692" s="15"/>
      <c r="BM1692" s="15"/>
      <c r="BN1692" s="15"/>
      <c r="BO1692" s="15"/>
      <c r="BP1692" s="15"/>
      <c r="BQ1692" s="15"/>
      <c r="BR1692" s="15"/>
      <c r="BS1692" s="15"/>
      <c r="BT1692" s="15"/>
      <c r="BU1692" s="15"/>
      <c r="BV1692" s="15"/>
      <c r="BW1692" s="15"/>
      <c r="BX1692" s="15"/>
      <c r="BY1692" s="15"/>
      <c r="BZ1692" s="15"/>
      <c r="CA1692" s="15"/>
      <c r="CB1692" s="15"/>
    </row>
    <row r="1693" spans="1:80" ht="12.75" customHeight="1">
      <c r="A1693" s="20">
        <f ca="1">IFERROR(__xludf.DUMMYFUNCTION("""COMPUTED_VALUE"""),2023)</f>
        <v>2023</v>
      </c>
      <c r="B1693" s="45">
        <f ca="1">IFERROR(__xludf.DUMMYFUNCTION("""COMPUTED_VALUE"""),45384)</f>
        <v>45384</v>
      </c>
      <c r="C1693" s="46"/>
      <c r="D1693" s="47" t="str">
        <f ca="1">IFERROR(__xludf.DUMMYFUNCTION("""COMPUTED_VALUE"""),"Black Guillemot")</f>
        <v>Black Guillemot</v>
      </c>
      <c r="E1693" s="52">
        <f ca="1">IFERROR(__xludf.DUMMYFUNCTION("""COMPUTED_VALUE"""),1)</f>
        <v>1</v>
      </c>
      <c r="F1693" s="25"/>
      <c r="G1693" s="48" t="str">
        <f ca="1">IFERROR(__xludf.DUMMYFUNCTION("""COMPUTED_VALUE"""),"North Wirral - Leasowe to Hilbre")</f>
        <v>North Wirral - Leasowe to Hilbre</v>
      </c>
      <c r="H1693" s="22">
        <f ca="1">IFERROR(__xludf.DUMMYFUNCTION("""COMPUTED_VALUE"""),45035)</f>
        <v>45035</v>
      </c>
      <c r="I1693" s="22">
        <f ca="1">IFERROR(__xludf.DUMMYFUNCTION("""COMPUTED_VALUE"""),45137)</f>
        <v>45137</v>
      </c>
      <c r="J1693" s="24" t="str">
        <f ca="1">IFERROR(__xludf.DUMMYFUNCTION("""COMPUTED_VALUE"""),"County recorder")</f>
        <v>County recorder</v>
      </c>
      <c r="K1693" s="25" t="str">
        <f ca="1">IFERROR(__xludf.DUMMYFUNCTION("""COMPUTED_VALUE"""),"tdd")</f>
        <v>tdd</v>
      </c>
      <c r="L1693" s="27" t="str">
        <f ca="1">IFERROR(__xludf.DUMMYFUNCTION("""COMPUTED_VALUE"""),"closed")</f>
        <v>closed</v>
      </c>
      <c r="M1693" s="27"/>
      <c r="N1693" s="40" t="str">
        <f ca="1">IFERROR(__xludf.DUMMYFUNCTION("""COMPUTED_VALUE"""),"accepted without circulation")</f>
        <v>accepted without circulation</v>
      </c>
      <c r="O1693" s="28" t="str">
        <f ca="1">IFERROR(__xludf.DUMMYFUNCTION("""COMPUTED_VALUE"""),"multi observed, phoitos")</f>
        <v>multi observed, phoitos</v>
      </c>
      <c r="P1693" s="25"/>
      <c r="Q1693" s="25"/>
      <c r="R1693" s="25"/>
      <c r="S1693" s="25"/>
      <c r="T1693" s="25"/>
      <c r="U1693" s="25"/>
      <c r="V1693" s="25"/>
      <c r="W1693" s="25"/>
      <c r="X1693" s="25"/>
      <c r="Y1693" s="25"/>
      <c r="Z1693" s="25"/>
      <c r="AA1693" s="25"/>
      <c r="AB1693" s="25"/>
      <c r="AC1693" s="25"/>
      <c r="AD1693" s="25"/>
      <c r="AE1693" s="25"/>
      <c r="AF1693" s="25"/>
      <c r="AG1693" s="25"/>
      <c r="AH1693" s="25"/>
      <c r="AI1693" s="25"/>
      <c r="AJ1693" s="25"/>
      <c r="AK1693" s="25"/>
      <c r="AL1693" s="25"/>
      <c r="AM1693" s="25"/>
      <c r="AN1693" s="25"/>
      <c r="AO1693" s="25"/>
      <c r="AP1693" s="25"/>
      <c r="AQ1693" s="25"/>
      <c r="AR1693" s="25"/>
      <c r="AS1693" s="25"/>
      <c r="AT1693" s="25"/>
      <c r="AU1693" s="25"/>
      <c r="AV1693" s="25"/>
      <c r="AW1693" s="25"/>
      <c r="AX1693" s="25"/>
      <c r="AY1693" s="25"/>
      <c r="AZ1693" s="25"/>
      <c r="BA1693" s="25"/>
      <c r="BB1693" s="25"/>
      <c r="BC1693" s="25"/>
      <c r="BD1693" s="25"/>
      <c r="BE1693" s="25"/>
      <c r="BF1693" s="25"/>
      <c r="BG1693" s="25"/>
      <c r="BH1693" s="25"/>
      <c r="BI1693" s="25"/>
      <c r="BJ1693" s="25"/>
      <c r="BK1693" s="25"/>
      <c r="BL1693" s="25"/>
      <c r="BM1693" s="25"/>
      <c r="BN1693" s="25"/>
      <c r="BO1693" s="25"/>
      <c r="BP1693" s="25"/>
      <c r="BQ1693" s="25"/>
      <c r="BR1693" s="25"/>
      <c r="BS1693" s="25"/>
      <c r="BT1693" s="25"/>
      <c r="BU1693" s="25"/>
      <c r="BV1693" s="25"/>
      <c r="BW1693" s="25"/>
      <c r="BX1693" s="25"/>
      <c r="BY1693" s="25"/>
      <c r="BZ1693" s="25"/>
      <c r="CA1693" s="25"/>
      <c r="CB1693" s="25"/>
    </row>
    <row r="1694" spans="1:80" ht="12.75" customHeight="1">
      <c r="A1694" s="10">
        <f ca="1">IFERROR(__xludf.DUMMYFUNCTION("""COMPUTED_VALUE"""),2023)</f>
        <v>2023</v>
      </c>
      <c r="B1694" s="50">
        <f ca="1">IFERROR(__xludf.DUMMYFUNCTION("""COMPUTED_VALUE"""),45557)</f>
        <v>45557</v>
      </c>
      <c r="C1694" s="41">
        <f ca="1">IFERROR(__xludf.DUMMYFUNCTION("""COMPUTED_VALUE"""),42308)</f>
        <v>42308</v>
      </c>
      <c r="D1694" s="42" t="str">
        <f ca="1">IFERROR(__xludf.DUMMYFUNCTION("""COMPUTED_VALUE"""),"Puffin")</f>
        <v>Puffin</v>
      </c>
      <c r="E1694" s="53">
        <f ca="1">IFERROR(__xludf.DUMMYFUNCTION("""COMPUTED_VALUE"""),2)</f>
        <v>2</v>
      </c>
      <c r="F1694" s="15"/>
      <c r="G1694" s="44" t="str">
        <f ca="1">IFERROR(__xludf.DUMMYFUNCTION("""COMPUTED_VALUE"""),"Hoylake")</f>
        <v>Hoylake</v>
      </c>
      <c r="H1694" s="12">
        <f ca="1">IFERROR(__xludf.DUMMYFUNCTION("""COMPUTED_VALUE"""),44935)</f>
        <v>44935</v>
      </c>
      <c r="I1694" s="13"/>
      <c r="J1694" s="14" t="str">
        <f ca="1">IFERROR(__xludf.DUMMYFUNCTION("""COMPUTED_VALUE"""),"Turner, JE")</f>
        <v>Turner, JE</v>
      </c>
      <c r="K1694" s="15" t="str">
        <f ca="1">IFERROR(__xludf.DUMMYFUNCTION("""COMPUTED_VALUE"""),"Turner, JE")</f>
        <v>Turner, JE</v>
      </c>
      <c r="L1694" s="17" t="str">
        <f ca="1">IFERROR(__xludf.DUMMYFUNCTION("""COMPUTED_VALUE"""),"closed")</f>
        <v>closed</v>
      </c>
      <c r="M1694" s="17" t="str">
        <f ca="1">IFERROR(__xludf.DUMMYFUNCTION("""COMPUTED_VALUE"""),"1st U")</f>
        <v>1st U</v>
      </c>
      <c r="N1694" s="58" t="str">
        <f ca="1">IFERROR(__xludf.DUMMYFUNCTION("""COMPUTED_VALUE"""),"accepted")</f>
        <v>accepted</v>
      </c>
      <c r="O1694" s="18"/>
      <c r="P1694" s="15"/>
      <c r="Q1694" s="15"/>
      <c r="R1694" s="15"/>
      <c r="S1694" s="15"/>
      <c r="T1694" s="15"/>
      <c r="U1694" s="15"/>
      <c r="V1694" s="15"/>
      <c r="W1694" s="15"/>
      <c r="X1694" s="15"/>
      <c r="Y1694" s="15"/>
      <c r="Z1694" s="15"/>
      <c r="AA1694" s="15"/>
      <c r="AB1694" s="15"/>
      <c r="AC1694" s="15"/>
      <c r="AD1694" s="15"/>
      <c r="AE1694" s="15"/>
      <c r="AF1694" s="15"/>
      <c r="AG1694" s="15"/>
      <c r="AH1694" s="15"/>
      <c r="AI1694" s="15"/>
      <c r="AJ1694" s="15"/>
      <c r="AK1694" s="15"/>
      <c r="AL1694" s="15"/>
      <c r="AM1694" s="15"/>
      <c r="AN1694" s="15"/>
      <c r="AO1694" s="15"/>
      <c r="AP1694" s="15"/>
      <c r="AQ1694" s="15"/>
      <c r="AR1694" s="15"/>
      <c r="AS1694" s="15"/>
      <c r="AT1694" s="15"/>
      <c r="AU1694" s="15"/>
      <c r="AV1694" s="15"/>
      <c r="AW1694" s="15"/>
      <c r="AX1694" s="15"/>
      <c r="AY1694" s="15"/>
      <c r="AZ1694" s="15"/>
      <c r="BA1694" s="15"/>
      <c r="BB1694" s="15"/>
      <c r="BC1694" s="15"/>
      <c r="BD1694" s="15"/>
      <c r="BE1694" s="15"/>
      <c r="BF1694" s="15"/>
      <c r="BG1694" s="15"/>
      <c r="BH1694" s="15"/>
      <c r="BI1694" s="15"/>
      <c r="BJ1694" s="15"/>
      <c r="BK1694" s="15"/>
      <c r="BL1694" s="15"/>
      <c r="BM1694" s="15"/>
      <c r="BN1694" s="15"/>
      <c r="BO1694" s="15"/>
      <c r="BP1694" s="15"/>
      <c r="BQ1694" s="15"/>
      <c r="BR1694" s="15"/>
      <c r="BS1694" s="15"/>
      <c r="BT1694" s="15"/>
      <c r="BU1694" s="15"/>
      <c r="BV1694" s="15"/>
      <c r="BW1694" s="15"/>
      <c r="BX1694" s="15"/>
      <c r="BY1694" s="15"/>
      <c r="BZ1694" s="15"/>
      <c r="CA1694" s="15"/>
      <c r="CB1694" s="15"/>
    </row>
    <row r="1695" spans="1:80" ht="12.75" customHeight="1">
      <c r="A1695" s="20">
        <f ca="1">IFERROR(__xludf.DUMMYFUNCTION("""COMPUTED_VALUE"""),2023)</f>
        <v>2023</v>
      </c>
      <c r="B1695" s="45">
        <f ca="1">IFERROR(__xludf.DUMMYFUNCTION("""COMPUTED_VALUE"""),44854)</f>
        <v>44854</v>
      </c>
      <c r="C1695" s="46"/>
      <c r="D1695" s="47" t="str">
        <f ca="1">IFERROR(__xludf.DUMMYFUNCTION("""COMPUTED_VALUE"""),"Great Northern Diver")</f>
        <v>Great Northern Diver</v>
      </c>
      <c r="E1695" s="52">
        <f ca="1">IFERROR(__xludf.DUMMYFUNCTION("""COMPUTED_VALUE"""),1)</f>
        <v>1</v>
      </c>
      <c r="F1695" s="25"/>
      <c r="G1695" s="48" t="str">
        <f ca="1">IFERROR(__xludf.DUMMYFUNCTION("""COMPUTED_VALUE"""),"Hoylake")</f>
        <v>Hoylake</v>
      </c>
      <c r="H1695" s="22">
        <f ca="1">IFERROR(__xludf.DUMMYFUNCTION("""COMPUTED_VALUE"""),44604)</f>
        <v>44604</v>
      </c>
      <c r="I1695" s="23"/>
      <c r="J1695" s="24"/>
      <c r="K1695" s="25"/>
      <c r="L1695" s="27" t="str">
        <f ca="1">IFERROR(__xludf.DUMMYFUNCTION("""COMPUTED_VALUE"""),"limbo")</f>
        <v>limbo</v>
      </c>
      <c r="M1695" s="27"/>
      <c r="N1695" s="40" t="str">
        <f ca="1">IFERROR(__xludf.DUMMYFUNCTION("""COMPUTED_VALUE"""),"not submitted")</f>
        <v>not submitted</v>
      </c>
      <c r="O1695" s="28"/>
      <c r="P1695" s="25"/>
      <c r="Q1695" s="25"/>
      <c r="R1695" s="25"/>
      <c r="S1695" s="25"/>
      <c r="T1695" s="25"/>
      <c r="U1695" s="25"/>
      <c r="V1695" s="25"/>
      <c r="W1695" s="25"/>
      <c r="X1695" s="25"/>
      <c r="Y1695" s="25"/>
      <c r="Z1695" s="25"/>
      <c r="AA1695" s="25"/>
      <c r="AB1695" s="25"/>
      <c r="AC1695" s="25"/>
      <c r="AD1695" s="25"/>
      <c r="AE1695" s="25"/>
      <c r="AF1695" s="25"/>
      <c r="AG1695" s="25"/>
      <c r="AH1695" s="25"/>
      <c r="AI1695" s="25"/>
      <c r="AJ1695" s="25"/>
      <c r="AK1695" s="25"/>
      <c r="AL1695" s="25"/>
      <c r="AM1695" s="25"/>
      <c r="AN1695" s="25"/>
      <c r="AO1695" s="25"/>
      <c r="AP1695" s="25"/>
      <c r="AQ1695" s="25"/>
      <c r="AR1695" s="25"/>
      <c r="AS1695" s="25"/>
      <c r="AT1695" s="25"/>
      <c r="AU1695" s="25"/>
      <c r="AV1695" s="25"/>
      <c r="AW1695" s="25"/>
      <c r="AX1695" s="25"/>
      <c r="AY1695" s="25"/>
      <c r="AZ1695" s="25"/>
      <c r="BA1695" s="25"/>
      <c r="BB1695" s="25"/>
      <c r="BC1695" s="25"/>
      <c r="BD1695" s="25"/>
      <c r="BE1695" s="25"/>
      <c r="BF1695" s="25"/>
      <c r="BG1695" s="25"/>
      <c r="BH1695" s="25"/>
      <c r="BI1695" s="25"/>
      <c r="BJ1695" s="25"/>
      <c r="BK1695" s="25"/>
      <c r="BL1695" s="25"/>
      <c r="BM1695" s="25"/>
      <c r="BN1695" s="25"/>
      <c r="BO1695" s="25"/>
      <c r="BP1695" s="25"/>
      <c r="BQ1695" s="25"/>
      <c r="BR1695" s="25"/>
      <c r="BS1695" s="25"/>
      <c r="BT1695" s="25"/>
      <c r="BU1695" s="25"/>
      <c r="BV1695" s="25"/>
      <c r="BW1695" s="25"/>
      <c r="BX1695" s="25"/>
      <c r="BY1695" s="25"/>
      <c r="BZ1695" s="25"/>
      <c r="CA1695" s="25"/>
      <c r="CB1695" s="25"/>
    </row>
    <row r="1696" spans="1:80" ht="12.75" customHeight="1">
      <c r="A1696" s="10">
        <f ca="1">IFERROR(__xludf.DUMMYFUNCTION("""COMPUTED_VALUE"""),2023)</f>
        <v>2023</v>
      </c>
      <c r="B1696" s="50">
        <f ca="1">IFERROR(__xludf.DUMMYFUNCTION("""COMPUTED_VALUE"""),44854)</f>
        <v>44854</v>
      </c>
      <c r="C1696" s="41"/>
      <c r="D1696" s="42" t="str">
        <f ca="1">IFERROR(__xludf.DUMMYFUNCTION("""COMPUTED_VALUE"""),"Great Northern Diver")</f>
        <v>Great Northern Diver</v>
      </c>
      <c r="E1696" s="53">
        <f ca="1">IFERROR(__xludf.DUMMYFUNCTION("""COMPUTED_VALUE"""),1)</f>
        <v>1</v>
      </c>
      <c r="F1696" s="15"/>
      <c r="G1696" s="44" t="str">
        <f ca="1">IFERROR(__xludf.DUMMYFUNCTION("""COMPUTED_VALUE"""),"Leasowe")</f>
        <v>Leasowe</v>
      </c>
      <c r="H1696" s="12">
        <f ca="1">IFERROR(__xludf.DUMMYFUNCTION("""COMPUTED_VALUE"""),44605)</f>
        <v>44605</v>
      </c>
      <c r="I1696" s="13"/>
      <c r="J1696" s="14"/>
      <c r="K1696" s="15"/>
      <c r="L1696" s="17" t="str">
        <f ca="1">IFERROR(__xludf.DUMMYFUNCTION("""COMPUTED_VALUE"""),"limbo")</f>
        <v>limbo</v>
      </c>
      <c r="M1696" s="17"/>
      <c r="N1696" s="58" t="str">
        <f ca="1">IFERROR(__xludf.DUMMYFUNCTION("""COMPUTED_VALUE"""),"not submitted")</f>
        <v>not submitted</v>
      </c>
      <c r="O1696" s="18"/>
      <c r="P1696" s="15"/>
      <c r="Q1696" s="15"/>
      <c r="R1696" s="15"/>
      <c r="S1696" s="15"/>
      <c r="T1696" s="15"/>
      <c r="U1696" s="15"/>
      <c r="V1696" s="15"/>
      <c r="W1696" s="15"/>
      <c r="X1696" s="15"/>
      <c r="Y1696" s="15"/>
      <c r="Z1696" s="15"/>
      <c r="AA1696" s="15"/>
      <c r="AB1696" s="15"/>
      <c r="AC1696" s="15"/>
      <c r="AD1696" s="15"/>
      <c r="AE1696" s="15"/>
      <c r="AF1696" s="15"/>
      <c r="AG1696" s="15"/>
      <c r="AH1696" s="15"/>
      <c r="AI1696" s="15"/>
      <c r="AJ1696" s="15"/>
      <c r="AK1696" s="15"/>
      <c r="AL1696" s="15"/>
      <c r="AM1696" s="15"/>
      <c r="AN1696" s="15"/>
      <c r="AO1696" s="15"/>
      <c r="AP1696" s="15"/>
      <c r="AQ1696" s="15"/>
      <c r="AR1696" s="15"/>
      <c r="AS1696" s="15"/>
      <c r="AT1696" s="15"/>
      <c r="AU1696" s="15"/>
      <c r="AV1696" s="15"/>
      <c r="AW1696" s="15"/>
      <c r="AX1696" s="15"/>
      <c r="AY1696" s="15"/>
      <c r="AZ1696" s="15"/>
      <c r="BA1696" s="15"/>
      <c r="BB1696" s="15"/>
      <c r="BC1696" s="15"/>
      <c r="BD1696" s="15"/>
      <c r="BE1696" s="15"/>
      <c r="BF1696" s="15"/>
      <c r="BG1696" s="15"/>
      <c r="BH1696" s="15"/>
      <c r="BI1696" s="15"/>
      <c r="BJ1696" s="15"/>
      <c r="BK1696" s="15"/>
      <c r="BL1696" s="15"/>
      <c r="BM1696" s="15"/>
      <c r="BN1696" s="15"/>
      <c r="BO1696" s="15"/>
      <c r="BP1696" s="15"/>
      <c r="BQ1696" s="15"/>
      <c r="BR1696" s="15"/>
      <c r="BS1696" s="15"/>
      <c r="BT1696" s="15"/>
      <c r="BU1696" s="15"/>
      <c r="BV1696" s="15"/>
      <c r="BW1696" s="15"/>
      <c r="BX1696" s="15"/>
      <c r="BY1696" s="15"/>
      <c r="BZ1696" s="15"/>
      <c r="CA1696" s="15"/>
      <c r="CB1696" s="15"/>
    </row>
    <row r="1697" spans="1:80" ht="12.75" customHeight="1">
      <c r="A1697" s="20">
        <f ca="1">IFERROR(__xludf.DUMMYFUNCTION("""COMPUTED_VALUE"""),2023)</f>
        <v>2023</v>
      </c>
      <c r="B1697" s="45">
        <f ca="1">IFERROR(__xludf.DUMMYFUNCTION("""COMPUTED_VALUE"""),44854)</f>
        <v>44854</v>
      </c>
      <c r="C1697" s="46"/>
      <c r="D1697" s="47" t="str">
        <f ca="1">IFERROR(__xludf.DUMMYFUNCTION("""COMPUTED_VALUE"""),"Great Northern Diver")</f>
        <v>Great Northern Diver</v>
      </c>
      <c r="E1697" s="52">
        <f ca="1">IFERROR(__xludf.DUMMYFUNCTION("""COMPUTED_VALUE"""),1)</f>
        <v>1</v>
      </c>
      <c r="F1697" s="25"/>
      <c r="G1697" s="48" t="str">
        <f ca="1">IFERROR(__xludf.DUMMYFUNCTION("""COMPUTED_VALUE"""),"Leasowe")</f>
        <v>Leasowe</v>
      </c>
      <c r="H1697" s="22">
        <f ca="1">IFERROR(__xludf.DUMMYFUNCTION("""COMPUTED_VALUE"""),44666)</f>
        <v>44666</v>
      </c>
      <c r="I1697" s="23"/>
      <c r="J1697" s="24"/>
      <c r="K1697" s="25"/>
      <c r="L1697" s="27" t="str">
        <f ca="1">IFERROR(__xludf.DUMMYFUNCTION("""COMPUTED_VALUE"""),"limbo")</f>
        <v>limbo</v>
      </c>
      <c r="M1697" s="27"/>
      <c r="N1697" s="40" t="str">
        <f ca="1">IFERROR(__xludf.DUMMYFUNCTION("""COMPUTED_VALUE"""),"not submitted")</f>
        <v>not submitted</v>
      </c>
      <c r="O1697" s="28"/>
      <c r="P1697" s="25"/>
      <c r="Q1697" s="25"/>
      <c r="R1697" s="25"/>
      <c r="S1697" s="25"/>
      <c r="T1697" s="25"/>
      <c r="U1697" s="25"/>
      <c r="V1697" s="25"/>
      <c r="W1697" s="25"/>
      <c r="X1697" s="25"/>
      <c r="Y1697" s="25"/>
      <c r="Z1697" s="25"/>
      <c r="AA1697" s="25"/>
      <c r="AB1697" s="25"/>
      <c r="AC1697" s="25"/>
      <c r="AD1697" s="25"/>
      <c r="AE1697" s="25"/>
      <c r="AF1697" s="25"/>
      <c r="AG1697" s="25"/>
      <c r="AH1697" s="25"/>
      <c r="AI1697" s="25"/>
      <c r="AJ1697" s="25"/>
      <c r="AK1697" s="25"/>
      <c r="AL1697" s="25"/>
      <c r="AM1697" s="25"/>
      <c r="AN1697" s="25"/>
      <c r="AO1697" s="25"/>
      <c r="AP1697" s="25"/>
      <c r="AQ1697" s="25"/>
      <c r="AR1697" s="25"/>
      <c r="AS1697" s="25"/>
      <c r="AT1697" s="25"/>
      <c r="AU1697" s="25"/>
      <c r="AV1697" s="25"/>
      <c r="AW1697" s="25"/>
      <c r="AX1697" s="25"/>
      <c r="AY1697" s="25"/>
      <c r="AZ1697" s="25"/>
      <c r="BA1697" s="25"/>
      <c r="BB1697" s="25"/>
      <c r="BC1697" s="25"/>
      <c r="BD1697" s="25"/>
      <c r="BE1697" s="25"/>
      <c r="BF1697" s="25"/>
      <c r="BG1697" s="25"/>
      <c r="BH1697" s="25"/>
      <c r="BI1697" s="25"/>
      <c r="BJ1697" s="25"/>
      <c r="BK1697" s="25"/>
      <c r="BL1697" s="25"/>
      <c r="BM1697" s="25"/>
      <c r="BN1697" s="25"/>
      <c r="BO1697" s="25"/>
      <c r="BP1697" s="25"/>
      <c r="BQ1697" s="25"/>
      <c r="BR1697" s="25"/>
      <c r="BS1697" s="25"/>
      <c r="BT1697" s="25"/>
      <c r="BU1697" s="25"/>
      <c r="BV1697" s="25"/>
      <c r="BW1697" s="25"/>
      <c r="BX1697" s="25"/>
      <c r="BY1697" s="25"/>
      <c r="BZ1697" s="25"/>
      <c r="CA1697" s="25"/>
      <c r="CB1697" s="25"/>
    </row>
    <row r="1698" spans="1:80" ht="12.75" customHeight="1">
      <c r="A1698" s="10">
        <f ca="1">IFERROR(__xludf.DUMMYFUNCTION("""COMPUTED_VALUE"""),2023)</f>
        <v>2023</v>
      </c>
      <c r="B1698" s="50">
        <f ca="1">IFERROR(__xludf.DUMMYFUNCTION("""COMPUTED_VALUE"""),44854)</f>
        <v>44854</v>
      </c>
      <c r="C1698" s="41"/>
      <c r="D1698" s="42" t="str">
        <f ca="1">IFERROR(__xludf.DUMMYFUNCTION("""COMPUTED_VALUE"""),"Great Northern Diver")</f>
        <v>Great Northern Diver</v>
      </c>
      <c r="E1698" s="53">
        <f ca="1">IFERROR(__xludf.DUMMYFUNCTION("""COMPUTED_VALUE"""),1)</f>
        <v>1</v>
      </c>
      <c r="F1698" s="15" t="str">
        <f ca="1">IFERROR(__xludf.DUMMYFUNCTION("""COMPUTED_VALUE"""),"juv")</f>
        <v>juv</v>
      </c>
      <c r="G1698" s="44" t="str">
        <f ca="1">IFERROR(__xludf.DUMMYFUNCTION("""COMPUTED_VALUE"""),"West Kirby, ML, Hilbre")</f>
        <v>West Kirby, ML, Hilbre</v>
      </c>
      <c r="H1698" s="12">
        <f ca="1">IFERROR(__xludf.DUMMYFUNCTION("""COMPUTED_VALUE"""),45230)</f>
        <v>45230</v>
      </c>
      <c r="I1698" s="12">
        <f ca="1">IFERROR(__xludf.DUMMYFUNCTION("""COMPUTED_VALUE"""),45276)</f>
        <v>45276</v>
      </c>
      <c r="J1698" s="14"/>
      <c r="K1698" s="15"/>
      <c r="L1698" s="17" t="str">
        <f ca="1">IFERROR(__xludf.DUMMYFUNCTION("""COMPUTED_VALUE"""),"closed")</f>
        <v>closed</v>
      </c>
      <c r="M1698" s="17"/>
      <c r="N1698" s="58" t="str">
        <f ca="1">IFERROR(__xludf.DUMMYFUNCTION("""COMPUTED_VALUE"""),"Accepted w/o circ")</f>
        <v>Accepted w/o circ</v>
      </c>
      <c r="O1698" s="18"/>
      <c r="P1698" s="15"/>
      <c r="Q1698" s="15"/>
      <c r="R1698" s="15"/>
      <c r="S1698" s="15"/>
      <c r="T1698" s="15"/>
      <c r="U1698" s="15"/>
      <c r="V1698" s="15"/>
      <c r="W1698" s="15"/>
      <c r="X1698" s="15"/>
      <c r="Y1698" s="15"/>
      <c r="Z1698" s="15"/>
      <c r="AA1698" s="15"/>
      <c r="AB1698" s="15"/>
      <c r="AC1698" s="15"/>
      <c r="AD1698" s="15"/>
      <c r="AE1698" s="15"/>
      <c r="AF1698" s="15"/>
      <c r="AG1698" s="15"/>
      <c r="AH1698" s="15"/>
      <c r="AI1698" s="15"/>
      <c r="AJ1698" s="15"/>
      <c r="AK1698" s="15"/>
      <c r="AL1698" s="15"/>
      <c r="AM1698" s="15"/>
      <c r="AN1698" s="15"/>
      <c r="AO1698" s="15"/>
      <c r="AP1698" s="15"/>
      <c r="AQ1698" s="15"/>
      <c r="AR1698" s="15"/>
      <c r="AS1698" s="15"/>
      <c r="AT1698" s="15"/>
      <c r="AU1698" s="15"/>
      <c r="AV1698" s="15"/>
      <c r="AW1698" s="15"/>
      <c r="AX1698" s="15"/>
      <c r="AY1698" s="15"/>
      <c r="AZ1698" s="15"/>
      <c r="BA1698" s="15"/>
      <c r="BB1698" s="15"/>
      <c r="BC1698" s="15"/>
      <c r="BD1698" s="15"/>
      <c r="BE1698" s="15"/>
      <c r="BF1698" s="15"/>
      <c r="BG1698" s="15"/>
      <c r="BH1698" s="15"/>
      <c r="BI1698" s="15"/>
      <c r="BJ1698" s="15"/>
      <c r="BK1698" s="15"/>
      <c r="BL1698" s="15"/>
      <c r="BM1698" s="15"/>
      <c r="BN1698" s="15"/>
      <c r="BO1698" s="15"/>
      <c r="BP1698" s="15"/>
      <c r="BQ1698" s="15"/>
      <c r="BR1698" s="15"/>
      <c r="BS1698" s="15"/>
      <c r="BT1698" s="15"/>
      <c r="BU1698" s="15"/>
      <c r="BV1698" s="15"/>
      <c r="BW1698" s="15"/>
      <c r="BX1698" s="15"/>
      <c r="BY1698" s="15"/>
      <c r="BZ1698" s="15"/>
      <c r="CA1698" s="15"/>
      <c r="CB1698" s="15"/>
    </row>
    <row r="1699" spans="1:80" ht="12.75" customHeight="1">
      <c r="A1699" s="20">
        <f ca="1">IFERROR(__xludf.DUMMYFUNCTION("""COMPUTED_VALUE"""),2023)</f>
        <v>2023</v>
      </c>
      <c r="B1699" s="45">
        <f ca="1">IFERROR(__xludf.DUMMYFUNCTION("""COMPUTED_VALUE"""),45553)</f>
        <v>45553</v>
      </c>
      <c r="C1699" s="46"/>
      <c r="D1699" s="47" t="str">
        <f ca="1">IFERROR(__xludf.DUMMYFUNCTION("""COMPUTED_VALUE"""),"Glossy Ibis")</f>
        <v>Glossy Ibis</v>
      </c>
      <c r="E1699" s="52">
        <f ca="1">IFERROR(__xludf.DUMMYFUNCTION("""COMPUTED_VALUE"""),1)</f>
        <v>1</v>
      </c>
      <c r="F1699" s="25"/>
      <c r="G1699" s="48" t="str">
        <f ca="1">IFERROR(__xludf.DUMMYFUNCTION("""COMPUTED_VALUE"""),"Bidston")</f>
        <v>Bidston</v>
      </c>
      <c r="H1699" s="22">
        <f ca="1">IFERROR(__xludf.DUMMYFUNCTION("""COMPUTED_VALUE"""),45021)</f>
        <v>45021</v>
      </c>
      <c r="I1699" s="23"/>
      <c r="J1699" s="24"/>
      <c r="K1699" s="25"/>
      <c r="L1699" s="27" t="str">
        <f ca="1">IFERROR(__xludf.DUMMYFUNCTION("""COMPUTED_VALUE"""),"limbo")</f>
        <v>limbo</v>
      </c>
      <c r="M1699" s="27"/>
      <c r="N1699" s="40" t="str">
        <f ca="1">IFERROR(__xludf.DUMMYFUNCTION("""COMPUTED_VALUE"""),"not submitted")</f>
        <v>not submitted</v>
      </c>
      <c r="O1699" s="28"/>
      <c r="P1699" s="25"/>
      <c r="Q1699" s="25"/>
      <c r="R1699" s="25"/>
      <c r="S1699" s="25"/>
      <c r="T1699" s="25"/>
      <c r="U1699" s="25"/>
      <c r="V1699" s="25"/>
      <c r="W1699" s="25"/>
      <c r="X1699" s="25"/>
      <c r="Y1699" s="25"/>
      <c r="Z1699" s="25"/>
      <c r="AA1699" s="25"/>
      <c r="AB1699" s="25"/>
      <c r="AC1699" s="25"/>
      <c r="AD1699" s="25"/>
      <c r="AE1699" s="25"/>
      <c r="AF1699" s="25"/>
      <c r="AG1699" s="25"/>
      <c r="AH1699" s="25"/>
      <c r="AI1699" s="25"/>
      <c r="AJ1699" s="25"/>
      <c r="AK1699" s="25"/>
      <c r="AL1699" s="25"/>
      <c r="AM1699" s="25"/>
      <c r="AN1699" s="25"/>
      <c r="AO1699" s="25"/>
      <c r="AP1699" s="25"/>
      <c r="AQ1699" s="25"/>
      <c r="AR1699" s="25"/>
      <c r="AS1699" s="25"/>
      <c r="AT1699" s="25"/>
      <c r="AU1699" s="25"/>
      <c r="AV1699" s="25"/>
      <c r="AW1699" s="25"/>
      <c r="AX1699" s="25"/>
      <c r="AY1699" s="25"/>
      <c r="AZ1699" s="25"/>
      <c r="BA1699" s="25"/>
      <c r="BB1699" s="25"/>
      <c r="BC1699" s="25"/>
      <c r="BD1699" s="25"/>
      <c r="BE1699" s="25"/>
      <c r="BF1699" s="25"/>
      <c r="BG1699" s="25"/>
      <c r="BH1699" s="25"/>
      <c r="BI1699" s="25"/>
      <c r="BJ1699" s="25"/>
      <c r="BK1699" s="25"/>
      <c r="BL1699" s="25"/>
      <c r="BM1699" s="25"/>
      <c r="BN1699" s="25"/>
      <c r="BO1699" s="25"/>
      <c r="BP1699" s="25"/>
      <c r="BQ1699" s="25"/>
      <c r="BR1699" s="25"/>
      <c r="BS1699" s="25"/>
      <c r="BT1699" s="25"/>
      <c r="BU1699" s="25"/>
      <c r="BV1699" s="25"/>
      <c r="BW1699" s="25"/>
      <c r="BX1699" s="25"/>
      <c r="BY1699" s="25"/>
      <c r="BZ1699" s="25"/>
      <c r="CA1699" s="25"/>
      <c r="CB1699" s="25"/>
    </row>
    <row r="1700" spans="1:80" ht="12.75" customHeight="1">
      <c r="A1700" s="10">
        <f ca="1">IFERROR(__xludf.DUMMYFUNCTION("""COMPUTED_VALUE"""),2023)</f>
        <v>2023</v>
      </c>
      <c r="B1700" s="50">
        <f ca="1">IFERROR(__xludf.DUMMYFUNCTION("""COMPUTED_VALUE"""),45553)</f>
        <v>45553</v>
      </c>
      <c r="C1700" s="41">
        <f ca="1">IFERROR(__xludf.DUMMYFUNCTION("""COMPUTED_VALUE"""),42308)</f>
        <v>42308</v>
      </c>
      <c r="D1700" s="42" t="str">
        <f ca="1">IFERROR(__xludf.DUMMYFUNCTION("""COMPUTED_VALUE"""),"Glossy Ibis")</f>
        <v>Glossy Ibis</v>
      </c>
      <c r="E1700" s="53">
        <f ca="1">IFERROR(__xludf.DUMMYFUNCTION("""COMPUTED_VALUE"""),1)</f>
        <v>1</v>
      </c>
      <c r="F1700" s="15"/>
      <c r="G1700" s="44" t="str">
        <f ca="1">IFERROR(__xludf.DUMMYFUNCTION("""COMPUTED_VALUE"""),"Marbury CP")</f>
        <v>Marbury CP</v>
      </c>
      <c r="H1700" s="12">
        <f ca="1">IFERROR(__xludf.DUMMYFUNCTION("""COMPUTED_VALUE"""),45195)</f>
        <v>45195</v>
      </c>
      <c r="I1700" s="13"/>
      <c r="J1700" s="14" t="str">
        <f ca="1">IFERROR(__xludf.DUMMYFUNCTION("""COMPUTED_VALUE"""),"Baker, G")</f>
        <v>Baker, G</v>
      </c>
      <c r="K1700" s="15" t="str">
        <f ca="1">IFERROR(__xludf.DUMMYFUNCTION("""COMPUTED_VALUE"""),"Baker, G")</f>
        <v>Baker, G</v>
      </c>
      <c r="L1700" s="17" t="str">
        <f ca="1">IFERROR(__xludf.DUMMYFUNCTION("""COMPUTED_VALUE"""),"closed")</f>
        <v>closed</v>
      </c>
      <c r="M1700" s="17" t="str">
        <f ca="1">IFERROR(__xludf.DUMMYFUNCTION("""COMPUTED_VALUE"""),"1st U")</f>
        <v>1st U</v>
      </c>
      <c r="N1700" s="58" t="str">
        <f ca="1">IFERROR(__xludf.DUMMYFUNCTION("""COMPUTED_VALUE"""),"accepted")</f>
        <v>accepted</v>
      </c>
      <c r="O1700" s="18"/>
      <c r="P1700" s="15"/>
      <c r="Q1700" s="15"/>
      <c r="R1700" s="15"/>
      <c r="S1700" s="15"/>
      <c r="T1700" s="15"/>
      <c r="U1700" s="15"/>
      <c r="V1700" s="15"/>
      <c r="W1700" s="15"/>
      <c r="X1700" s="15"/>
      <c r="Y1700" s="15"/>
      <c r="Z1700" s="15"/>
      <c r="AA1700" s="15"/>
      <c r="AB1700" s="15"/>
      <c r="AC1700" s="15"/>
      <c r="AD1700" s="15"/>
      <c r="AE1700" s="15"/>
      <c r="AF1700" s="15"/>
      <c r="AG1700" s="15"/>
      <c r="AH1700" s="15"/>
      <c r="AI1700" s="15"/>
      <c r="AJ1700" s="15"/>
      <c r="AK1700" s="15"/>
      <c r="AL1700" s="15"/>
      <c r="AM1700" s="15"/>
      <c r="AN1700" s="15"/>
      <c r="AO1700" s="15"/>
      <c r="AP1700" s="15"/>
      <c r="AQ1700" s="15"/>
      <c r="AR1700" s="15"/>
      <c r="AS1700" s="15"/>
      <c r="AT1700" s="15"/>
      <c r="AU1700" s="15"/>
      <c r="AV1700" s="15"/>
      <c r="AW1700" s="15"/>
      <c r="AX1700" s="15"/>
      <c r="AY1700" s="15"/>
      <c r="AZ1700" s="15"/>
      <c r="BA1700" s="15"/>
      <c r="BB1700" s="15"/>
      <c r="BC1700" s="15"/>
      <c r="BD1700" s="15"/>
      <c r="BE1700" s="15"/>
      <c r="BF1700" s="15"/>
      <c r="BG1700" s="15"/>
      <c r="BH1700" s="15"/>
      <c r="BI1700" s="15"/>
      <c r="BJ1700" s="15"/>
      <c r="BK1700" s="15"/>
      <c r="BL1700" s="15"/>
      <c r="BM1700" s="15"/>
      <c r="BN1700" s="15"/>
      <c r="BO1700" s="15"/>
      <c r="BP1700" s="15"/>
      <c r="BQ1700" s="15"/>
      <c r="BR1700" s="15"/>
      <c r="BS1700" s="15"/>
      <c r="BT1700" s="15"/>
      <c r="BU1700" s="15"/>
      <c r="BV1700" s="15"/>
      <c r="BW1700" s="15"/>
      <c r="BX1700" s="15"/>
      <c r="BY1700" s="15"/>
      <c r="BZ1700" s="15"/>
      <c r="CA1700" s="15"/>
      <c r="CB1700" s="15"/>
    </row>
    <row r="1701" spans="1:80" ht="12.75" customHeight="1">
      <c r="A1701" s="20">
        <f ca="1">IFERROR(__xludf.DUMMYFUNCTION("""COMPUTED_VALUE"""),2023)</f>
        <v>2023</v>
      </c>
      <c r="B1701" s="45">
        <f ca="1">IFERROR(__xludf.DUMMYFUNCTION("""COMPUTED_VALUE"""),45555)</f>
        <v>45555</v>
      </c>
      <c r="C1701" s="46"/>
      <c r="D1701" s="47" t="str">
        <f ca="1">IFERROR(__xludf.DUMMYFUNCTION("""COMPUTED_VALUE"""),"Night-Heron")</f>
        <v>Night-Heron</v>
      </c>
      <c r="E1701" s="52">
        <f ca="1">IFERROR(__xludf.DUMMYFUNCTION("""COMPUTED_VALUE"""),1)</f>
        <v>1</v>
      </c>
      <c r="F1701" s="25"/>
      <c r="G1701" s="48" t="str">
        <f ca="1">IFERROR(__xludf.DUMMYFUNCTION("""COMPUTED_VALUE"""),"Pump House Flash , Sandbach")</f>
        <v>Pump House Flash , Sandbach</v>
      </c>
      <c r="H1701" s="22">
        <f ca="1">IFERROR(__xludf.DUMMYFUNCTION("""COMPUTED_VALUE"""),45076)</f>
        <v>45076</v>
      </c>
      <c r="I1701" s="23"/>
      <c r="J1701" s="24"/>
      <c r="K1701" s="25"/>
      <c r="L1701" s="27" t="str">
        <f ca="1">IFERROR(__xludf.DUMMYFUNCTION("""COMPUTED_VALUE"""),"closed")</f>
        <v>closed</v>
      </c>
      <c r="M1701" s="27"/>
      <c r="N1701" s="40" t="str">
        <f ca="1">IFERROR(__xludf.DUMMYFUNCTION("""COMPUTED_VALUE"""),"accepted without circulation")</f>
        <v>accepted without circulation</v>
      </c>
      <c r="O1701" s="28" t="str">
        <f ca="1">IFERROR(__xludf.DUMMYFUNCTION("""COMPUTED_VALUE"""),"multi-observed and photographed")</f>
        <v>multi-observed and photographed</v>
      </c>
      <c r="P1701" s="25"/>
      <c r="Q1701" s="25"/>
      <c r="R1701" s="25"/>
      <c r="S1701" s="25"/>
      <c r="T1701" s="25"/>
      <c r="U1701" s="25"/>
      <c r="V1701" s="25"/>
      <c r="W1701" s="25"/>
      <c r="X1701" s="25"/>
      <c r="Y1701" s="25"/>
      <c r="Z1701" s="25"/>
      <c r="AA1701" s="25"/>
      <c r="AB1701" s="25"/>
      <c r="AC1701" s="25"/>
      <c r="AD1701" s="25"/>
      <c r="AE1701" s="25"/>
      <c r="AF1701" s="25"/>
      <c r="AG1701" s="25"/>
      <c r="AH1701" s="25"/>
      <c r="AI1701" s="25"/>
      <c r="AJ1701" s="25"/>
      <c r="AK1701" s="25"/>
      <c r="AL1701" s="25"/>
      <c r="AM1701" s="25"/>
      <c r="AN1701" s="25"/>
      <c r="AO1701" s="25"/>
      <c r="AP1701" s="25"/>
      <c r="AQ1701" s="25"/>
      <c r="AR1701" s="25"/>
      <c r="AS1701" s="25"/>
      <c r="AT1701" s="25"/>
      <c r="AU1701" s="25"/>
      <c r="AV1701" s="25"/>
      <c r="AW1701" s="25"/>
      <c r="AX1701" s="25"/>
      <c r="AY1701" s="25"/>
      <c r="AZ1701" s="25"/>
      <c r="BA1701" s="25"/>
      <c r="BB1701" s="25"/>
      <c r="BC1701" s="25"/>
      <c r="BD1701" s="25"/>
      <c r="BE1701" s="25"/>
      <c r="BF1701" s="25"/>
      <c r="BG1701" s="25"/>
      <c r="BH1701" s="25"/>
      <c r="BI1701" s="25"/>
      <c r="BJ1701" s="25"/>
      <c r="BK1701" s="25"/>
      <c r="BL1701" s="25"/>
      <c r="BM1701" s="25"/>
      <c r="BN1701" s="25"/>
      <c r="BO1701" s="25"/>
      <c r="BP1701" s="25"/>
      <c r="BQ1701" s="25"/>
      <c r="BR1701" s="25"/>
      <c r="BS1701" s="25"/>
      <c r="BT1701" s="25"/>
      <c r="BU1701" s="25"/>
      <c r="BV1701" s="25"/>
      <c r="BW1701" s="25"/>
      <c r="BX1701" s="25"/>
      <c r="BY1701" s="25"/>
      <c r="BZ1701" s="25"/>
      <c r="CA1701" s="25"/>
      <c r="CB1701" s="25"/>
    </row>
    <row r="1702" spans="1:80" ht="12.75" customHeight="1">
      <c r="A1702" s="10">
        <f ca="1">IFERROR(__xludf.DUMMYFUNCTION("""COMPUTED_VALUE"""),2023)</f>
        <v>2023</v>
      </c>
      <c r="B1702" s="50">
        <f ca="1">IFERROR(__xludf.DUMMYFUNCTION("""COMPUTED_VALUE"""),45555)</f>
        <v>45555</v>
      </c>
      <c r="C1702" s="41"/>
      <c r="D1702" s="42" t="str">
        <f ca="1">IFERROR(__xludf.DUMMYFUNCTION("""COMPUTED_VALUE"""),"Night-Heron")</f>
        <v>Night-Heron</v>
      </c>
      <c r="E1702" s="53">
        <f ca="1">IFERROR(__xludf.DUMMYFUNCTION("""COMPUTED_VALUE"""),1)</f>
        <v>1</v>
      </c>
      <c r="F1702" s="15"/>
      <c r="G1702" s="44" t="str">
        <f ca="1">IFERROR(__xludf.DUMMYFUNCTION("""COMPUTED_VALUE"""),"Burton Mere Wetlands")</f>
        <v>Burton Mere Wetlands</v>
      </c>
      <c r="H1702" s="12">
        <f ca="1">IFERROR(__xludf.DUMMYFUNCTION("""COMPUTED_VALUE"""),45111)</f>
        <v>45111</v>
      </c>
      <c r="I1702" s="13"/>
      <c r="J1702" s="14"/>
      <c r="K1702" s="15"/>
      <c r="L1702" s="17" t="str">
        <f ca="1">IFERROR(__xludf.DUMMYFUNCTION("""COMPUTED_VALUE"""),"closed")</f>
        <v>closed</v>
      </c>
      <c r="M1702" s="17"/>
      <c r="N1702" s="58" t="str">
        <f ca="1">IFERROR(__xludf.DUMMYFUNCTION("""COMPUTED_VALUE"""),"accepted without circulation")</f>
        <v>accepted without circulation</v>
      </c>
      <c r="O1702" s="18" t="str">
        <f ca="1">IFERROR(__xludf.DUMMYFUNCTION("""COMPUTED_VALUE"""),"multi-observed")</f>
        <v>multi-observed</v>
      </c>
      <c r="P1702" s="15"/>
      <c r="Q1702" s="15"/>
      <c r="R1702" s="15"/>
      <c r="S1702" s="15"/>
      <c r="T1702" s="15"/>
      <c r="U1702" s="15"/>
      <c r="V1702" s="15"/>
      <c r="W1702" s="15"/>
      <c r="X1702" s="15"/>
      <c r="Y1702" s="15"/>
      <c r="Z1702" s="15"/>
      <c r="AA1702" s="15"/>
      <c r="AB1702" s="15"/>
      <c r="AC1702" s="15"/>
      <c r="AD1702" s="15"/>
      <c r="AE1702" s="15"/>
      <c r="AF1702" s="15"/>
      <c r="AG1702" s="15"/>
      <c r="AH1702" s="15"/>
      <c r="AI1702" s="15"/>
      <c r="AJ1702" s="15"/>
      <c r="AK1702" s="15"/>
      <c r="AL1702" s="15"/>
      <c r="AM1702" s="15"/>
      <c r="AN1702" s="15"/>
      <c r="AO1702" s="15"/>
      <c r="AP1702" s="15"/>
      <c r="AQ1702" s="15"/>
      <c r="AR1702" s="15"/>
      <c r="AS1702" s="15"/>
      <c r="AT1702" s="15"/>
      <c r="AU1702" s="15"/>
      <c r="AV1702" s="15"/>
      <c r="AW1702" s="15"/>
      <c r="AX1702" s="15"/>
      <c r="AY1702" s="15"/>
      <c r="AZ1702" s="15"/>
      <c r="BA1702" s="15"/>
      <c r="BB1702" s="15"/>
      <c r="BC1702" s="15"/>
      <c r="BD1702" s="15"/>
      <c r="BE1702" s="15"/>
      <c r="BF1702" s="15"/>
      <c r="BG1702" s="15"/>
      <c r="BH1702" s="15"/>
      <c r="BI1702" s="15"/>
      <c r="BJ1702" s="15"/>
      <c r="BK1702" s="15"/>
      <c r="BL1702" s="15"/>
      <c r="BM1702" s="15"/>
      <c r="BN1702" s="15"/>
      <c r="BO1702" s="15"/>
      <c r="BP1702" s="15"/>
      <c r="BQ1702" s="15"/>
      <c r="BR1702" s="15"/>
      <c r="BS1702" s="15"/>
      <c r="BT1702" s="15"/>
      <c r="BU1702" s="15"/>
      <c r="BV1702" s="15"/>
      <c r="BW1702" s="15"/>
      <c r="BX1702" s="15"/>
      <c r="BY1702" s="15"/>
      <c r="BZ1702" s="15"/>
      <c r="CA1702" s="15"/>
      <c r="CB1702" s="15"/>
    </row>
    <row r="1703" spans="1:80" ht="12.75" customHeight="1">
      <c r="A1703" s="20">
        <f ca="1">IFERROR(__xludf.DUMMYFUNCTION("""COMPUTED_VALUE"""),2023)</f>
        <v>2023</v>
      </c>
      <c r="B1703" s="45">
        <f ca="1">IFERROR(__xludf.DUMMYFUNCTION("""COMPUTED_VALUE"""),45554)</f>
        <v>45554</v>
      </c>
      <c r="C1703" s="46"/>
      <c r="D1703" s="47" t="str">
        <f ca="1">IFERROR(__xludf.DUMMYFUNCTION("""COMPUTED_VALUE"""),"Honey-Buzzard")</f>
        <v>Honey-Buzzard</v>
      </c>
      <c r="E1703" s="52">
        <f ca="1">IFERROR(__xludf.DUMMYFUNCTION("""COMPUTED_VALUE"""),1)</f>
        <v>1</v>
      </c>
      <c r="F1703" s="25"/>
      <c r="G1703" s="48" t="str">
        <f ca="1">IFERROR(__xludf.DUMMYFUNCTION("""COMPUTED_VALUE"""),"Riveacre")</f>
        <v>Riveacre</v>
      </c>
      <c r="H1703" s="22">
        <f ca="1">IFERROR(__xludf.DUMMYFUNCTION("""COMPUTED_VALUE"""),45251)</f>
        <v>45251</v>
      </c>
      <c r="I1703" s="23"/>
      <c r="J1703" s="24"/>
      <c r="K1703" s="25"/>
      <c r="L1703" s="27" t="str">
        <f ca="1">IFERROR(__xludf.DUMMYFUNCTION("""COMPUTED_VALUE"""),"limbo")</f>
        <v>limbo</v>
      </c>
      <c r="M1703" s="27"/>
      <c r="N1703" s="40" t="str">
        <f ca="1">IFERROR(__xludf.DUMMYFUNCTION("""COMPUTED_VALUE"""),"not submitted")</f>
        <v>not submitted</v>
      </c>
      <c r="O1703" s="28"/>
      <c r="P1703" s="25"/>
      <c r="Q1703" s="25"/>
      <c r="R1703" s="25"/>
      <c r="S1703" s="25"/>
      <c r="T1703" s="25"/>
      <c r="U1703" s="25"/>
      <c r="V1703" s="25"/>
      <c r="W1703" s="25"/>
      <c r="X1703" s="25"/>
      <c r="Y1703" s="25"/>
      <c r="Z1703" s="25"/>
      <c r="AA1703" s="25"/>
      <c r="AB1703" s="25"/>
      <c r="AC1703" s="25"/>
      <c r="AD1703" s="25"/>
      <c r="AE1703" s="25"/>
      <c r="AF1703" s="25"/>
      <c r="AG1703" s="25"/>
      <c r="AH1703" s="25"/>
      <c r="AI1703" s="25"/>
      <c r="AJ1703" s="25"/>
      <c r="AK1703" s="25"/>
      <c r="AL1703" s="25"/>
      <c r="AM1703" s="25"/>
      <c r="AN1703" s="25"/>
      <c r="AO1703" s="25"/>
      <c r="AP1703" s="25"/>
      <c r="AQ1703" s="25"/>
      <c r="AR1703" s="25"/>
      <c r="AS1703" s="25"/>
      <c r="AT1703" s="25"/>
      <c r="AU1703" s="25"/>
      <c r="AV1703" s="25"/>
      <c r="AW1703" s="25"/>
      <c r="AX1703" s="25"/>
      <c r="AY1703" s="25"/>
      <c r="AZ1703" s="25"/>
      <c r="BA1703" s="25"/>
      <c r="BB1703" s="25"/>
      <c r="BC1703" s="25"/>
      <c r="BD1703" s="25"/>
      <c r="BE1703" s="25"/>
      <c r="BF1703" s="25"/>
      <c r="BG1703" s="25"/>
      <c r="BH1703" s="25"/>
      <c r="BI1703" s="25"/>
      <c r="BJ1703" s="25"/>
      <c r="BK1703" s="25"/>
      <c r="BL1703" s="25"/>
      <c r="BM1703" s="25"/>
      <c r="BN1703" s="25"/>
      <c r="BO1703" s="25"/>
      <c r="BP1703" s="25"/>
      <c r="BQ1703" s="25"/>
      <c r="BR1703" s="25"/>
      <c r="BS1703" s="25"/>
      <c r="BT1703" s="25"/>
      <c r="BU1703" s="25"/>
      <c r="BV1703" s="25"/>
      <c r="BW1703" s="25"/>
      <c r="BX1703" s="25"/>
      <c r="BY1703" s="25"/>
      <c r="BZ1703" s="25"/>
      <c r="CA1703" s="25"/>
      <c r="CB1703" s="25"/>
    </row>
    <row r="1704" spans="1:80" ht="12.75" customHeight="1">
      <c r="A1704" s="10">
        <f ca="1">IFERROR(__xludf.DUMMYFUNCTION("""COMPUTED_VALUE"""),2023)</f>
        <v>2023</v>
      </c>
      <c r="B1704" s="50">
        <f ca="1">IFERROR(__xludf.DUMMYFUNCTION("""COMPUTED_VALUE"""),45005)</f>
        <v>45005</v>
      </c>
      <c r="C1704" s="41"/>
      <c r="D1704" s="42" t="str">
        <f ca="1">IFERROR(__xludf.DUMMYFUNCTION("""COMPUTED_VALUE"""),"Goshawk")</f>
        <v>Goshawk</v>
      </c>
      <c r="E1704" s="53">
        <f ca="1">IFERROR(__xludf.DUMMYFUNCTION("""COMPUTED_VALUE"""),1)</f>
        <v>1</v>
      </c>
      <c r="F1704" s="15"/>
      <c r="G1704" s="44" t="str">
        <f ca="1">IFERROR(__xludf.DUMMYFUNCTION("""COMPUTED_VALUE"""),"Delamere")</f>
        <v>Delamere</v>
      </c>
      <c r="H1704" s="12">
        <f ca="1">IFERROR(__xludf.DUMMYFUNCTION("""COMPUTED_VALUE"""),44969)</f>
        <v>44969</v>
      </c>
      <c r="I1704" s="13"/>
      <c r="J1704" s="14"/>
      <c r="K1704" s="15"/>
      <c r="L1704" s="17" t="str">
        <f ca="1">IFERROR(__xludf.DUMMYFUNCTION("""COMPUTED_VALUE"""),"limbo")</f>
        <v>limbo</v>
      </c>
      <c r="M1704" s="17"/>
      <c r="N1704" s="58" t="str">
        <f ca="1">IFERROR(__xludf.DUMMYFUNCTION("""COMPUTED_VALUE"""),"not submitted")</f>
        <v>not submitted</v>
      </c>
      <c r="O1704" s="18"/>
      <c r="P1704" s="15"/>
      <c r="Q1704" s="15"/>
      <c r="R1704" s="15"/>
      <c r="S1704" s="15"/>
      <c r="T1704" s="15"/>
      <c r="U1704" s="15"/>
      <c r="V1704" s="15"/>
      <c r="W1704" s="15"/>
      <c r="X1704" s="15"/>
      <c r="Y1704" s="15"/>
      <c r="Z1704" s="15"/>
      <c r="AA1704" s="15"/>
      <c r="AB1704" s="15"/>
      <c r="AC1704" s="15"/>
      <c r="AD1704" s="15"/>
      <c r="AE1704" s="15"/>
      <c r="AF1704" s="15"/>
      <c r="AG1704" s="15"/>
      <c r="AH1704" s="15"/>
      <c r="AI1704" s="15"/>
      <c r="AJ1704" s="15"/>
      <c r="AK1704" s="15"/>
      <c r="AL1704" s="15"/>
      <c r="AM1704" s="15"/>
      <c r="AN1704" s="15"/>
      <c r="AO1704" s="15"/>
      <c r="AP1704" s="15"/>
      <c r="AQ1704" s="15"/>
      <c r="AR1704" s="15"/>
      <c r="AS1704" s="15"/>
      <c r="AT1704" s="15"/>
      <c r="AU1704" s="15"/>
      <c r="AV1704" s="15"/>
      <c r="AW1704" s="15"/>
      <c r="AX1704" s="15"/>
      <c r="AY1704" s="15"/>
      <c r="AZ1704" s="15"/>
      <c r="BA1704" s="15"/>
      <c r="BB1704" s="15"/>
      <c r="BC1704" s="15"/>
      <c r="BD1704" s="15"/>
      <c r="BE1704" s="15"/>
      <c r="BF1704" s="15"/>
      <c r="BG1704" s="15"/>
      <c r="BH1704" s="15"/>
      <c r="BI1704" s="15"/>
      <c r="BJ1704" s="15"/>
      <c r="BK1704" s="15"/>
      <c r="BL1704" s="15"/>
      <c r="BM1704" s="15"/>
      <c r="BN1704" s="15"/>
      <c r="BO1704" s="15"/>
      <c r="BP1704" s="15"/>
      <c r="BQ1704" s="15"/>
      <c r="BR1704" s="15"/>
      <c r="BS1704" s="15"/>
      <c r="BT1704" s="15"/>
      <c r="BU1704" s="15"/>
      <c r="BV1704" s="15"/>
      <c r="BW1704" s="15"/>
      <c r="BX1704" s="15"/>
      <c r="BY1704" s="15"/>
      <c r="BZ1704" s="15"/>
      <c r="CA1704" s="15"/>
      <c r="CB1704" s="15"/>
    </row>
    <row r="1705" spans="1:80" ht="12.75" customHeight="1">
      <c r="A1705" s="20">
        <f ca="1">IFERROR(__xludf.DUMMYFUNCTION("""COMPUTED_VALUE"""),2023)</f>
        <v>2023</v>
      </c>
      <c r="B1705" s="45">
        <f ca="1">IFERROR(__xludf.DUMMYFUNCTION("""COMPUTED_VALUE"""),45554)</f>
        <v>45554</v>
      </c>
      <c r="C1705" s="46"/>
      <c r="D1705" s="47" t="str">
        <f ca="1">IFERROR(__xludf.DUMMYFUNCTION("""COMPUTED_VALUE"""),"Goshawk")</f>
        <v>Goshawk</v>
      </c>
      <c r="E1705" s="52">
        <f ca="1">IFERROR(__xludf.DUMMYFUNCTION("""COMPUTED_VALUE"""),1)</f>
        <v>1</v>
      </c>
      <c r="F1705" s="25"/>
      <c r="G1705" s="48" t="str">
        <f ca="1">IFERROR(__xludf.DUMMYFUNCTION("""COMPUTED_VALUE"""),"Macclesfield Forest")</f>
        <v>Macclesfield Forest</v>
      </c>
      <c r="H1705" s="22">
        <f ca="1">IFERROR(__xludf.DUMMYFUNCTION("""COMPUTED_VALUE"""),45002)</f>
        <v>45002</v>
      </c>
      <c r="I1705" s="23"/>
      <c r="J1705" s="24"/>
      <c r="K1705" s="25"/>
      <c r="L1705" s="27" t="str">
        <f ca="1">IFERROR(__xludf.DUMMYFUNCTION("""COMPUTED_VALUE"""),"limbo")</f>
        <v>limbo</v>
      </c>
      <c r="M1705" s="27"/>
      <c r="N1705" s="40" t="str">
        <f ca="1">IFERROR(__xludf.DUMMYFUNCTION("""COMPUTED_VALUE"""),"not submitted")</f>
        <v>not submitted</v>
      </c>
      <c r="O1705" s="28"/>
      <c r="P1705" s="25"/>
      <c r="Q1705" s="25"/>
      <c r="R1705" s="25"/>
      <c r="S1705" s="25"/>
      <c r="T1705" s="25"/>
      <c r="U1705" s="25"/>
      <c r="V1705" s="25"/>
      <c r="W1705" s="25"/>
      <c r="X1705" s="25"/>
      <c r="Y1705" s="25"/>
      <c r="Z1705" s="25"/>
      <c r="AA1705" s="25"/>
      <c r="AB1705" s="25"/>
      <c r="AC1705" s="25"/>
      <c r="AD1705" s="25"/>
      <c r="AE1705" s="25"/>
      <c r="AF1705" s="25"/>
      <c r="AG1705" s="25"/>
      <c r="AH1705" s="25"/>
      <c r="AI1705" s="25"/>
      <c r="AJ1705" s="25"/>
      <c r="AK1705" s="25"/>
      <c r="AL1705" s="25"/>
      <c r="AM1705" s="25"/>
      <c r="AN1705" s="25"/>
      <c r="AO1705" s="25"/>
      <c r="AP1705" s="25"/>
      <c r="AQ1705" s="25"/>
      <c r="AR1705" s="25"/>
      <c r="AS1705" s="25"/>
      <c r="AT1705" s="25"/>
      <c r="AU1705" s="25"/>
      <c r="AV1705" s="25"/>
      <c r="AW1705" s="25"/>
      <c r="AX1705" s="25"/>
      <c r="AY1705" s="25"/>
      <c r="AZ1705" s="25"/>
      <c r="BA1705" s="25"/>
      <c r="BB1705" s="25"/>
      <c r="BC1705" s="25"/>
      <c r="BD1705" s="25"/>
      <c r="BE1705" s="25"/>
      <c r="BF1705" s="25"/>
      <c r="BG1705" s="25"/>
      <c r="BH1705" s="25"/>
      <c r="BI1705" s="25"/>
      <c r="BJ1705" s="25"/>
      <c r="BK1705" s="25"/>
      <c r="BL1705" s="25"/>
      <c r="BM1705" s="25"/>
      <c r="BN1705" s="25"/>
      <c r="BO1705" s="25"/>
      <c r="BP1705" s="25"/>
      <c r="BQ1705" s="25"/>
      <c r="BR1705" s="25"/>
      <c r="BS1705" s="25"/>
      <c r="BT1705" s="25"/>
      <c r="BU1705" s="25"/>
      <c r="BV1705" s="25"/>
      <c r="BW1705" s="25"/>
      <c r="BX1705" s="25"/>
      <c r="BY1705" s="25"/>
      <c r="BZ1705" s="25"/>
      <c r="CA1705" s="25"/>
      <c r="CB1705" s="25"/>
    </row>
    <row r="1706" spans="1:80" ht="12.75" customHeight="1">
      <c r="A1706" s="10">
        <f ca="1">IFERROR(__xludf.DUMMYFUNCTION("""COMPUTED_VALUE"""),2023)</f>
        <v>2023</v>
      </c>
      <c r="B1706" s="50">
        <f ca="1">IFERROR(__xludf.DUMMYFUNCTION("""COMPUTED_VALUE"""),45554)</f>
        <v>45554</v>
      </c>
      <c r="C1706" s="41"/>
      <c r="D1706" s="42" t="str">
        <f ca="1">IFERROR(__xludf.DUMMYFUNCTION("""COMPUTED_VALUE"""),"Goshawk")</f>
        <v>Goshawk</v>
      </c>
      <c r="E1706" s="53">
        <f ca="1">IFERROR(__xludf.DUMMYFUNCTION("""COMPUTED_VALUE"""),1)</f>
        <v>1</v>
      </c>
      <c r="F1706" s="15"/>
      <c r="G1706" s="44" t="str">
        <f ca="1">IFERROR(__xludf.DUMMYFUNCTION("""COMPUTED_VALUE"""),"Burton Marsh")</f>
        <v>Burton Marsh</v>
      </c>
      <c r="H1706" s="12">
        <f ca="1">IFERROR(__xludf.DUMMYFUNCTION("""COMPUTED_VALUE"""),45236)</f>
        <v>45236</v>
      </c>
      <c r="I1706" s="13"/>
      <c r="J1706" s="14"/>
      <c r="K1706" s="15"/>
      <c r="L1706" s="17" t="str">
        <f ca="1">IFERROR(__xludf.DUMMYFUNCTION("""COMPUTED_VALUE"""),"limbo")</f>
        <v>limbo</v>
      </c>
      <c r="M1706" s="17"/>
      <c r="N1706" s="58" t="str">
        <f ca="1">IFERROR(__xludf.DUMMYFUNCTION("""COMPUTED_VALUE"""),"not submitted")</f>
        <v>not submitted</v>
      </c>
      <c r="O1706" s="18"/>
      <c r="P1706" s="15"/>
      <c r="Q1706" s="15"/>
      <c r="R1706" s="15"/>
      <c r="S1706" s="15"/>
      <c r="T1706" s="15"/>
      <c r="U1706" s="15"/>
      <c r="V1706" s="15"/>
      <c r="W1706" s="15"/>
      <c r="X1706" s="15"/>
      <c r="Y1706" s="15"/>
      <c r="Z1706" s="15"/>
      <c r="AA1706" s="15"/>
      <c r="AB1706" s="15"/>
      <c r="AC1706" s="15"/>
      <c r="AD1706" s="15"/>
      <c r="AE1706" s="15"/>
      <c r="AF1706" s="15"/>
      <c r="AG1706" s="15"/>
      <c r="AH1706" s="15"/>
      <c r="AI1706" s="15"/>
      <c r="AJ1706" s="15"/>
      <c r="AK1706" s="15"/>
      <c r="AL1706" s="15"/>
      <c r="AM1706" s="15"/>
      <c r="AN1706" s="15"/>
      <c r="AO1706" s="15"/>
      <c r="AP1706" s="15"/>
      <c r="AQ1706" s="15"/>
      <c r="AR1706" s="15"/>
      <c r="AS1706" s="15"/>
      <c r="AT1706" s="15"/>
      <c r="AU1706" s="15"/>
      <c r="AV1706" s="15"/>
      <c r="AW1706" s="15"/>
      <c r="AX1706" s="15"/>
      <c r="AY1706" s="15"/>
      <c r="AZ1706" s="15"/>
      <c r="BA1706" s="15"/>
      <c r="BB1706" s="15"/>
      <c r="BC1706" s="15"/>
      <c r="BD1706" s="15"/>
      <c r="BE1706" s="15"/>
      <c r="BF1706" s="15"/>
      <c r="BG1706" s="15"/>
      <c r="BH1706" s="15"/>
      <c r="BI1706" s="15"/>
      <c r="BJ1706" s="15"/>
      <c r="BK1706" s="15"/>
      <c r="BL1706" s="15"/>
      <c r="BM1706" s="15"/>
      <c r="BN1706" s="15"/>
      <c r="BO1706" s="15"/>
      <c r="BP1706" s="15"/>
      <c r="BQ1706" s="15"/>
      <c r="BR1706" s="15"/>
      <c r="BS1706" s="15"/>
      <c r="BT1706" s="15"/>
      <c r="BU1706" s="15"/>
      <c r="BV1706" s="15"/>
      <c r="BW1706" s="15"/>
      <c r="BX1706" s="15"/>
      <c r="BY1706" s="15"/>
      <c r="BZ1706" s="15"/>
      <c r="CA1706" s="15"/>
      <c r="CB1706" s="15"/>
    </row>
    <row r="1707" spans="1:80" ht="12.75" customHeight="1">
      <c r="A1707" s="20">
        <f ca="1">IFERROR(__xludf.DUMMYFUNCTION("""COMPUTED_VALUE"""),2023)</f>
        <v>2023</v>
      </c>
      <c r="B1707" s="45">
        <f ca="1">IFERROR(__xludf.DUMMYFUNCTION("""COMPUTED_VALUE"""),45554)</f>
        <v>45554</v>
      </c>
      <c r="C1707" s="46"/>
      <c r="D1707" s="47" t="str">
        <f ca="1">IFERROR(__xludf.DUMMYFUNCTION("""COMPUTED_VALUE"""),"Goshawk")</f>
        <v>Goshawk</v>
      </c>
      <c r="E1707" s="52">
        <f ca="1">IFERROR(__xludf.DUMMYFUNCTION("""COMPUTED_VALUE"""),1)</f>
        <v>1</v>
      </c>
      <c r="F1707" s="25"/>
      <c r="G1707" s="48" t="str">
        <f ca="1">IFERROR(__xludf.DUMMYFUNCTION("""COMPUTED_VALUE"""),"Eddisbury, Delamere")</f>
        <v>Eddisbury, Delamere</v>
      </c>
      <c r="H1707" s="22">
        <f ca="1">IFERROR(__xludf.DUMMYFUNCTION("""COMPUTED_VALUE"""),45259)</f>
        <v>45259</v>
      </c>
      <c r="I1707" s="23"/>
      <c r="J1707" s="24"/>
      <c r="K1707" s="25"/>
      <c r="L1707" s="27" t="str">
        <f ca="1">IFERROR(__xludf.DUMMYFUNCTION("""COMPUTED_VALUE"""),"limbo")</f>
        <v>limbo</v>
      </c>
      <c r="M1707" s="27"/>
      <c r="N1707" s="40" t="str">
        <f ca="1">IFERROR(__xludf.DUMMYFUNCTION("""COMPUTED_VALUE"""),"not submitted")</f>
        <v>not submitted</v>
      </c>
      <c r="O1707" s="28"/>
      <c r="P1707" s="25"/>
      <c r="Q1707" s="25"/>
      <c r="R1707" s="25"/>
      <c r="S1707" s="25"/>
      <c r="T1707" s="25"/>
      <c r="U1707" s="25"/>
      <c r="V1707" s="25"/>
      <c r="W1707" s="25"/>
      <c r="X1707" s="25"/>
      <c r="Y1707" s="25"/>
      <c r="Z1707" s="25"/>
      <c r="AA1707" s="25"/>
      <c r="AB1707" s="25"/>
      <c r="AC1707" s="25"/>
      <c r="AD1707" s="25"/>
      <c r="AE1707" s="25"/>
      <c r="AF1707" s="25"/>
      <c r="AG1707" s="25"/>
      <c r="AH1707" s="25"/>
      <c r="AI1707" s="25"/>
      <c r="AJ1707" s="25"/>
      <c r="AK1707" s="25"/>
      <c r="AL1707" s="25"/>
      <c r="AM1707" s="25"/>
      <c r="AN1707" s="25"/>
      <c r="AO1707" s="25"/>
      <c r="AP1707" s="25"/>
      <c r="AQ1707" s="25"/>
      <c r="AR1707" s="25"/>
      <c r="AS1707" s="25"/>
      <c r="AT1707" s="25"/>
      <c r="AU1707" s="25"/>
      <c r="AV1707" s="25"/>
      <c r="AW1707" s="25"/>
      <c r="AX1707" s="25"/>
      <c r="AY1707" s="25"/>
      <c r="AZ1707" s="25"/>
      <c r="BA1707" s="25"/>
      <c r="BB1707" s="25"/>
      <c r="BC1707" s="25"/>
      <c r="BD1707" s="25"/>
      <c r="BE1707" s="25"/>
      <c r="BF1707" s="25"/>
      <c r="BG1707" s="25"/>
      <c r="BH1707" s="25"/>
      <c r="BI1707" s="25"/>
      <c r="BJ1707" s="25"/>
      <c r="BK1707" s="25"/>
      <c r="BL1707" s="25"/>
      <c r="BM1707" s="25"/>
      <c r="BN1707" s="25"/>
      <c r="BO1707" s="25"/>
      <c r="BP1707" s="25"/>
      <c r="BQ1707" s="25"/>
      <c r="BR1707" s="25"/>
      <c r="BS1707" s="25"/>
      <c r="BT1707" s="25"/>
      <c r="BU1707" s="25"/>
      <c r="BV1707" s="25"/>
      <c r="BW1707" s="25"/>
      <c r="BX1707" s="25"/>
      <c r="BY1707" s="25"/>
      <c r="BZ1707" s="25"/>
      <c r="CA1707" s="25"/>
      <c r="CB1707" s="25"/>
    </row>
    <row r="1708" spans="1:80" ht="12.75" customHeight="1">
      <c r="A1708" s="10">
        <f ca="1">IFERROR(__xludf.DUMMYFUNCTION("""COMPUTED_VALUE"""),2023)</f>
        <v>2023</v>
      </c>
      <c r="B1708" s="50">
        <f ca="1">IFERROR(__xludf.DUMMYFUNCTION("""COMPUTED_VALUE"""),45557)</f>
        <v>45557</v>
      </c>
      <c r="C1708" s="41"/>
      <c r="D1708" s="42" t="str">
        <f ca="1">IFERROR(__xludf.DUMMYFUNCTION("""COMPUTED_VALUE"""),"White-tailed Eagle")</f>
        <v>White-tailed Eagle</v>
      </c>
      <c r="E1708" s="53">
        <f ca="1">IFERROR(__xludf.DUMMYFUNCTION("""COMPUTED_VALUE"""),1)</f>
        <v>1</v>
      </c>
      <c r="F1708" s="15" t="str">
        <f ca="1">IFERROR(__xludf.DUMMYFUNCTION("""COMPUTED_VALUE"""),"juv")</f>
        <v>juv</v>
      </c>
      <c r="G1708" s="44" t="str">
        <f ca="1">IFERROR(__xludf.DUMMYFUNCTION("""COMPUTED_VALUE"""),"Hale")</f>
        <v>Hale</v>
      </c>
      <c r="H1708" s="12">
        <f ca="1">IFERROR(__xludf.DUMMYFUNCTION("""COMPUTED_VALUE"""),45098)</f>
        <v>45098</v>
      </c>
      <c r="I1708" s="12">
        <f ca="1">IFERROR(__xludf.DUMMYFUNCTION("""COMPUTED_VALUE"""),45099)</f>
        <v>45099</v>
      </c>
      <c r="J1708" s="14" t="str">
        <f ca="1">IFERROR(__xludf.DUMMYFUNCTION("""COMPUTED_VALUE"""),"County recorder")</f>
        <v>County recorder</v>
      </c>
      <c r="K1708" s="15" t="str">
        <f ca="1">IFERROR(__xludf.DUMMYFUNCTION("""COMPUTED_VALUE"""),"Craven, D")</f>
        <v>Craven, D</v>
      </c>
      <c r="L1708" s="17" t="str">
        <f ca="1">IFERROR(__xludf.DUMMYFUNCTION("""COMPUTED_VALUE"""),"closed")</f>
        <v>closed</v>
      </c>
      <c r="M1708" s="17"/>
      <c r="N1708" s="58" t="str">
        <f ca="1">IFERROR(__xludf.DUMMYFUNCTION("""COMPUTED_VALUE"""),"Accepted w/o/circulation")</f>
        <v>Accepted w/o/circulation</v>
      </c>
      <c r="O1708" s="18"/>
      <c r="P1708" s="15"/>
      <c r="Q1708" s="15"/>
      <c r="R1708" s="15"/>
      <c r="S1708" s="15"/>
      <c r="T1708" s="15"/>
      <c r="U1708" s="15"/>
      <c r="V1708" s="15"/>
      <c r="W1708" s="15"/>
      <c r="X1708" s="15"/>
      <c r="Y1708" s="15"/>
      <c r="Z1708" s="15"/>
      <c r="AA1708" s="15"/>
      <c r="AB1708" s="15"/>
      <c r="AC1708" s="15"/>
      <c r="AD1708" s="15"/>
      <c r="AE1708" s="15"/>
      <c r="AF1708" s="15"/>
      <c r="AG1708" s="15"/>
      <c r="AH1708" s="15"/>
      <c r="AI1708" s="15"/>
      <c r="AJ1708" s="15"/>
      <c r="AK1708" s="15"/>
      <c r="AL1708" s="15"/>
      <c r="AM1708" s="15"/>
      <c r="AN1708" s="15"/>
      <c r="AO1708" s="15"/>
      <c r="AP1708" s="15"/>
      <c r="AQ1708" s="15"/>
      <c r="AR1708" s="15"/>
      <c r="AS1708" s="15"/>
      <c r="AT1708" s="15"/>
      <c r="AU1708" s="15"/>
      <c r="AV1708" s="15"/>
      <c r="AW1708" s="15"/>
      <c r="AX1708" s="15"/>
      <c r="AY1708" s="15"/>
      <c r="AZ1708" s="15"/>
      <c r="BA1708" s="15"/>
      <c r="BB1708" s="15"/>
      <c r="BC1708" s="15"/>
      <c r="BD1708" s="15"/>
      <c r="BE1708" s="15"/>
      <c r="BF1708" s="15"/>
      <c r="BG1708" s="15"/>
      <c r="BH1708" s="15"/>
      <c r="BI1708" s="15"/>
      <c r="BJ1708" s="15"/>
      <c r="BK1708" s="15"/>
      <c r="BL1708" s="15"/>
      <c r="BM1708" s="15"/>
      <c r="BN1708" s="15"/>
      <c r="BO1708" s="15"/>
      <c r="BP1708" s="15"/>
      <c r="BQ1708" s="15"/>
      <c r="BR1708" s="15"/>
      <c r="BS1708" s="15"/>
      <c r="BT1708" s="15"/>
      <c r="BU1708" s="15"/>
      <c r="BV1708" s="15"/>
      <c r="BW1708" s="15"/>
      <c r="BX1708" s="15"/>
      <c r="BY1708" s="15"/>
      <c r="BZ1708" s="15"/>
      <c r="CA1708" s="15"/>
      <c r="CB1708" s="15"/>
    </row>
    <row r="1709" spans="1:80" ht="12.75" customHeight="1">
      <c r="A1709" s="20">
        <f ca="1">IFERROR(__xludf.DUMMYFUNCTION("""COMPUTED_VALUE"""),2023)</f>
        <v>2023</v>
      </c>
      <c r="B1709" s="45">
        <f ca="1">IFERROR(__xludf.DUMMYFUNCTION("""COMPUTED_VALUE"""),45557)</f>
        <v>45557</v>
      </c>
      <c r="C1709" s="46"/>
      <c r="D1709" s="47" t="str">
        <f ca="1">IFERROR(__xludf.DUMMYFUNCTION("""COMPUTED_VALUE"""),"White-tailed Eagle")</f>
        <v>White-tailed Eagle</v>
      </c>
      <c r="E1709" s="52">
        <f ca="1">IFERROR(__xludf.DUMMYFUNCTION("""COMPUTED_VALUE"""),1)</f>
        <v>1</v>
      </c>
      <c r="F1709" s="25" t="str">
        <f ca="1">IFERROR(__xludf.DUMMYFUNCTION("""COMPUTED_VALUE"""),"juv")</f>
        <v>juv</v>
      </c>
      <c r="G1709" s="48" t="str">
        <f ca="1">IFERROR(__xludf.DUMMYFUNCTION("""COMPUTED_VALUE"""),"Frodsham/Ince")</f>
        <v>Frodsham/Ince</v>
      </c>
      <c r="H1709" s="22">
        <f ca="1">IFERROR(__xludf.DUMMYFUNCTION("""COMPUTED_VALUE"""),45119)</f>
        <v>45119</v>
      </c>
      <c r="I1709" s="22">
        <f ca="1">IFERROR(__xludf.DUMMYFUNCTION("""COMPUTED_VALUE"""),45136)</f>
        <v>45136</v>
      </c>
      <c r="J1709" s="24" t="str">
        <f ca="1">IFERROR(__xludf.DUMMYFUNCTION("""COMPUTED_VALUE"""),"County recorder")</f>
        <v>County recorder</v>
      </c>
      <c r="K1709" s="25" t="str">
        <f ca="1">IFERROR(__xludf.DUMMYFUNCTION("""COMPUTED_VALUE"""),"Craven, D")</f>
        <v>Craven, D</v>
      </c>
      <c r="L1709" s="27" t="str">
        <f ca="1">IFERROR(__xludf.DUMMYFUNCTION("""COMPUTED_VALUE"""),"closed")</f>
        <v>closed</v>
      </c>
      <c r="M1709" s="27"/>
      <c r="N1709" s="40" t="str">
        <f ca="1">IFERROR(__xludf.DUMMYFUNCTION("""COMPUTED_VALUE"""),"Accepted w/o/circulation")</f>
        <v>Accepted w/o/circulation</v>
      </c>
      <c r="O1709" s="28" t="str">
        <f ca="1">IFERROR(__xludf.DUMMYFUNCTION("""COMPUTED_VALUE"""),"same as above")</f>
        <v>same as above</v>
      </c>
      <c r="P1709" s="25"/>
      <c r="Q1709" s="25"/>
      <c r="R1709" s="25"/>
      <c r="S1709" s="25"/>
      <c r="T1709" s="25"/>
      <c r="U1709" s="25"/>
      <c r="V1709" s="25"/>
      <c r="W1709" s="25"/>
      <c r="X1709" s="25"/>
      <c r="Y1709" s="25"/>
      <c r="Z1709" s="25"/>
      <c r="AA1709" s="25"/>
      <c r="AB1709" s="25"/>
      <c r="AC1709" s="25"/>
      <c r="AD1709" s="25"/>
      <c r="AE1709" s="25"/>
      <c r="AF1709" s="25"/>
      <c r="AG1709" s="25"/>
      <c r="AH1709" s="25"/>
      <c r="AI1709" s="25"/>
      <c r="AJ1709" s="25"/>
      <c r="AK1709" s="25"/>
      <c r="AL1709" s="25"/>
      <c r="AM1709" s="25"/>
      <c r="AN1709" s="25"/>
      <c r="AO1709" s="25"/>
      <c r="AP1709" s="25"/>
      <c r="AQ1709" s="25"/>
      <c r="AR1709" s="25"/>
      <c r="AS1709" s="25"/>
      <c r="AT1709" s="25"/>
      <c r="AU1709" s="25"/>
      <c r="AV1709" s="25"/>
      <c r="AW1709" s="25"/>
      <c r="AX1709" s="25"/>
      <c r="AY1709" s="25"/>
      <c r="AZ1709" s="25"/>
      <c r="BA1709" s="25"/>
      <c r="BB1709" s="25"/>
      <c r="BC1709" s="25"/>
      <c r="BD1709" s="25"/>
      <c r="BE1709" s="25"/>
      <c r="BF1709" s="25"/>
      <c r="BG1709" s="25"/>
      <c r="BH1709" s="25"/>
      <c r="BI1709" s="25"/>
      <c r="BJ1709" s="25"/>
      <c r="BK1709" s="25"/>
      <c r="BL1709" s="25"/>
      <c r="BM1709" s="25"/>
      <c r="BN1709" s="25"/>
      <c r="BO1709" s="25"/>
      <c r="BP1709" s="25"/>
      <c r="BQ1709" s="25"/>
      <c r="BR1709" s="25"/>
      <c r="BS1709" s="25"/>
      <c r="BT1709" s="25"/>
      <c r="BU1709" s="25"/>
      <c r="BV1709" s="25"/>
      <c r="BW1709" s="25"/>
      <c r="BX1709" s="25"/>
      <c r="BY1709" s="25"/>
      <c r="BZ1709" s="25"/>
      <c r="CA1709" s="25"/>
      <c r="CB1709" s="25"/>
    </row>
    <row r="1710" spans="1:80" ht="12.75" customHeight="1">
      <c r="A1710" s="10">
        <f ca="1">IFERROR(__xludf.DUMMYFUNCTION("""COMPUTED_VALUE"""),2023)</f>
        <v>2023</v>
      </c>
      <c r="B1710" s="50">
        <f ca="1">IFERROR(__xludf.DUMMYFUNCTION("""COMPUTED_VALUE"""),45555)</f>
        <v>45555</v>
      </c>
      <c r="C1710" s="41"/>
      <c r="D1710" s="42" t="str">
        <f ca="1">IFERROR(__xludf.DUMMYFUNCTION("""COMPUTED_VALUE"""),"Hoopoe")</f>
        <v>Hoopoe</v>
      </c>
      <c r="E1710" s="53">
        <f ca="1">IFERROR(__xludf.DUMMYFUNCTION("""COMPUTED_VALUE"""),1)</f>
        <v>1</v>
      </c>
      <c r="F1710" s="15"/>
      <c r="G1710" s="44" t="str">
        <f ca="1">IFERROR(__xludf.DUMMYFUNCTION("""COMPUTED_VALUE"""),"Sutton Weaver")</f>
        <v>Sutton Weaver</v>
      </c>
      <c r="H1710" s="12">
        <f ca="1">IFERROR(__xludf.DUMMYFUNCTION("""COMPUTED_VALUE"""),45019)</f>
        <v>45019</v>
      </c>
      <c r="I1710" s="13"/>
      <c r="J1710" s="14"/>
      <c r="K1710" s="15"/>
      <c r="L1710" s="17" t="str">
        <f ca="1">IFERROR(__xludf.DUMMYFUNCTION("""COMPUTED_VALUE"""),"limbo")</f>
        <v>limbo</v>
      </c>
      <c r="M1710" s="17"/>
      <c r="N1710" s="58" t="str">
        <f ca="1">IFERROR(__xludf.DUMMYFUNCTION("""COMPUTED_VALUE"""),"not submitted")</f>
        <v>not submitted</v>
      </c>
      <c r="O1710" s="18"/>
      <c r="P1710" s="15"/>
      <c r="Q1710" s="15"/>
      <c r="R1710" s="15"/>
      <c r="S1710" s="15"/>
      <c r="T1710" s="15"/>
      <c r="U1710" s="15"/>
      <c r="V1710" s="15"/>
      <c r="W1710" s="15"/>
      <c r="X1710" s="15"/>
      <c r="Y1710" s="15"/>
      <c r="Z1710" s="15"/>
      <c r="AA1710" s="15"/>
      <c r="AB1710" s="15"/>
      <c r="AC1710" s="15"/>
      <c r="AD1710" s="15"/>
      <c r="AE1710" s="15"/>
      <c r="AF1710" s="15"/>
      <c r="AG1710" s="15"/>
      <c r="AH1710" s="15"/>
      <c r="AI1710" s="15"/>
      <c r="AJ1710" s="15"/>
      <c r="AK1710" s="15"/>
      <c r="AL1710" s="15"/>
      <c r="AM1710" s="15"/>
      <c r="AN1710" s="15"/>
      <c r="AO1710" s="15"/>
      <c r="AP1710" s="15"/>
      <c r="AQ1710" s="15"/>
      <c r="AR1710" s="15"/>
      <c r="AS1710" s="15"/>
      <c r="AT1710" s="15"/>
      <c r="AU1710" s="15"/>
      <c r="AV1710" s="15"/>
      <c r="AW1710" s="15"/>
      <c r="AX1710" s="15"/>
      <c r="AY1710" s="15"/>
      <c r="AZ1710" s="15"/>
      <c r="BA1710" s="15"/>
      <c r="BB1710" s="15"/>
      <c r="BC1710" s="15"/>
      <c r="BD1710" s="15"/>
      <c r="BE1710" s="15"/>
      <c r="BF1710" s="15"/>
      <c r="BG1710" s="15"/>
      <c r="BH1710" s="15"/>
      <c r="BI1710" s="15"/>
      <c r="BJ1710" s="15"/>
      <c r="BK1710" s="15"/>
      <c r="BL1710" s="15"/>
      <c r="BM1710" s="15"/>
      <c r="BN1710" s="15"/>
      <c r="BO1710" s="15"/>
      <c r="BP1710" s="15"/>
      <c r="BQ1710" s="15"/>
      <c r="BR1710" s="15"/>
      <c r="BS1710" s="15"/>
      <c r="BT1710" s="15"/>
      <c r="BU1710" s="15"/>
      <c r="BV1710" s="15"/>
      <c r="BW1710" s="15"/>
      <c r="BX1710" s="15"/>
      <c r="BY1710" s="15"/>
      <c r="BZ1710" s="15"/>
      <c r="CA1710" s="15"/>
      <c r="CB1710" s="15"/>
    </row>
    <row r="1711" spans="1:80" ht="12.75" customHeight="1">
      <c r="A1711" s="20">
        <f ca="1">IFERROR(__xludf.DUMMYFUNCTION("""COMPUTED_VALUE"""),2023)</f>
        <v>2023</v>
      </c>
      <c r="B1711" s="45">
        <f ca="1">IFERROR(__xludf.DUMMYFUNCTION("""COMPUTED_VALUE"""),45555)</f>
        <v>45555</v>
      </c>
      <c r="C1711" s="46"/>
      <c r="D1711" s="47" t="str">
        <f ca="1">IFERROR(__xludf.DUMMYFUNCTION("""COMPUTED_VALUE"""),"Hoopoe")</f>
        <v>Hoopoe</v>
      </c>
      <c r="E1711" s="52">
        <f ca="1">IFERROR(__xludf.DUMMYFUNCTION("""COMPUTED_VALUE"""),1)</f>
        <v>1</v>
      </c>
      <c r="F1711" s="25"/>
      <c r="G1711" s="48" t="str">
        <f ca="1">IFERROR(__xludf.DUMMYFUNCTION("""COMPUTED_VALUE"""),"Rixton")</f>
        <v>Rixton</v>
      </c>
      <c r="H1711" s="22">
        <f ca="1">IFERROR(__xludf.DUMMYFUNCTION("""COMPUTED_VALUE"""),45041)</f>
        <v>45041</v>
      </c>
      <c r="I1711" s="23"/>
      <c r="J1711" s="24"/>
      <c r="K1711" s="25"/>
      <c r="L1711" s="27" t="str">
        <f ca="1">IFERROR(__xludf.DUMMYFUNCTION("""COMPUTED_VALUE"""),"closed")</f>
        <v>closed</v>
      </c>
      <c r="M1711" s="27"/>
      <c r="N1711" s="40" t="str">
        <f ca="1">IFERROR(__xludf.DUMMYFUNCTION("""COMPUTED_VALUE"""),"Accepted")</f>
        <v>Accepted</v>
      </c>
      <c r="O1711" s="28" t="str">
        <f ca="1">IFERROR(__xludf.DUMMYFUNCTION("""COMPUTED_VALUE"""),"multi observed")</f>
        <v>multi observed</v>
      </c>
      <c r="P1711" s="25"/>
      <c r="Q1711" s="25"/>
      <c r="R1711" s="25"/>
      <c r="S1711" s="25"/>
      <c r="T1711" s="25"/>
      <c r="U1711" s="25"/>
      <c r="V1711" s="25"/>
      <c r="W1711" s="25"/>
      <c r="X1711" s="25"/>
      <c r="Y1711" s="25"/>
      <c r="Z1711" s="25"/>
      <c r="AA1711" s="25"/>
      <c r="AB1711" s="25"/>
      <c r="AC1711" s="25"/>
      <c r="AD1711" s="25"/>
      <c r="AE1711" s="25"/>
      <c r="AF1711" s="25"/>
      <c r="AG1711" s="25"/>
      <c r="AH1711" s="25"/>
      <c r="AI1711" s="25"/>
      <c r="AJ1711" s="25"/>
      <c r="AK1711" s="25"/>
      <c r="AL1711" s="25"/>
      <c r="AM1711" s="25"/>
      <c r="AN1711" s="25"/>
      <c r="AO1711" s="25"/>
      <c r="AP1711" s="25"/>
      <c r="AQ1711" s="25"/>
      <c r="AR1711" s="25"/>
      <c r="AS1711" s="25"/>
      <c r="AT1711" s="25"/>
      <c r="AU1711" s="25"/>
      <c r="AV1711" s="25"/>
      <c r="AW1711" s="25"/>
      <c r="AX1711" s="25"/>
      <c r="AY1711" s="25"/>
      <c r="AZ1711" s="25"/>
      <c r="BA1711" s="25"/>
      <c r="BB1711" s="25"/>
      <c r="BC1711" s="25"/>
      <c r="BD1711" s="25"/>
      <c r="BE1711" s="25"/>
      <c r="BF1711" s="25"/>
      <c r="BG1711" s="25"/>
      <c r="BH1711" s="25"/>
      <c r="BI1711" s="25"/>
      <c r="BJ1711" s="25"/>
      <c r="BK1711" s="25"/>
      <c r="BL1711" s="25"/>
      <c r="BM1711" s="25"/>
      <c r="BN1711" s="25"/>
      <c r="BO1711" s="25"/>
      <c r="BP1711" s="25"/>
      <c r="BQ1711" s="25"/>
      <c r="BR1711" s="25"/>
      <c r="BS1711" s="25"/>
      <c r="BT1711" s="25"/>
      <c r="BU1711" s="25"/>
      <c r="BV1711" s="25"/>
      <c r="BW1711" s="25"/>
      <c r="BX1711" s="25"/>
      <c r="BY1711" s="25"/>
      <c r="BZ1711" s="25"/>
      <c r="CA1711" s="25"/>
      <c r="CB1711" s="25"/>
    </row>
    <row r="1712" spans="1:80" ht="12.75" customHeight="1">
      <c r="A1712" s="10">
        <f ca="1">IFERROR(__xludf.DUMMYFUNCTION("""COMPUTED_VALUE"""),2023)</f>
        <v>2023</v>
      </c>
      <c r="B1712" s="50">
        <f ca="1">IFERROR(__xludf.DUMMYFUNCTION("""COMPUTED_VALUE"""),45555)</f>
        <v>45555</v>
      </c>
      <c r="C1712" s="41"/>
      <c r="D1712" s="42" t="str">
        <f ca="1">IFERROR(__xludf.DUMMYFUNCTION("""COMPUTED_VALUE"""),"Lesser-spotted woodpecker")</f>
        <v>Lesser-spotted woodpecker</v>
      </c>
      <c r="E1712" s="53">
        <f ca="1">IFERROR(__xludf.DUMMYFUNCTION("""COMPUTED_VALUE"""),1)</f>
        <v>1</v>
      </c>
      <c r="F1712" s="15"/>
      <c r="G1712" s="44" t="str">
        <f ca="1">IFERROR(__xludf.DUMMYFUNCTION("""COMPUTED_VALUE"""),"Leasowe")</f>
        <v>Leasowe</v>
      </c>
      <c r="H1712" s="12">
        <f ca="1">IFERROR(__xludf.DUMMYFUNCTION("""COMPUTED_VALUE"""),44954)</f>
        <v>44954</v>
      </c>
      <c r="I1712" s="78"/>
      <c r="J1712" s="14"/>
      <c r="K1712" s="15"/>
      <c r="L1712" s="17" t="str">
        <f ca="1">IFERROR(__xludf.DUMMYFUNCTION("""COMPUTED_VALUE"""),"limbo")</f>
        <v>limbo</v>
      </c>
      <c r="M1712" s="17"/>
      <c r="N1712" s="58" t="str">
        <f ca="1">IFERROR(__xludf.DUMMYFUNCTION("""COMPUTED_VALUE"""),"not submitted")</f>
        <v>not submitted</v>
      </c>
      <c r="O1712" s="18" t="str">
        <f ca="1">IFERROR(__xludf.DUMMYFUNCTION("""COMPUTED_VALUE"""),"unlikely date and location")</f>
        <v>unlikely date and location</v>
      </c>
      <c r="P1712" s="15"/>
      <c r="Q1712" s="15"/>
      <c r="R1712" s="15"/>
      <c r="S1712" s="15"/>
      <c r="T1712" s="15"/>
      <c r="U1712" s="15"/>
      <c r="V1712" s="15"/>
      <c r="W1712" s="15"/>
      <c r="X1712" s="15"/>
      <c r="Y1712" s="15"/>
      <c r="Z1712" s="15"/>
      <c r="AA1712" s="15"/>
      <c r="AB1712" s="15"/>
      <c r="AC1712" s="15"/>
      <c r="AD1712" s="15"/>
      <c r="AE1712" s="15"/>
      <c r="AF1712" s="15"/>
      <c r="AG1712" s="15"/>
      <c r="AH1712" s="15"/>
      <c r="AI1712" s="15"/>
      <c r="AJ1712" s="15"/>
      <c r="AK1712" s="15"/>
      <c r="AL1712" s="15"/>
      <c r="AM1712" s="15"/>
      <c r="AN1712" s="15"/>
      <c r="AO1712" s="15"/>
      <c r="AP1712" s="15"/>
      <c r="AQ1712" s="15"/>
      <c r="AR1712" s="15"/>
      <c r="AS1712" s="15"/>
      <c r="AT1712" s="15"/>
      <c r="AU1712" s="15"/>
      <c r="AV1712" s="15"/>
      <c r="AW1712" s="15"/>
      <c r="AX1712" s="15"/>
      <c r="AY1712" s="15"/>
      <c r="AZ1712" s="15"/>
      <c r="BA1712" s="15"/>
      <c r="BB1712" s="15"/>
      <c r="BC1712" s="15"/>
      <c r="BD1712" s="15"/>
      <c r="BE1712" s="15"/>
      <c r="BF1712" s="15"/>
      <c r="BG1712" s="15"/>
      <c r="BH1712" s="15"/>
      <c r="BI1712" s="15"/>
      <c r="BJ1712" s="15"/>
      <c r="BK1712" s="15"/>
      <c r="BL1712" s="15"/>
      <c r="BM1712" s="15"/>
      <c r="BN1712" s="15"/>
      <c r="BO1712" s="15"/>
      <c r="BP1712" s="15"/>
      <c r="BQ1712" s="15"/>
      <c r="BR1712" s="15"/>
      <c r="BS1712" s="15"/>
      <c r="BT1712" s="15"/>
      <c r="BU1712" s="15"/>
      <c r="BV1712" s="15"/>
      <c r="BW1712" s="15"/>
      <c r="BX1712" s="15"/>
      <c r="BY1712" s="15"/>
      <c r="BZ1712" s="15"/>
      <c r="CA1712" s="15"/>
      <c r="CB1712" s="15"/>
    </row>
    <row r="1713" spans="1:80" ht="12.75" customHeight="1">
      <c r="A1713" s="20">
        <f ca="1">IFERROR(__xludf.DUMMYFUNCTION("""COMPUTED_VALUE"""),2023)</f>
        <v>2023</v>
      </c>
      <c r="B1713" s="45"/>
      <c r="C1713" s="46"/>
      <c r="D1713" s="47" t="str">
        <f ca="1">IFERROR(__xludf.DUMMYFUNCTION("""COMPUTED_VALUE"""),"Golden Oriole")</f>
        <v>Golden Oriole</v>
      </c>
      <c r="E1713" s="52">
        <f ca="1">IFERROR(__xludf.DUMMYFUNCTION("""COMPUTED_VALUE"""),1)</f>
        <v>1</v>
      </c>
      <c r="F1713" s="25"/>
      <c r="G1713" s="48" t="str">
        <f ca="1">IFERROR(__xludf.DUMMYFUNCTION("""COMPUTED_VALUE"""),"Appleton Thorn")</f>
        <v>Appleton Thorn</v>
      </c>
      <c r="H1713" s="22">
        <f ca="1">IFERROR(__xludf.DUMMYFUNCTION("""COMPUTED_VALUE"""),45070)</f>
        <v>45070</v>
      </c>
      <c r="I1713" s="23"/>
      <c r="J1713" s="24"/>
      <c r="K1713" s="25"/>
      <c r="L1713" s="27" t="str">
        <f ca="1">IFERROR(__xludf.DUMMYFUNCTION("""COMPUTED_VALUE"""),"limbo")</f>
        <v>limbo</v>
      </c>
      <c r="M1713" s="27"/>
      <c r="N1713" s="40" t="str">
        <f ca="1">IFERROR(__xludf.DUMMYFUNCTION("""COMPUTED_VALUE"""),"not submitted")</f>
        <v>not submitted</v>
      </c>
      <c r="O1713" s="28"/>
      <c r="P1713" s="25"/>
      <c r="Q1713" s="25"/>
      <c r="R1713" s="25"/>
      <c r="S1713" s="25"/>
      <c r="T1713" s="25"/>
      <c r="U1713" s="25"/>
      <c r="V1713" s="25"/>
      <c r="W1713" s="25"/>
      <c r="X1713" s="25"/>
      <c r="Y1713" s="25"/>
      <c r="Z1713" s="25"/>
      <c r="AA1713" s="25"/>
      <c r="AB1713" s="25"/>
      <c r="AC1713" s="25"/>
      <c r="AD1713" s="25"/>
      <c r="AE1713" s="25"/>
      <c r="AF1713" s="25"/>
      <c r="AG1713" s="25"/>
      <c r="AH1713" s="25"/>
      <c r="AI1713" s="25"/>
      <c r="AJ1713" s="25"/>
      <c r="AK1713" s="25"/>
      <c r="AL1713" s="25"/>
      <c r="AM1713" s="25"/>
      <c r="AN1713" s="25"/>
      <c r="AO1713" s="25"/>
      <c r="AP1713" s="25"/>
      <c r="AQ1713" s="25"/>
      <c r="AR1713" s="25"/>
      <c r="AS1713" s="25"/>
      <c r="AT1713" s="25"/>
      <c r="AU1713" s="25"/>
      <c r="AV1713" s="25"/>
      <c r="AW1713" s="25"/>
      <c r="AX1713" s="25"/>
      <c r="AY1713" s="25"/>
      <c r="AZ1713" s="25"/>
      <c r="BA1713" s="25"/>
      <c r="BB1713" s="25"/>
      <c r="BC1713" s="25"/>
      <c r="BD1713" s="25"/>
      <c r="BE1713" s="25"/>
      <c r="BF1713" s="25"/>
      <c r="BG1713" s="25"/>
      <c r="BH1713" s="25"/>
      <c r="BI1713" s="25"/>
      <c r="BJ1713" s="25"/>
      <c r="BK1713" s="25"/>
      <c r="BL1713" s="25"/>
      <c r="BM1713" s="25"/>
      <c r="BN1713" s="25"/>
      <c r="BO1713" s="25"/>
      <c r="BP1713" s="25"/>
      <c r="BQ1713" s="25"/>
      <c r="BR1713" s="25"/>
      <c r="BS1713" s="25"/>
      <c r="BT1713" s="25"/>
      <c r="BU1713" s="25"/>
      <c r="BV1713" s="25"/>
      <c r="BW1713" s="25"/>
      <c r="BX1713" s="25"/>
      <c r="BY1713" s="25"/>
      <c r="BZ1713" s="25"/>
      <c r="CA1713" s="25"/>
      <c r="CB1713" s="25"/>
    </row>
    <row r="1714" spans="1:80" ht="12.75" customHeight="1">
      <c r="A1714" s="10">
        <f ca="1">IFERROR(__xludf.DUMMYFUNCTION("""COMPUTED_VALUE"""),2023)</f>
        <v>2023</v>
      </c>
      <c r="B1714" s="50">
        <f ca="1">IFERROR(__xludf.DUMMYFUNCTION("""COMPUTED_VALUE"""),45189)</f>
        <v>45189</v>
      </c>
      <c r="C1714" s="41"/>
      <c r="D1714" s="42" t="str">
        <f ca="1">IFERROR(__xludf.DUMMYFUNCTION("""COMPUTED_VALUE"""),"Hooded Crow")</f>
        <v>Hooded Crow</v>
      </c>
      <c r="E1714" s="53">
        <f ca="1">IFERROR(__xludf.DUMMYFUNCTION("""COMPUTED_VALUE"""),1)</f>
        <v>1</v>
      </c>
      <c r="F1714" s="15"/>
      <c r="G1714" s="44" t="str">
        <f ca="1">IFERROR(__xludf.DUMMYFUNCTION("""COMPUTED_VALUE"""),"Burton Mere Wetlands")</f>
        <v>Burton Mere Wetlands</v>
      </c>
      <c r="H1714" s="12">
        <f ca="1">IFERROR(__xludf.DUMMYFUNCTION("""COMPUTED_VALUE"""),45047)</f>
        <v>45047</v>
      </c>
      <c r="I1714" s="13"/>
      <c r="J1714" s="14"/>
      <c r="K1714" s="15"/>
      <c r="L1714" s="17" t="str">
        <f ca="1">IFERROR(__xludf.DUMMYFUNCTION("""COMPUTED_VALUE"""),"limbo")</f>
        <v>limbo</v>
      </c>
      <c r="M1714" s="17"/>
      <c r="N1714" s="58" t="str">
        <f ca="1">IFERROR(__xludf.DUMMYFUNCTION("""COMPUTED_VALUE"""),"not submitted")</f>
        <v>not submitted</v>
      </c>
      <c r="O1714" s="18"/>
      <c r="P1714" s="15"/>
      <c r="Q1714" s="15"/>
      <c r="R1714" s="15"/>
      <c r="S1714" s="15"/>
      <c r="T1714" s="15"/>
      <c r="U1714" s="15"/>
      <c r="V1714" s="15"/>
      <c r="W1714" s="15"/>
      <c r="X1714" s="15"/>
      <c r="Y1714" s="15"/>
      <c r="Z1714" s="15"/>
      <c r="AA1714" s="15"/>
      <c r="AB1714" s="15"/>
      <c r="AC1714" s="15"/>
      <c r="AD1714" s="15"/>
      <c r="AE1714" s="15"/>
      <c r="AF1714" s="15"/>
      <c r="AG1714" s="15"/>
      <c r="AH1714" s="15"/>
      <c r="AI1714" s="15"/>
      <c r="AJ1714" s="15"/>
      <c r="AK1714" s="15"/>
      <c r="AL1714" s="15"/>
      <c r="AM1714" s="15"/>
      <c r="AN1714" s="15"/>
      <c r="AO1714" s="15"/>
      <c r="AP1714" s="15"/>
      <c r="AQ1714" s="15"/>
      <c r="AR1714" s="15"/>
      <c r="AS1714" s="15"/>
      <c r="AT1714" s="15"/>
      <c r="AU1714" s="15"/>
      <c r="AV1714" s="15"/>
      <c r="AW1714" s="15"/>
      <c r="AX1714" s="15"/>
      <c r="AY1714" s="15"/>
      <c r="AZ1714" s="15"/>
      <c r="BA1714" s="15"/>
      <c r="BB1714" s="15"/>
      <c r="BC1714" s="15"/>
      <c r="BD1714" s="15"/>
      <c r="BE1714" s="15"/>
      <c r="BF1714" s="15"/>
      <c r="BG1714" s="15"/>
      <c r="BH1714" s="15"/>
      <c r="BI1714" s="15"/>
      <c r="BJ1714" s="15"/>
      <c r="BK1714" s="15"/>
      <c r="BL1714" s="15"/>
      <c r="BM1714" s="15"/>
      <c r="BN1714" s="15"/>
      <c r="BO1714" s="15"/>
      <c r="BP1714" s="15"/>
      <c r="BQ1714" s="15"/>
      <c r="BR1714" s="15"/>
      <c r="BS1714" s="15"/>
      <c r="BT1714" s="15"/>
      <c r="BU1714" s="15"/>
      <c r="BV1714" s="15"/>
      <c r="BW1714" s="15"/>
      <c r="BX1714" s="15"/>
      <c r="BY1714" s="15"/>
      <c r="BZ1714" s="15"/>
      <c r="CA1714" s="15"/>
      <c r="CB1714" s="15"/>
    </row>
    <row r="1715" spans="1:80" ht="12.75" customHeight="1">
      <c r="A1715" s="20">
        <f ca="1">IFERROR(__xludf.DUMMYFUNCTION("""COMPUTED_VALUE"""),2023)</f>
        <v>2023</v>
      </c>
      <c r="B1715" s="45">
        <f ca="1">IFERROR(__xludf.DUMMYFUNCTION("""COMPUTED_VALUE"""),45189)</f>
        <v>45189</v>
      </c>
      <c r="C1715" s="46"/>
      <c r="D1715" s="47" t="str">
        <f ca="1">IFERROR(__xludf.DUMMYFUNCTION("""COMPUTED_VALUE"""),"Hooded Crow")</f>
        <v>Hooded Crow</v>
      </c>
      <c r="E1715" s="52">
        <f ca="1">IFERROR(__xludf.DUMMYFUNCTION("""COMPUTED_VALUE"""),1)</f>
        <v>1</v>
      </c>
      <c r="F1715" s="25"/>
      <c r="G1715" s="48" t="str">
        <f ca="1">IFERROR(__xludf.DUMMYFUNCTION("""COMPUTED_VALUE"""),"Leasowe")</f>
        <v>Leasowe</v>
      </c>
      <c r="H1715" s="22">
        <f ca="1">IFERROR(__xludf.DUMMYFUNCTION("""COMPUTED_VALUE"""),45070)</f>
        <v>45070</v>
      </c>
      <c r="I1715" s="79"/>
      <c r="J1715" s="24"/>
      <c r="K1715" s="25"/>
      <c r="L1715" s="27" t="str">
        <f ca="1">IFERROR(__xludf.DUMMYFUNCTION("""COMPUTED_VALUE"""),"limbo")</f>
        <v>limbo</v>
      </c>
      <c r="M1715" s="27"/>
      <c r="N1715" s="40" t="str">
        <f ca="1">IFERROR(__xludf.DUMMYFUNCTION("""COMPUTED_VALUE"""),"not submitted")</f>
        <v>not submitted</v>
      </c>
      <c r="O1715" s="28"/>
      <c r="P1715" s="25"/>
      <c r="Q1715" s="25"/>
      <c r="R1715" s="25"/>
      <c r="S1715" s="25"/>
      <c r="T1715" s="25"/>
      <c r="U1715" s="25"/>
      <c r="V1715" s="25"/>
      <c r="W1715" s="25"/>
      <c r="X1715" s="25"/>
      <c r="Y1715" s="25"/>
      <c r="Z1715" s="25"/>
      <c r="AA1715" s="25"/>
      <c r="AB1715" s="25"/>
      <c r="AC1715" s="25"/>
      <c r="AD1715" s="25"/>
      <c r="AE1715" s="25"/>
      <c r="AF1715" s="25"/>
      <c r="AG1715" s="25"/>
      <c r="AH1715" s="25"/>
      <c r="AI1715" s="25"/>
      <c r="AJ1715" s="25"/>
      <c r="AK1715" s="25"/>
      <c r="AL1715" s="25"/>
      <c r="AM1715" s="25"/>
      <c r="AN1715" s="25"/>
      <c r="AO1715" s="25"/>
      <c r="AP1715" s="25"/>
      <c r="AQ1715" s="25"/>
      <c r="AR1715" s="25"/>
      <c r="AS1715" s="25"/>
      <c r="AT1715" s="25"/>
      <c r="AU1715" s="25"/>
      <c r="AV1715" s="25"/>
      <c r="AW1715" s="25"/>
      <c r="AX1715" s="25"/>
      <c r="AY1715" s="25"/>
      <c r="AZ1715" s="25"/>
      <c r="BA1715" s="25"/>
      <c r="BB1715" s="25"/>
      <c r="BC1715" s="25"/>
      <c r="BD1715" s="25"/>
      <c r="BE1715" s="25"/>
      <c r="BF1715" s="25"/>
      <c r="BG1715" s="25"/>
      <c r="BH1715" s="25"/>
      <c r="BI1715" s="25"/>
      <c r="BJ1715" s="25"/>
      <c r="BK1715" s="25"/>
      <c r="BL1715" s="25"/>
      <c r="BM1715" s="25"/>
      <c r="BN1715" s="25"/>
      <c r="BO1715" s="25"/>
      <c r="BP1715" s="25"/>
      <c r="BQ1715" s="25"/>
      <c r="BR1715" s="25"/>
      <c r="BS1715" s="25"/>
      <c r="BT1715" s="25"/>
      <c r="BU1715" s="25"/>
      <c r="BV1715" s="25"/>
      <c r="BW1715" s="25"/>
      <c r="BX1715" s="25"/>
      <c r="BY1715" s="25"/>
      <c r="BZ1715" s="25"/>
      <c r="CA1715" s="25"/>
      <c r="CB1715" s="25"/>
    </row>
    <row r="1716" spans="1:80" ht="12.75" customHeight="1">
      <c r="A1716" s="10">
        <f ca="1">IFERROR(__xludf.DUMMYFUNCTION("""COMPUTED_VALUE"""),2023)</f>
        <v>2023</v>
      </c>
      <c r="B1716" s="50">
        <f ca="1">IFERROR(__xludf.DUMMYFUNCTION("""COMPUTED_VALUE"""),45558)</f>
        <v>45558</v>
      </c>
      <c r="C1716" s="41"/>
      <c r="D1716" s="42" t="str">
        <f ca="1">IFERROR(__xludf.DUMMYFUNCTION("""COMPUTED_VALUE"""),"Willow Tit")</f>
        <v>Willow Tit</v>
      </c>
      <c r="E1716" s="53">
        <f ca="1">IFERROR(__xludf.DUMMYFUNCTION("""COMPUTED_VALUE"""),1)</f>
        <v>1</v>
      </c>
      <c r="F1716" s="15"/>
      <c r="G1716" s="44" t="str">
        <f ca="1">IFERROR(__xludf.DUMMYFUNCTION("""COMPUTED_VALUE"""),"Wilboarclough")</f>
        <v>Wilboarclough</v>
      </c>
      <c r="H1716" s="12">
        <f ca="1">IFERROR(__xludf.DUMMYFUNCTION("""COMPUTED_VALUE"""),45235)</f>
        <v>45235</v>
      </c>
      <c r="I1716" s="13"/>
      <c r="J1716" s="14"/>
      <c r="K1716" s="15"/>
      <c r="L1716" s="17" t="str">
        <f ca="1">IFERROR(__xludf.DUMMYFUNCTION("""COMPUTED_VALUE"""),"limbo")</f>
        <v>limbo</v>
      </c>
      <c r="M1716" s="17"/>
      <c r="N1716" s="58" t="str">
        <f ca="1">IFERROR(__xludf.DUMMYFUNCTION("""COMPUTED_VALUE"""),"not submitted")</f>
        <v>not submitted</v>
      </c>
      <c r="O1716" s="18" t="str">
        <f ca="1">IFERROR(__xludf.DUMMYFUNCTION("""COMPUTED_VALUE"""),"publish as Willow/Marsh, considerd by obs to be  willow if no description")</f>
        <v>publish as Willow/Marsh, considerd by obs to be  willow if no description</v>
      </c>
      <c r="P1716" s="15"/>
      <c r="Q1716" s="15"/>
      <c r="R1716" s="15"/>
      <c r="S1716" s="15"/>
      <c r="T1716" s="15"/>
      <c r="U1716" s="15"/>
      <c r="V1716" s="15"/>
      <c r="W1716" s="15"/>
      <c r="X1716" s="15"/>
      <c r="Y1716" s="15"/>
      <c r="Z1716" s="15"/>
      <c r="AA1716" s="15"/>
      <c r="AB1716" s="15"/>
      <c r="AC1716" s="15"/>
      <c r="AD1716" s="15"/>
      <c r="AE1716" s="15"/>
      <c r="AF1716" s="15"/>
      <c r="AG1716" s="15"/>
      <c r="AH1716" s="15"/>
      <c r="AI1716" s="15"/>
      <c r="AJ1716" s="15"/>
      <c r="AK1716" s="15"/>
      <c r="AL1716" s="15"/>
      <c r="AM1716" s="15"/>
      <c r="AN1716" s="15"/>
      <c r="AO1716" s="15"/>
      <c r="AP1716" s="15"/>
      <c r="AQ1716" s="15"/>
      <c r="AR1716" s="15"/>
      <c r="AS1716" s="15"/>
      <c r="AT1716" s="15"/>
      <c r="AU1716" s="15"/>
      <c r="AV1716" s="15"/>
      <c r="AW1716" s="15"/>
      <c r="AX1716" s="15"/>
      <c r="AY1716" s="15"/>
      <c r="AZ1716" s="15"/>
      <c r="BA1716" s="15"/>
      <c r="BB1716" s="15"/>
      <c r="BC1716" s="15"/>
      <c r="BD1716" s="15"/>
      <c r="BE1716" s="15"/>
      <c r="BF1716" s="15"/>
      <c r="BG1716" s="15"/>
      <c r="BH1716" s="15"/>
      <c r="BI1716" s="15"/>
      <c r="BJ1716" s="15"/>
      <c r="BK1716" s="15"/>
      <c r="BL1716" s="15"/>
      <c r="BM1716" s="15"/>
      <c r="BN1716" s="15"/>
      <c r="BO1716" s="15"/>
      <c r="BP1716" s="15"/>
      <c r="BQ1716" s="15"/>
      <c r="BR1716" s="15"/>
      <c r="BS1716" s="15"/>
      <c r="BT1716" s="15"/>
      <c r="BU1716" s="15"/>
      <c r="BV1716" s="15"/>
      <c r="BW1716" s="15"/>
      <c r="BX1716" s="15"/>
      <c r="BY1716" s="15"/>
      <c r="BZ1716" s="15"/>
      <c r="CA1716" s="15"/>
      <c r="CB1716" s="15"/>
    </row>
    <row r="1717" spans="1:80" ht="12.75" customHeight="1">
      <c r="A1717" s="20">
        <f ca="1">IFERROR(__xludf.DUMMYFUNCTION("""COMPUTED_VALUE"""),2023)</f>
        <v>2023</v>
      </c>
      <c r="B1717" s="45">
        <f ca="1">IFERROR(__xludf.DUMMYFUNCTION("""COMPUTED_VALUE"""),45384)</f>
        <v>45384</v>
      </c>
      <c r="C1717" s="46">
        <f ca="1">IFERROR(__xludf.DUMMYFUNCTION("""COMPUTED_VALUE"""),45005)</f>
        <v>45005</v>
      </c>
      <c r="D1717" s="47" t="str">
        <f ca="1">IFERROR(__xludf.DUMMYFUNCTION("""COMPUTED_VALUE"""),"Bearded Tit")</f>
        <v>Bearded Tit</v>
      </c>
      <c r="E1717" s="52">
        <f ca="1">IFERROR(__xludf.DUMMYFUNCTION("""COMPUTED_VALUE"""),1)</f>
        <v>1</v>
      </c>
      <c r="F1717" s="25"/>
      <c r="G1717" s="48" t="str">
        <f ca="1">IFERROR(__xludf.DUMMYFUNCTION("""COMPUTED_VALUE"""),"Hilbre")</f>
        <v>Hilbre</v>
      </c>
      <c r="H1717" s="22">
        <f ca="1">IFERROR(__xludf.DUMMYFUNCTION("""COMPUTED_VALUE"""),45002)</f>
        <v>45002</v>
      </c>
      <c r="I1717" s="23"/>
      <c r="J1717" s="24" t="str">
        <f ca="1">IFERROR(__xludf.DUMMYFUNCTION("""COMPUTED_VALUE"""),"Phil Woollen")</f>
        <v>Phil Woollen</v>
      </c>
      <c r="K1717" s="25" t="str">
        <f ca="1">IFERROR(__xludf.DUMMYFUNCTION("""COMPUTED_VALUE"""),"Phil Woollen")</f>
        <v>Phil Woollen</v>
      </c>
      <c r="L1717" s="27" t="str">
        <f ca="1">IFERROR(__xludf.DUMMYFUNCTION("""COMPUTED_VALUE"""),"closed")</f>
        <v>closed</v>
      </c>
      <c r="M1717" s="27" t="str">
        <f ca="1">IFERROR(__xludf.DUMMYFUNCTION("""COMPUTED_VALUE"""),"1st U")</f>
        <v>1st U</v>
      </c>
      <c r="N1717" s="40" t="str">
        <f ca="1">IFERROR(__xludf.DUMMYFUNCTION("""COMPUTED_VALUE"""),"Accepted ")</f>
        <v xml:space="preserve">Accepted </v>
      </c>
      <c r="O1717" s="28"/>
      <c r="P1717" s="25"/>
      <c r="Q1717" s="25"/>
      <c r="R1717" s="25"/>
      <c r="S1717" s="25"/>
      <c r="T1717" s="25"/>
      <c r="U1717" s="25"/>
      <c r="V1717" s="25"/>
      <c r="W1717" s="25"/>
      <c r="X1717" s="25"/>
      <c r="Y1717" s="25"/>
      <c r="Z1717" s="25"/>
      <c r="AA1717" s="25"/>
      <c r="AB1717" s="25"/>
      <c r="AC1717" s="25"/>
      <c r="AD1717" s="25"/>
      <c r="AE1717" s="25"/>
      <c r="AF1717" s="25"/>
      <c r="AG1717" s="25"/>
      <c r="AH1717" s="25"/>
      <c r="AI1717" s="25"/>
      <c r="AJ1717" s="25"/>
      <c r="AK1717" s="25"/>
      <c r="AL1717" s="25"/>
      <c r="AM1717" s="25"/>
      <c r="AN1717" s="25"/>
      <c r="AO1717" s="25"/>
      <c r="AP1717" s="25"/>
      <c r="AQ1717" s="25"/>
      <c r="AR1717" s="25"/>
      <c r="AS1717" s="25"/>
      <c r="AT1717" s="25"/>
      <c r="AU1717" s="25"/>
      <c r="AV1717" s="25"/>
      <c r="AW1717" s="25"/>
      <c r="AX1717" s="25"/>
      <c r="AY1717" s="25"/>
      <c r="AZ1717" s="25"/>
      <c r="BA1717" s="25"/>
      <c r="BB1717" s="25"/>
      <c r="BC1717" s="25"/>
      <c r="BD1717" s="25"/>
      <c r="BE1717" s="25"/>
      <c r="BF1717" s="25"/>
      <c r="BG1717" s="25"/>
      <c r="BH1717" s="25"/>
      <c r="BI1717" s="25"/>
      <c r="BJ1717" s="25"/>
      <c r="BK1717" s="25"/>
      <c r="BL1717" s="25"/>
      <c r="BM1717" s="25"/>
      <c r="BN1717" s="25"/>
      <c r="BO1717" s="25"/>
      <c r="BP1717" s="25"/>
      <c r="BQ1717" s="25"/>
      <c r="BR1717" s="25"/>
      <c r="BS1717" s="25"/>
      <c r="BT1717" s="25"/>
      <c r="BU1717" s="25"/>
      <c r="BV1717" s="25"/>
      <c r="BW1717" s="25"/>
      <c r="BX1717" s="25"/>
      <c r="BY1717" s="25"/>
      <c r="BZ1717" s="25"/>
      <c r="CA1717" s="25"/>
      <c r="CB1717" s="25"/>
    </row>
    <row r="1718" spans="1:80" ht="12.75" customHeight="1">
      <c r="A1718" s="10">
        <f ca="1">IFERROR(__xludf.DUMMYFUNCTION("""COMPUTED_VALUE"""),2023)</f>
        <v>2023</v>
      </c>
      <c r="B1718" s="50">
        <f ca="1">IFERROR(__xludf.DUMMYFUNCTION("""COMPUTED_VALUE"""),45384)</f>
        <v>45384</v>
      </c>
      <c r="C1718" s="41"/>
      <c r="D1718" s="42" t="str">
        <f ca="1">IFERROR(__xludf.DUMMYFUNCTION("""COMPUTED_VALUE"""),"Bearded Tit")</f>
        <v>Bearded Tit</v>
      </c>
      <c r="E1718" s="53">
        <f ca="1">IFERROR(__xludf.DUMMYFUNCTION("""COMPUTED_VALUE"""),2)</f>
        <v>2</v>
      </c>
      <c r="F1718" s="15"/>
      <c r="G1718" s="44" t="str">
        <f ca="1">IFERROR(__xludf.DUMMYFUNCTION("""COMPUTED_VALUE"""),"Hale")</f>
        <v>Hale</v>
      </c>
      <c r="H1718" s="12">
        <f ca="1">IFERROR(__xludf.DUMMYFUNCTION("""COMPUTED_VALUE"""),45009)</f>
        <v>45009</v>
      </c>
      <c r="I1718" s="13"/>
      <c r="J1718" s="14"/>
      <c r="K1718" s="15"/>
      <c r="L1718" s="17" t="str">
        <f ca="1">IFERROR(__xludf.DUMMYFUNCTION("""COMPUTED_VALUE"""),"limbo")</f>
        <v>limbo</v>
      </c>
      <c r="M1718" s="17"/>
      <c r="N1718" s="58" t="str">
        <f ca="1">IFERROR(__xludf.DUMMYFUNCTION("""COMPUTED_VALUE"""),"not submitted")</f>
        <v>not submitted</v>
      </c>
      <c r="O1718" s="18"/>
      <c r="P1718" s="15"/>
      <c r="Q1718" s="15"/>
      <c r="R1718" s="15"/>
      <c r="S1718" s="15"/>
      <c r="T1718" s="15"/>
      <c r="U1718" s="15"/>
      <c r="V1718" s="15"/>
      <c r="W1718" s="15"/>
      <c r="X1718" s="15"/>
      <c r="Y1718" s="15"/>
      <c r="Z1718" s="15"/>
      <c r="AA1718" s="15"/>
      <c r="AB1718" s="15"/>
      <c r="AC1718" s="15"/>
      <c r="AD1718" s="15"/>
      <c r="AE1718" s="15"/>
      <c r="AF1718" s="15"/>
      <c r="AG1718" s="15"/>
      <c r="AH1718" s="15"/>
      <c r="AI1718" s="15"/>
      <c r="AJ1718" s="15"/>
      <c r="AK1718" s="15"/>
      <c r="AL1718" s="15"/>
      <c r="AM1718" s="15"/>
      <c r="AN1718" s="15"/>
      <c r="AO1718" s="15"/>
      <c r="AP1718" s="15"/>
      <c r="AQ1718" s="15"/>
      <c r="AR1718" s="15"/>
      <c r="AS1718" s="15"/>
      <c r="AT1718" s="15"/>
      <c r="AU1718" s="15"/>
      <c r="AV1718" s="15"/>
      <c r="AW1718" s="15"/>
      <c r="AX1718" s="15"/>
      <c r="AY1718" s="15"/>
      <c r="AZ1718" s="15"/>
      <c r="BA1718" s="15"/>
      <c r="BB1718" s="15"/>
      <c r="BC1718" s="15"/>
      <c r="BD1718" s="15"/>
      <c r="BE1718" s="15"/>
      <c r="BF1718" s="15"/>
      <c r="BG1718" s="15"/>
      <c r="BH1718" s="15"/>
      <c r="BI1718" s="15"/>
      <c r="BJ1718" s="15"/>
      <c r="BK1718" s="15"/>
      <c r="BL1718" s="15"/>
      <c r="BM1718" s="15"/>
      <c r="BN1718" s="15"/>
      <c r="BO1718" s="15"/>
      <c r="BP1718" s="15"/>
      <c r="BQ1718" s="15"/>
      <c r="BR1718" s="15"/>
      <c r="BS1718" s="15"/>
      <c r="BT1718" s="15"/>
      <c r="BU1718" s="15"/>
      <c r="BV1718" s="15"/>
      <c r="BW1718" s="15"/>
      <c r="BX1718" s="15"/>
      <c r="BY1718" s="15"/>
      <c r="BZ1718" s="15"/>
      <c r="CA1718" s="15"/>
      <c r="CB1718" s="15"/>
    </row>
    <row r="1719" spans="1:80" ht="12.75" customHeight="1">
      <c r="A1719" s="20">
        <f ca="1">IFERROR(__xludf.DUMMYFUNCTION("""COMPUTED_VALUE"""),2023)</f>
        <v>2023</v>
      </c>
      <c r="B1719" s="45">
        <f ca="1">IFERROR(__xludf.DUMMYFUNCTION("""COMPUTED_VALUE"""),45557)</f>
        <v>45557</v>
      </c>
      <c r="C1719" s="46"/>
      <c r="D1719" s="47" t="str">
        <f ca="1">IFERROR(__xludf.DUMMYFUNCTION("""COMPUTED_VALUE"""),"Yellow-browed Warbler")</f>
        <v>Yellow-browed Warbler</v>
      </c>
      <c r="E1719" s="52">
        <f ca="1">IFERROR(__xludf.DUMMYFUNCTION("""COMPUTED_VALUE"""),1)</f>
        <v>1</v>
      </c>
      <c r="F1719" s="25"/>
      <c r="G1719" s="48" t="str">
        <f ca="1">IFERROR(__xludf.DUMMYFUNCTION("""COMPUTED_VALUE"""),"Egerton Park")</f>
        <v>Egerton Park</v>
      </c>
      <c r="H1719" s="22">
        <f ca="1">IFERROR(__xludf.DUMMYFUNCTION("""COMPUTED_VALUE"""),45211)</f>
        <v>45211</v>
      </c>
      <c r="I1719" s="23"/>
      <c r="J1719" s="24"/>
      <c r="K1719" s="25"/>
      <c r="L1719" s="27" t="str">
        <f ca="1">IFERROR(__xludf.DUMMYFUNCTION("""COMPUTED_VALUE"""),"limbo")</f>
        <v>limbo</v>
      </c>
      <c r="M1719" s="27"/>
      <c r="N1719" s="40" t="str">
        <f ca="1">IFERROR(__xludf.DUMMYFUNCTION("""COMPUTED_VALUE"""),"not sumbitted")</f>
        <v>not sumbitted</v>
      </c>
      <c r="O1719" s="28"/>
      <c r="P1719" s="25"/>
      <c r="Q1719" s="25"/>
      <c r="R1719" s="25"/>
      <c r="S1719" s="25"/>
      <c r="T1719" s="25"/>
      <c r="U1719" s="25"/>
      <c r="V1719" s="25"/>
      <c r="W1719" s="25"/>
      <c r="X1719" s="25"/>
      <c r="Y1719" s="25"/>
      <c r="Z1719" s="25"/>
      <c r="AA1719" s="25"/>
      <c r="AB1719" s="25"/>
      <c r="AC1719" s="25"/>
      <c r="AD1719" s="25"/>
      <c r="AE1719" s="25"/>
      <c r="AF1719" s="25"/>
      <c r="AG1719" s="25"/>
      <c r="AH1719" s="25"/>
      <c r="AI1719" s="25"/>
      <c r="AJ1719" s="25"/>
      <c r="AK1719" s="25"/>
      <c r="AL1719" s="25"/>
      <c r="AM1719" s="25"/>
      <c r="AN1719" s="25"/>
      <c r="AO1719" s="25"/>
      <c r="AP1719" s="25"/>
      <c r="AQ1719" s="25"/>
      <c r="AR1719" s="25"/>
      <c r="AS1719" s="25"/>
      <c r="AT1719" s="25"/>
      <c r="AU1719" s="25"/>
      <c r="AV1719" s="25"/>
      <c r="AW1719" s="25"/>
      <c r="AX1719" s="25"/>
      <c r="AY1719" s="25"/>
      <c r="AZ1719" s="25"/>
      <c r="BA1719" s="25"/>
      <c r="BB1719" s="25"/>
      <c r="BC1719" s="25"/>
      <c r="BD1719" s="25"/>
      <c r="BE1719" s="25"/>
      <c r="BF1719" s="25"/>
      <c r="BG1719" s="25"/>
      <c r="BH1719" s="25"/>
      <c r="BI1719" s="25"/>
      <c r="BJ1719" s="25"/>
      <c r="BK1719" s="25"/>
      <c r="BL1719" s="25"/>
      <c r="BM1719" s="25"/>
      <c r="BN1719" s="25"/>
      <c r="BO1719" s="25"/>
      <c r="BP1719" s="25"/>
      <c r="BQ1719" s="25"/>
      <c r="BR1719" s="25"/>
      <c r="BS1719" s="25"/>
      <c r="BT1719" s="25"/>
      <c r="BU1719" s="25"/>
      <c r="BV1719" s="25"/>
      <c r="BW1719" s="25"/>
      <c r="BX1719" s="25"/>
      <c r="BY1719" s="25"/>
      <c r="BZ1719" s="25"/>
      <c r="CA1719" s="25"/>
      <c r="CB1719" s="25"/>
    </row>
    <row r="1720" spans="1:80" ht="12.75" customHeight="1">
      <c r="A1720" s="10">
        <f ca="1">IFERROR(__xludf.DUMMYFUNCTION("""COMPUTED_VALUE"""),2023)</f>
        <v>2023</v>
      </c>
      <c r="B1720" s="50">
        <f ca="1">IFERROR(__xludf.DUMMYFUNCTION("""COMPUTED_VALUE"""),45557)</f>
        <v>45557</v>
      </c>
      <c r="C1720" s="41"/>
      <c r="D1720" s="42" t="str">
        <f ca="1">IFERROR(__xludf.DUMMYFUNCTION("""COMPUTED_VALUE"""),"Yellow-browed Warbler")</f>
        <v>Yellow-browed Warbler</v>
      </c>
      <c r="E1720" s="53">
        <f ca="1">IFERROR(__xludf.DUMMYFUNCTION("""COMPUTED_VALUE"""),1)</f>
        <v>1</v>
      </c>
      <c r="F1720" s="15"/>
      <c r="G1720" s="44" t="str">
        <f ca="1">IFERROR(__xludf.DUMMYFUNCTION("""COMPUTED_VALUE"""),"Leasowe")</f>
        <v>Leasowe</v>
      </c>
      <c r="H1720" s="12">
        <f ca="1">IFERROR(__xludf.DUMMYFUNCTION("""COMPUTED_VALUE"""),45211)</f>
        <v>45211</v>
      </c>
      <c r="I1720" s="13"/>
      <c r="J1720" s="14"/>
      <c r="K1720" s="15"/>
      <c r="L1720" s="17" t="str">
        <f ca="1">IFERROR(__xludf.DUMMYFUNCTION("""COMPUTED_VALUE"""),"closed")</f>
        <v>closed</v>
      </c>
      <c r="M1720" s="17" t="str">
        <f ca="1">IFERROR(__xludf.DUMMYFUNCTION("""COMPUTED_VALUE"""),"-")</f>
        <v>-</v>
      </c>
      <c r="N1720" s="58" t="str">
        <f ca="1">IFERROR(__xludf.DUMMYFUNCTION("""COMPUTED_VALUE"""),"exemption")</f>
        <v>exemption</v>
      </c>
      <c r="O1720" s="18" t="str">
        <f ca="1">IFERROR(__xludf.DUMMYFUNCTION("""COMPUTED_VALUE"""),"not assessed but publish as reported from")</f>
        <v>not assessed but publish as reported from</v>
      </c>
      <c r="P1720" s="15"/>
      <c r="Q1720" s="15"/>
      <c r="R1720" s="58"/>
      <c r="S1720" s="15"/>
      <c r="T1720" s="15"/>
      <c r="U1720" s="15"/>
      <c r="V1720" s="15"/>
      <c r="W1720" s="15"/>
      <c r="X1720" s="15"/>
      <c r="Y1720" s="15"/>
      <c r="Z1720" s="15"/>
      <c r="AA1720" s="15"/>
      <c r="AB1720" s="15"/>
      <c r="AC1720" s="15"/>
      <c r="AD1720" s="15"/>
      <c r="AE1720" s="15"/>
      <c r="AF1720" s="15"/>
      <c r="AG1720" s="15"/>
      <c r="AH1720" s="15"/>
      <c r="AI1720" s="15"/>
      <c r="AJ1720" s="15"/>
      <c r="AK1720" s="15"/>
      <c r="AL1720" s="15"/>
      <c r="AM1720" s="15"/>
      <c r="AN1720" s="15"/>
      <c r="AO1720" s="15"/>
      <c r="AP1720" s="15"/>
      <c r="AQ1720" s="15"/>
      <c r="AR1720" s="15"/>
      <c r="AS1720" s="15"/>
      <c r="AT1720" s="15"/>
      <c r="AU1720" s="15"/>
      <c r="AV1720" s="15"/>
      <c r="AW1720" s="15"/>
      <c r="AX1720" s="15"/>
      <c r="AY1720" s="15"/>
      <c r="AZ1720" s="15"/>
      <c r="BA1720" s="15"/>
      <c r="BB1720" s="15"/>
      <c r="BC1720" s="15"/>
      <c r="BD1720" s="15"/>
      <c r="BE1720" s="15"/>
      <c r="BF1720" s="15"/>
      <c r="BG1720" s="15"/>
      <c r="BH1720" s="15"/>
      <c r="BI1720" s="15"/>
      <c r="BJ1720" s="15"/>
      <c r="BK1720" s="15"/>
      <c r="BL1720" s="15"/>
      <c r="BM1720" s="15"/>
      <c r="BN1720" s="15"/>
      <c r="BO1720" s="15"/>
      <c r="BP1720" s="15"/>
      <c r="BQ1720" s="15"/>
      <c r="BR1720" s="15"/>
      <c r="BS1720" s="15"/>
      <c r="BT1720" s="15"/>
      <c r="BU1720" s="15"/>
      <c r="BV1720" s="15"/>
      <c r="BW1720" s="15"/>
      <c r="BX1720" s="15"/>
      <c r="BY1720" s="15"/>
      <c r="BZ1720" s="15"/>
      <c r="CA1720" s="15"/>
      <c r="CB1720" s="15"/>
    </row>
    <row r="1721" spans="1:80" ht="12.75" customHeight="1">
      <c r="A1721" s="20">
        <f ca="1">IFERROR(__xludf.DUMMYFUNCTION("""COMPUTED_VALUE"""),2023)</f>
        <v>2023</v>
      </c>
      <c r="B1721" s="45">
        <f ca="1">IFERROR(__xludf.DUMMYFUNCTION("""COMPUTED_VALUE"""),45557)</f>
        <v>45557</v>
      </c>
      <c r="C1721" s="46"/>
      <c r="D1721" s="47" t="str">
        <f ca="1">IFERROR(__xludf.DUMMYFUNCTION("""COMPUTED_VALUE"""),"Yellow-browed Warbler")</f>
        <v>Yellow-browed Warbler</v>
      </c>
      <c r="E1721" s="52">
        <f ca="1">IFERROR(__xludf.DUMMYFUNCTION("""COMPUTED_VALUE"""),1)</f>
        <v>1</v>
      </c>
      <c r="F1721" s="25"/>
      <c r="G1721" s="48" t="str">
        <f ca="1">IFERROR(__xludf.DUMMYFUNCTION("""COMPUTED_VALUE"""),"Hilbre")</f>
        <v>Hilbre</v>
      </c>
      <c r="H1721" s="22">
        <f ca="1">IFERROR(__xludf.DUMMYFUNCTION("""COMPUTED_VALUE"""),45222)</f>
        <v>45222</v>
      </c>
      <c r="I1721" s="23"/>
      <c r="J1721" s="24"/>
      <c r="K1721" s="25"/>
      <c r="L1721" s="27" t="str">
        <f ca="1">IFERROR(__xludf.DUMMYFUNCTION("""COMPUTED_VALUE"""),"closed")</f>
        <v>closed</v>
      </c>
      <c r="M1721" s="27"/>
      <c r="N1721" s="25" t="str">
        <f ca="1">IFERROR(__xludf.DUMMYFUNCTION("""COMPUTED_VALUE"""),"accepted w/o circulation")</f>
        <v>accepted w/o circulation</v>
      </c>
      <c r="O1721" s="28" t="str">
        <f ca="1">IFERROR(__xludf.DUMMYFUNCTION("""COMPUTED_VALUE"""),"trapped and ringed")</f>
        <v>trapped and ringed</v>
      </c>
      <c r="P1721" s="25"/>
      <c r="Q1721" s="25"/>
      <c r="R1721" s="25"/>
      <c r="S1721" s="25"/>
      <c r="T1721" s="25"/>
      <c r="U1721" s="25"/>
      <c r="V1721" s="25"/>
      <c r="W1721" s="25"/>
      <c r="X1721" s="25"/>
      <c r="Y1721" s="25"/>
      <c r="Z1721" s="25"/>
      <c r="AA1721" s="25"/>
      <c r="AB1721" s="25"/>
      <c r="AC1721" s="25"/>
      <c r="AD1721" s="25"/>
      <c r="AE1721" s="25"/>
      <c r="AF1721" s="25"/>
      <c r="AG1721" s="25"/>
      <c r="AH1721" s="25"/>
      <c r="AI1721" s="25"/>
      <c r="AJ1721" s="25"/>
      <c r="AK1721" s="25"/>
      <c r="AL1721" s="25"/>
      <c r="AM1721" s="25"/>
      <c r="AN1721" s="25"/>
      <c r="AO1721" s="25"/>
      <c r="AP1721" s="25"/>
      <c r="AQ1721" s="25"/>
      <c r="AR1721" s="25"/>
      <c r="AS1721" s="25"/>
      <c r="AT1721" s="25"/>
      <c r="AU1721" s="25"/>
      <c r="AV1721" s="25"/>
      <c r="AW1721" s="25"/>
      <c r="AX1721" s="25"/>
      <c r="AY1721" s="25"/>
      <c r="AZ1721" s="25"/>
      <c r="BA1721" s="25"/>
      <c r="BB1721" s="25"/>
      <c r="BC1721" s="25"/>
      <c r="BD1721" s="25"/>
      <c r="BE1721" s="25"/>
      <c r="BF1721" s="25"/>
      <c r="BG1721" s="25"/>
      <c r="BH1721" s="25"/>
      <c r="BI1721" s="25"/>
      <c r="BJ1721" s="25"/>
      <c r="BK1721" s="25"/>
      <c r="BL1721" s="25"/>
      <c r="BM1721" s="25"/>
      <c r="BN1721" s="25"/>
      <c r="BO1721" s="25"/>
      <c r="BP1721" s="25"/>
      <c r="BQ1721" s="25"/>
      <c r="BR1721" s="25"/>
      <c r="BS1721" s="25"/>
      <c r="BT1721" s="25"/>
      <c r="BU1721" s="25"/>
      <c r="BV1721" s="25"/>
      <c r="BW1721" s="25"/>
      <c r="BX1721" s="25"/>
      <c r="BY1721" s="25"/>
      <c r="BZ1721" s="25"/>
      <c r="CA1721" s="25"/>
      <c r="CB1721" s="25"/>
    </row>
    <row r="1722" spans="1:80" ht="12.75" customHeight="1">
      <c r="A1722" s="10">
        <f ca="1">IFERROR(__xludf.DUMMYFUNCTION("""COMPUTED_VALUE"""),2023)</f>
        <v>2023</v>
      </c>
      <c r="B1722" s="50">
        <f ca="1">IFERROR(__xludf.DUMMYFUNCTION("""COMPUTED_VALUE"""),45557)</f>
        <v>45557</v>
      </c>
      <c r="C1722" s="41"/>
      <c r="D1722" s="42" t="str">
        <f ca="1">IFERROR(__xludf.DUMMYFUNCTION("""COMPUTED_VALUE"""),"Yellow-browed Warbler")</f>
        <v>Yellow-browed Warbler</v>
      </c>
      <c r="E1722" s="53">
        <f ca="1">IFERROR(__xludf.DUMMYFUNCTION("""COMPUTED_VALUE"""),1)</f>
        <v>1</v>
      </c>
      <c r="F1722" s="15"/>
      <c r="G1722" s="44" t="str">
        <f ca="1">IFERROR(__xludf.DUMMYFUNCTION("""COMPUTED_VALUE"""),"Silver Lane Pools")</f>
        <v>Silver Lane Pools</v>
      </c>
      <c r="H1722" s="12">
        <f ca="1">IFERROR(__xludf.DUMMYFUNCTION("""COMPUTED_VALUE"""),45222)</f>
        <v>45222</v>
      </c>
      <c r="I1722" s="13"/>
      <c r="J1722" s="14"/>
      <c r="K1722" s="15"/>
      <c r="L1722" s="17" t="str">
        <f ca="1">IFERROR(__xludf.DUMMYFUNCTION("""COMPUTED_VALUE"""),"limbo")</f>
        <v>limbo</v>
      </c>
      <c r="M1722" s="17"/>
      <c r="N1722" s="58" t="str">
        <f ca="1">IFERROR(__xludf.DUMMYFUNCTION("""COMPUTED_VALUE"""),"not sumbitted")</f>
        <v>not sumbitted</v>
      </c>
      <c r="O1722" s="18"/>
      <c r="P1722" s="15"/>
      <c r="Q1722" s="15"/>
      <c r="R1722" s="15"/>
      <c r="S1722" s="15"/>
      <c r="T1722" s="15"/>
      <c r="U1722" s="15"/>
      <c r="V1722" s="15"/>
      <c r="W1722" s="15"/>
      <c r="X1722" s="15"/>
      <c r="Y1722" s="15"/>
      <c r="Z1722" s="15"/>
      <c r="AA1722" s="15"/>
      <c r="AB1722" s="15"/>
      <c r="AC1722" s="15"/>
      <c r="AD1722" s="15"/>
      <c r="AE1722" s="15"/>
      <c r="AF1722" s="15"/>
      <c r="AG1722" s="15"/>
      <c r="AH1722" s="15"/>
      <c r="AI1722" s="15"/>
      <c r="AJ1722" s="15"/>
      <c r="AK1722" s="15"/>
      <c r="AL1722" s="15"/>
      <c r="AM1722" s="15"/>
      <c r="AN1722" s="15"/>
      <c r="AO1722" s="15"/>
      <c r="AP1722" s="15"/>
      <c r="AQ1722" s="15"/>
      <c r="AR1722" s="15"/>
      <c r="AS1722" s="15"/>
      <c r="AT1722" s="15"/>
      <c r="AU1722" s="15"/>
      <c r="AV1722" s="15"/>
      <c r="AW1722" s="15"/>
      <c r="AX1722" s="15"/>
      <c r="AY1722" s="15"/>
      <c r="AZ1722" s="15"/>
      <c r="BA1722" s="15"/>
      <c r="BB1722" s="15"/>
      <c r="BC1722" s="15"/>
      <c r="BD1722" s="15"/>
      <c r="BE1722" s="15"/>
      <c r="BF1722" s="15"/>
      <c r="BG1722" s="15"/>
      <c r="BH1722" s="15"/>
      <c r="BI1722" s="15"/>
      <c r="BJ1722" s="15"/>
      <c r="BK1722" s="15"/>
      <c r="BL1722" s="15"/>
      <c r="BM1722" s="15"/>
      <c r="BN1722" s="15"/>
      <c r="BO1722" s="15"/>
      <c r="BP1722" s="15"/>
      <c r="BQ1722" s="15"/>
      <c r="BR1722" s="15"/>
      <c r="BS1722" s="15"/>
      <c r="BT1722" s="15"/>
      <c r="BU1722" s="15"/>
      <c r="BV1722" s="15"/>
      <c r="BW1722" s="15"/>
      <c r="BX1722" s="15"/>
      <c r="BY1722" s="15"/>
      <c r="BZ1722" s="15"/>
      <c r="CA1722" s="15"/>
      <c r="CB1722" s="15"/>
    </row>
    <row r="1723" spans="1:80" ht="12.75" customHeight="1">
      <c r="A1723" s="20">
        <f ca="1">IFERROR(__xludf.DUMMYFUNCTION("""COMPUTED_VALUE"""),2023)</f>
        <v>2023</v>
      </c>
      <c r="B1723" s="45">
        <f ca="1">IFERROR(__xludf.DUMMYFUNCTION("""COMPUTED_VALUE"""),45557)</f>
        <v>45557</v>
      </c>
      <c r="C1723" s="46"/>
      <c r="D1723" s="47" t="str">
        <f ca="1">IFERROR(__xludf.DUMMYFUNCTION("""COMPUTED_VALUE"""),"Yellow-browed Warbler")</f>
        <v>Yellow-browed Warbler</v>
      </c>
      <c r="E1723" s="52">
        <f ca="1">IFERROR(__xludf.DUMMYFUNCTION("""COMPUTED_VALUE"""),1)</f>
        <v>1</v>
      </c>
      <c r="F1723" s="25"/>
      <c r="G1723" s="48" t="str">
        <f ca="1">IFERROR(__xludf.DUMMYFUNCTION("""COMPUTED_VALUE"""),"Moore")</f>
        <v>Moore</v>
      </c>
      <c r="H1723" s="22">
        <f ca="1">IFERROR(__xludf.DUMMYFUNCTION("""COMPUTED_VALUE"""),45225)</f>
        <v>45225</v>
      </c>
      <c r="I1723" s="23"/>
      <c r="J1723" s="24"/>
      <c r="K1723" s="25"/>
      <c r="L1723" s="27" t="str">
        <f ca="1">IFERROR(__xludf.DUMMYFUNCTION("""COMPUTED_VALUE"""),"limbo")</f>
        <v>limbo</v>
      </c>
      <c r="M1723" s="27"/>
      <c r="N1723" s="40" t="str">
        <f ca="1">IFERROR(__xludf.DUMMYFUNCTION("""COMPUTED_VALUE"""),"not sumbitted")</f>
        <v>not sumbitted</v>
      </c>
      <c r="O1723" s="28"/>
      <c r="P1723" s="25"/>
      <c r="Q1723" s="25"/>
      <c r="R1723" s="40"/>
      <c r="S1723" s="25"/>
      <c r="T1723" s="25"/>
      <c r="U1723" s="25"/>
      <c r="V1723" s="25"/>
      <c r="W1723" s="25"/>
      <c r="X1723" s="25"/>
      <c r="Y1723" s="25"/>
      <c r="Z1723" s="25"/>
      <c r="AA1723" s="25"/>
      <c r="AB1723" s="25"/>
      <c r="AC1723" s="25"/>
      <c r="AD1723" s="25"/>
      <c r="AE1723" s="25"/>
      <c r="AF1723" s="25"/>
      <c r="AG1723" s="25"/>
      <c r="AH1723" s="25"/>
      <c r="AI1723" s="25"/>
      <c r="AJ1723" s="25"/>
      <c r="AK1723" s="25"/>
      <c r="AL1723" s="25"/>
      <c r="AM1723" s="25"/>
      <c r="AN1723" s="25"/>
      <c r="AO1723" s="25"/>
      <c r="AP1723" s="25"/>
      <c r="AQ1723" s="25"/>
      <c r="AR1723" s="25"/>
      <c r="AS1723" s="25"/>
      <c r="AT1723" s="25"/>
      <c r="AU1723" s="25"/>
      <c r="AV1723" s="25"/>
      <c r="AW1723" s="25"/>
      <c r="AX1723" s="25"/>
      <c r="AY1723" s="25"/>
      <c r="AZ1723" s="25"/>
      <c r="BA1723" s="25"/>
      <c r="BB1723" s="25"/>
      <c r="BC1723" s="25"/>
      <c r="BD1723" s="25"/>
      <c r="BE1723" s="25"/>
      <c r="BF1723" s="25"/>
      <c r="BG1723" s="25"/>
      <c r="BH1723" s="25"/>
      <c r="BI1723" s="25"/>
      <c r="BJ1723" s="25"/>
      <c r="BK1723" s="25"/>
      <c r="BL1723" s="25"/>
      <c r="BM1723" s="25"/>
      <c r="BN1723" s="25"/>
      <c r="BO1723" s="25"/>
      <c r="BP1723" s="25"/>
      <c r="BQ1723" s="25"/>
      <c r="BR1723" s="25"/>
      <c r="BS1723" s="25"/>
      <c r="BT1723" s="25"/>
      <c r="BU1723" s="25"/>
      <c r="BV1723" s="25"/>
      <c r="BW1723" s="25"/>
      <c r="BX1723" s="25"/>
      <c r="BY1723" s="25"/>
      <c r="BZ1723" s="25"/>
      <c r="CA1723" s="25"/>
      <c r="CB1723" s="25"/>
    </row>
    <row r="1724" spans="1:80" ht="12.75" customHeight="1">
      <c r="A1724" s="10">
        <f ca="1">IFERROR(__xludf.DUMMYFUNCTION("""COMPUTED_VALUE"""),2023)</f>
        <v>2023</v>
      </c>
      <c r="B1724" s="50">
        <f ca="1">IFERROR(__xludf.DUMMYFUNCTION("""COMPUTED_VALUE"""),45557)</f>
        <v>45557</v>
      </c>
      <c r="C1724" s="41"/>
      <c r="D1724" s="42" t="str">
        <f ca="1">IFERROR(__xludf.DUMMYFUNCTION("""COMPUTED_VALUE"""),"Yellow-browed Warbler")</f>
        <v>Yellow-browed Warbler</v>
      </c>
      <c r="E1724" s="53">
        <f ca="1">IFERROR(__xludf.DUMMYFUNCTION("""COMPUTED_VALUE"""),1)</f>
        <v>1</v>
      </c>
      <c r="F1724" s="15"/>
      <c r="G1724" s="44" t="str">
        <f ca="1">IFERROR(__xludf.DUMMYFUNCTION("""COMPUTED_VALUE"""),"Bidston Hill")</f>
        <v>Bidston Hill</v>
      </c>
      <c r="H1724" s="12">
        <f ca="1">IFERROR(__xludf.DUMMYFUNCTION("""COMPUTED_VALUE"""),45235)</f>
        <v>45235</v>
      </c>
      <c r="I1724" s="13"/>
      <c r="J1724" s="14"/>
      <c r="K1724" s="15"/>
      <c r="L1724" s="17" t="str">
        <f ca="1">IFERROR(__xludf.DUMMYFUNCTION("""COMPUTED_VALUE"""),"closed")</f>
        <v>closed</v>
      </c>
      <c r="M1724" s="17"/>
      <c r="N1724" s="58" t="str">
        <f ca="1">IFERROR(__xludf.DUMMYFUNCTION("""COMPUTED_VALUE"""),"accepted w/o circulation")</f>
        <v>accepted w/o circulation</v>
      </c>
      <c r="O1724" s="18" t="str">
        <f ca="1">IFERROR(__xludf.DUMMYFUNCTION("""COMPUTED_VALUE"""),"trapped and ringed")</f>
        <v>trapped and ringed</v>
      </c>
      <c r="P1724" s="15"/>
      <c r="Q1724" s="15"/>
      <c r="R1724" s="15"/>
      <c r="S1724" s="15"/>
      <c r="T1724" s="15"/>
      <c r="U1724" s="15"/>
      <c r="V1724" s="15"/>
      <c r="W1724" s="15"/>
      <c r="X1724" s="15"/>
      <c r="Y1724" s="15"/>
      <c r="Z1724" s="15"/>
      <c r="AA1724" s="15"/>
      <c r="AB1724" s="15"/>
      <c r="AC1724" s="15"/>
      <c r="AD1724" s="15"/>
      <c r="AE1724" s="15"/>
      <c r="AF1724" s="15"/>
      <c r="AG1724" s="15"/>
      <c r="AH1724" s="15"/>
      <c r="AI1724" s="15"/>
      <c r="AJ1724" s="15"/>
      <c r="AK1724" s="15"/>
      <c r="AL1724" s="15"/>
      <c r="AM1724" s="15"/>
      <c r="AN1724" s="15"/>
      <c r="AO1724" s="15"/>
      <c r="AP1724" s="15"/>
      <c r="AQ1724" s="15"/>
      <c r="AR1724" s="15"/>
      <c r="AS1724" s="15"/>
      <c r="AT1724" s="15"/>
      <c r="AU1724" s="15"/>
      <c r="AV1724" s="15"/>
      <c r="AW1724" s="15"/>
      <c r="AX1724" s="15"/>
      <c r="AY1724" s="15"/>
      <c r="AZ1724" s="15"/>
      <c r="BA1724" s="15"/>
      <c r="BB1724" s="15"/>
      <c r="BC1724" s="15"/>
      <c r="BD1724" s="15"/>
      <c r="BE1724" s="15"/>
      <c r="BF1724" s="15"/>
      <c r="BG1724" s="15"/>
      <c r="BH1724" s="15"/>
      <c r="BI1724" s="15"/>
      <c r="BJ1724" s="15"/>
      <c r="BK1724" s="15"/>
      <c r="BL1724" s="15"/>
      <c r="BM1724" s="15"/>
      <c r="BN1724" s="15"/>
      <c r="BO1724" s="15"/>
      <c r="BP1724" s="15"/>
      <c r="BQ1724" s="15"/>
      <c r="BR1724" s="15"/>
      <c r="BS1724" s="15"/>
      <c r="BT1724" s="15"/>
      <c r="BU1724" s="15"/>
      <c r="BV1724" s="15"/>
      <c r="BW1724" s="15"/>
      <c r="BX1724" s="15"/>
      <c r="BY1724" s="15"/>
      <c r="BZ1724" s="15"/>
      <c r="CA1724" s="15"/>
      <c r="CB1724" s="15"/>
    </row>
    <row r="1725" spans="1:80" ht="12.75" customHeight="1">
      <c r="A1725" s="20">
        <f ca="1">IFERROR(__xludf.DUMMYFUNCTION("""COMPUTED_VALUE"""),2023)</f>
        <v>2023</v>
      </c>
      <c r="B1725" s="45"/>
      <c r="C1725" s="46"/>
      <c r="D1725" s="47" t="str">
        <f ca="1">IFERROR(__xludf.DUMMYFUNCTION("""COMPUTED_VALUE"""),"Pallas' Warbler")</f>
        <v>Pallas' Warbler</v>
      </c>
      <c r="E1725" s="52">
        <f ca="1">IFERROR(__xludf.DUMMYFUNCTION("""COMPUTED_VALUE"""),1)</f>
        <v>1</v>
      </c>
      <c r="F1725" s="25"/>
      <c r="G1725" s="48" t="str">
        <f ca="1">IFERROR(__xludf.DUMMYFUNCTION("""COMPUTED_VALUE"""),"Hilbre")</f>
        <v>Hilbre</v>
      </c>
      <c r="H1725" s="22">
        <f ca="1">IFERROR(__xludf.DUMMYFUNCTION("""COMPUTED_VALUE"""),45234)</f>
        <v>45234</v>
      </c>
      <c r="I1725" s="23"/>
      <c r="J1725" s="24" t="str">
        <f ca="1">IFERROR(__xludf.DUMMYFUNCTION("""COMPUTED_VALUE"""),"County recorder")</f>
        <v>County recorder</v>
      </c>
      <c r="K1725" s="25" t="str">
        <f ca="1">IFERROR(__xludf.DUMMYFUNCTION("""COMPUTED_VALUE"""),"HIBO")</f>
        <v>HIBO</v>
      </c>
      <c r="L1725" s="27" t="str">
        <f ca="1">IFERROR(__xludf.DUMMYFUNCTION("""COMPUTED_VALUE"""),"closed")</f>
        <v>closed</v>
      </c>
      <c r="M1725" s="27"/>
      <c r="N1725" s="40" t="str">
        <f ca="1">IFERROR(__xludf.DUMMYFUNCTION("""COMPUTED_VALUE"""),"accepted without circulation")</f>
        <v>accepted without circulation</v>
      </c>
      <c r="O1725" s="28" t="str">
        <f ca="1">IFERROR(__xludf.DUMMYFUNCTION("""COMPUTED_VALUE"""),"trapped and photo on blog")</f>
        <v>trapped and photo on blog</v>
      </c>
      <c r="P1725" s="25"/>
      <c r="Q1725" s="25"/>
      <c r="R1725" s="40"/>
      <c r="S1725" s="25"/>
      <c r="T1725" s="25"/>
      <c r="U1725" s="25"/>
      <c r="V1725" s="25"/>
      <c r="W1725" s="25"/>
      <c r="X1725" s="25"/>
      <c r="Y1725" s="25"/>
      <c r="Z1725" s="25"/>
      <c r="AA1725" s="25"/>
      <c r="AB1725" s="25"/>
      <c r="AC1725" s="25"/>
      <c r="AD1725" s="25"/>
      <c r="AE1725" s="25"/>
      <c r="AF1725" s="25"/>
      <c r="AG1725" s="25"/>
      <c r="AH1725" s="25"/>
      <c r="AI1725" s="25"/>
      <c r="AJ1725" s="25"/>
      <c r="AK1725" s="25"/>
      <c r="AL1725" s="25"/>
      <c r="AM1725" s="25"/>
      <c r="AN1725" s="25"/>
      <c r="AO1725" s="25"/>
      <c r="AP1725" s="25"/>
      <c r="AQ1725" s="25"/>
      <c r="AR1725" s="25"/>
      <c r="AS1725" s="25"/>
      <c r="AT1725" s="25"/>
      <c r="AU1725" s="25"/>
      <c r="AV1725" s="25"/>
      <c r="AW1725" s="25"/>
      <c r="AX1725" s="25"/>
      <c r="AY1725" s="25"/>
      <c r="AZ1725" s="25"/>
      <c r="BA1725" s="25"/>
      <c r="BB1725" s="25"/>
      <c r="BC1725" s="25"/>
      <c r="BD1725" s="25"/>
      <c r="BE1725" s="25"/>
      <c r="BF1725" s="25"/>
      <c r="BG1725" s="25"/>
      <c r="BH1725" s="25"/>
      <c r="BI1725" s="25"/>
      <c r="BJ1725" s="25"/>
      <c r="BK1725" s="25"/>
      <c r="BL1725" s="25"/>
      <c r="BM1725" s="25"/>
      <c r="BN1725" s="25"/>
      <c r="BO1725" s="25"/>
      <c r="BP1725" s="25"/>
      <c r="BQ1725" s="25"/>
      <c r="BR1725" s="25"/>
      <c r="BS1725" s="25"/>
      <c r="BT1725" s="25"/>
      <c r="BU1725" s="25"/>
      <c r="BV1725" s="25"/>
      <c r="BW1725" s="25"/>
      <c r="BX1725" s="25"/>
      <c r="BY1725" s="25"/>
      <c r="BZ1725" s="25"/>
      <c r="CA1725" s="25"/>
      <c r="CB1725" s="25"/>
    </row>
    <row r="1726" spans="1:80" ht="12.75" customHeight="1">
      <c r="A1726" s="10">
        <f ca="1">IFERROR(__xludf.DUMMYFUNCTION("""COMPUTED_VALUE"""),2023)</f>
        <v>2023</v>
      </c>
      <c r="B1726" s="50">
        <f ca="1">IFERROR(__xludf.DUMMYFUNCTION("""COMPUTED_VALUE"""),45558)</f>
        <v>45558</v>
      </c>
      <c r="C1726" s="41">
        <f ca="1">IFERROR(__xludf.DUMMYFUNCTION("""COMPUTED_VALUE"""),45558)</f>
        <v>45558</v>
      </c>
      <c r="D1726" s="42" t="str">
        <f ca="1">IFERROR(__xludf.DUMMYFUNCTION("""COMPUTED_VALUE"""),"Siberian Chiffchaff [tristis race]")</f>
        <v>Siberian Chiffchaff [tristis race]</v>
      </c>
      <c r="E1726" s="53">
        <f ca="1">IFERROR(__xludf.DUMMYFUNCTION("""COMPUTED_VALUE"""),1)</f>
        <v>1</v>
      </c>
      <c r="F1726" s="15"/>
      <c r="G1726" s="44" t="str">
        <f ca="1">IFERROR(__xludf.DUMMYFUNCTION("""COMPUTED_VALUE"""),"Leasowe")</f>
        <v>Leasowe</v>
      </c>
      <c r="H1726" s="12">
        <f ca="1">IFERROR(__xludf.DUMMYFUNCTION("""COMPUTED_VALUE"""),45230)</f>
        <v>45230</v>
      </c>
      <c r="I1726" s="13"/>
      <c r="J1726" s="14" t="str">
        <f ca="1">IFERROR(__xludf.DUMMYFUNCTION("""COMPUTED_VALUE"""),"Williams, Eddie")</f>
        <v>Williams, Eddie</v>
      </c>
      <c r="K1726" s="15" t="str">
        <f ca="1">IFERROR(__xludf.DUMMYFUNCTION("""COMPUTED_VALUE"""),"Williams, Eddie")</f>
        <v>Williams, Eddie</v>
      </c>
      <c r="L1726" s="17" t="str">
        <f ca="1">IFERROR(__xludf.DUMMYFUNCTION("""COMPUTED_VALUE"""),"closed")</f>
        <v>closed</v>
      </c>
      <c r="M1726" s="17" t="str">
        <f ca="1">IFERROR(__xludf.DUMMYFUNCTION("""COMPUTED_VALUE"""),"1st U")</f>
        <v>1st U</v>
      </c>
      <c r="N1726" s="58" t="str">
        <f ca="1">IFERROR(__xludf.DUMMYFUNCTION("""COMPUTED_VALUE"""),"Accepted")</f>
        <v>Accepted</v>
      </c>
      <c r="O1726" s="18"/>
      <c r="P1726" s="15"/>
      <c r="Q1726" s="15"/>
      <c r="R1726" s="58"/>
      <c r="S1726" s="15"/>
      <c r="T1726" s="15"/>
      <c r="U1726" s="15"/>
      <c r="V1726" s="15"/>
      <c r="W1726" s="15"/>
      <c r="X1726" s="15"/>
      <c r="Y1726" s="15"/>
      <c r="Z1726" s="15"/>
      <c r="AA1726" s="15"/>
      <c r="AB1726" s="15"/>
      <c r="AC1726" s="15"/>
      <c r="AD1726" s="15"/>
      <c r="AE1726" s="15"/>
      <c r="AF1726" s="15"/>
      <c r="AG1726" s="15"/>
      <c r="AH1726" s="15"/>
      <c r="AI1726" s="15"/>
      <c r="AJ1726" s="15"/>
      <c r="AK1726" s="15"/>
      <c r="AL1726" s="15"/>
      <c r="AM1726" s="15"/>
      <c r="AN1726" s="15"/>
      <c r="AO1726" s="15"/>
      <c r="AP1726" s="15"/>
      <c r="AQ1726" s="15"/>
      <c r="AR1726" s="15"/>
      <c r="AS1726" s="15"/>
      <c r="AT1726" s="15"/>
      <c r="AU1726" s="15"/>
      <c r="AV1726" s="15"/>
      <c r="AW1726" s="15"/>
      <c r="AX1726" s="15"/>
      <c r="AY1726" s="15"/>
      <c r="AZ1726" s="15"/>
      <c r="BA1726" s="15"/>
      <c r="BB1726" s="15"/>
      <c r="BC1726" s="15"/>
      <c r="BD1726" s="15"/>
      <c r="BE1726" s="15"/>
      <c r="BF1726" s="15"/>
      <c r="BG1726" s="15"/>
      <c r="BH1726" s="15"/>
      <c r="BI1726" s="15"/>
      <c r="BJ1726" s="15"/>
      <c r="BK1726" s="15"/>
      <c r="BL1726" s="15"/>
      <c r="BM1726" s="15"/>
      <c r="BN1726" s="15"/>
      <c r="BO1726" s="15"/>
      <c r="BP1726" s="15"/>
      <c r="BQ1726" s="15"/>
      <c r="BR1726" s="15"/>
      <c r="BS1726" s="15"/>
      <c r="BT1726" s="15"/>
      <c r="BU1726" s="15"/>
      <c r="BV1726" s="15"/>
      <c r="BW1726" s="15"/>
      <c r="BX1726" s="15"/>
      <c r="BY1726" s="15"/>
      <c r="BZ1726" s="15"/>
      <c r="CA1726" s="15"/>
      <c r="CB1726" s="15"/>
    </row>
    <row r="1727" spans="1:80" ht="12.75" customHeight="1">
      <c r="A1727" s="20">
        <f ca="1">IFERROR(__xludf.DUMMYFUNCTION("""COMPUTED_VALUE"""),2023)</f>
        <v>2023</v>
      </c>
      <c r="B1727" s="45">
        <f ca="1">IFERROR(__xludf.DUMMYFUNCTION("""COMPUTED_VALUE"""),45384)</f>
        <v>45384</v>
      </c>
      <c r="C1727" s="46"/>
      <c r="D1727" s="47" t="str">
        <f ca="1">IFERROR(__xludf.DUMMYFUNCTION("""COMPUTED_VALUE"""),"Siberian Chiffchaff [tristis race]")</f>
        <v>Siberian Chiffchaff [tristis race]</v>
      </c>
      <c r="E1727" s="52">
        <f ca="1">IFERROR(__xludf.DUMMYFUNCTION("""COMPUTED_VALUE"""),1)</f>
        <v>1</v>
      </c>
      <c r="F1727" s="25"/>
      <c r="G1727" s="48" t="str">
        <f ca="1">IFERROR(__xludf.DUMMYFUNCTION("""COMPUTED_VALUE"""),"Hilbre")</f>
        <v>Hilbre</v>
      </c>
      <c r="H1727" s="22">
        <f ca="1">IFERROR(__xludf.DUMMYFUNCTION("""COMPUTED_VALUE"""),45244)</f>
        <v>45244</v>
      </c>
      <c r="I1727" s="23"/>
      <c r="J1727" s="24"/>
      <c r="K1727" s="25"/>
      <c r="L1727" s="27" t="str">
        <f ca="1">IFERROR(__xludf.DUMMYFUNCTION("""COMPUTED_VALUE"""),"closed")</f>
        <v>closed</v>
      </c>
      <c r="M1727" s="27"/>
      <c r="N1727" s="40" t="str">
        <f ca="1">IFERROR(__xludf.DUMMYFUNCTION("""COMPUTED_VALUE"""),"accepted as eastern")</f>
        <v>accepted as eastern</v>
      </c>
      <c r="O1727" s="28" t="str">
        <f ca="1">IFERROR(__xludf.DUMMYFUNCTION("""COMPUTED_VALUE"""),"trapped photo")</f>
        <v>trapped photo</v>
      </c>
      <c r="P1727" s="25"/>
      <c r="Q1727" s="25"/>
      <c r="R1727" s="40"/>
      <c r="S1727" s="25"/>
      <c r="T1727" s="25"/>
      <c r="U1727" s="25"/>
      <c r="V1727" s="25"/>
      <c r="W1727" s="25"/>
      <c r="X1727" s="25"/>
      <c r="Y1727" s="25"/>
      <c r="Z1727" s="25"/>
      <c r="AA1727" s="25"/>
      <c r="AB1727" s="25"/>
      <c r="AC1727" s="25"/>
      <c r="AD1727" s="25"/>
      <c r="AE1727" s="25"/>
      <c r="AF1727" s="25"/>
      <c r="AG1727" s="25"/>
      <c r="AH1727" s="25"/>
      <c r="AI1727" s="25"/>
      <c r="AJ1727" s="25"/>
      <c r="AK1727" s="25"/>
      <c r="AL1727" s="25"/>
      <c r="AM1727" s="25"/>
      <c r="AN1727" s="25"/>
      <c r="AO1727" s="25"/>
      <c r="AP1727" s="25"/>
      <c r="AQ1727" s="25"/>
      <c r="AR1727" s="25"/>
      <c r="AS1727" s="25"/>
      <c r="AT1727" s="25"/>
      <c r="AU1727" s="25"/>
      <c r="AV1727" s="25"/>
      <c r="AW1727" s="25"/>
      <c r="AX1727" s="25"/>
      <c r="AY1727" s="25"/>
      <c r="AZ1727" s="25"/>
      <c r="BA1727" s="25"/>
      <c r="BB1727" s="25"/>
      <c r="BC1727" s="25"/>
      <c r="BD1727" s="25"/>
      <c r="BE1727" s="25"/>
      <c r="BF1727" s="25"/>
      <c r="BG1727" s="25"/>
      <c r="BH1727" s="25"/>
      <c r="BI1727" s="25"/>
      <c r="BJ1727" s="25"/>
      <c r="BK1727" s="25"/>
      <c r="BL1727" s="25"/>
      <c r="BM1727" s="25"/>
      <c r="BN1727" s="25"/>
      <c r="BO1727" s="25"/>
      <c r="BP1727" s="25"/>
      <c r="BQ1727" s="25"/>
      <c r="BR1727" s="25"/>
      <c r="BS1727" s="25"/>
      <c r="BT1727" s="25"/>
      <c r="BU1727" s="25"/>
      <c r="BV1727" s="25"/>
      <c r="BW1727" s="25"/>
      <c r="BX1727" s="25"/>
      <c r="BY1727" s="25"/>
      <c r="BZ1727" s="25"/>
      <c r="CA1727" s="25"/>
      <c r="CB1727" s="25"/>
    </row>
    <row r="1728" spans="1:80" ht="12.75" customHeight="1">
      <c r="A1728" s="10">
        <f ca="1">IFERROR(__xludf.DUMMYFUNCTION("""COMPUTED_VALUE"""),2023)</f>
        <v>2023</v>
      </c>
      <c r="B1728" s="50">
        <f ca="1">IFERROR(__xludf.DUMMYFUNCTION("""COMPUTED_VALUE"""),45523)</f>
        <v>45523</v>
      </c>
      <c r="C1728" s="41"/>
      <c r="D1728" s="42" t="str">
        <f ca="1">IFERROR(__xludf.DUMMYFUNCTION("""COMPUTED_VALUE"""),"Siberian Chiffchaff [tristis race]")</f>
        <v>Siberian Chiffchaff [tristis race]</v>
      </c>
      <c r="E1728" s="53">
        <f ca="1">IFERROR(__xludf.DUMMYFUNCTION("""COMPUTED_VALUE"""),1)</f>
        <v>1</v>
      </c>
      <c r="F1728" s="15"/>
      <c r="G1728" s="62" t="str">
        <f ca="1">IFERROR(__xludf.DUMMYFUNCTION("""COMPUTED_VALUE"""),"Woolston Eyes")</f>
        <v>Woolston Eyes</v>
      </c>
      <c r="H1728" s="12">
        <f ca="1">IFERROR(__xludf.DUMMYFUNCTION("""COMPUTED_VALUE"""),45276)</f>
        <v>45276</v>
      </c>
      <c r="I1728" s="13"/>
      <c r="J1728" s="14"/>
      <c r="K1728" s="15"/>
      <c r="L1728" s="17" t="str">
        <f ca="1">IFERROR(__xludf.DUMMYFUNCTION("""COMPUTED_VALUE"""),"limbo")</f>
        <v>limbo</v>
      </c>
      <c r="M1728" s="17"/>
      <c r="N1728" s="58" t="str">
        <f ca="1">IFERROR(__xludf.DUMMYFUNCTION("""COMPUTED_VALUE"""),"not submitted")</f>
        <v>not submitted</v>
      </c>
      <c r="O1728" s="18"/>
      <c r="P1728" s="15"/>
      <c r="Q1728" s="15"/>
      <c r="R1728" s="15"/>
      <c r="S1728" s="15"/>
      <c r="T1728" s="15"/>
      <c r="U1728" s="15"/>
      <c r="V1728" s="15"/>
      <c r="W1728" s="15"/>
      <c r="X1728" s="15"/>
      <c r="Y1728" s="15"/>
      <c r="Z1728" s="15"/>
      <c r="AA1728" s="15"/>
      <c r="AB1728" s="15"/>
      <c r="AC1728" s="15"/>
      <c r="AD1728" s="15"/>
      <c r="AE1728" s="15"/>
      <c r="AF1728" s="15"/>
      <c r="AG1728" s="15"/>
      <c r="AH1728" s="15"/>
      <c r="AI1728" s="15"/>
      <c r="AJ1728" s="15"/>
      <c r="AK1728" s="15"/>
      <c r="AL1728" s="15"/>
      <c r="AM1728" s="15"/>
      <c r="AN1728" s="15"/>
      <c r="AO1728" s="15"/>
      <c r="AP1728" s="15"/>
      <c r="AQ1728" s="15"/>
      <c r="AR1728" s="15"/>
      <c r="AS1728" s="15"/>
      <c r="AT1728" s="15"/>
      <c r="AU1728" s="15"/>
      <c r="AV1728" s="15"/>
      <c r="AW1728" s="15"/>
      <c r="AX1728" s="15"/>
      <c r="AY1728" s="15"/>
      <c r="AZ1728" s="15"/>
      <c r="BA1728" s="15"/>
      <c r="BB1728" s="15"/>
      <c r="BC1728" s="15"/>
      <c r="BD1728" s="15"/>
      <c r="BE1728" s="15"/>
      <c r="BF1728" s="15"/>
      <c r="BG1728" s="15"/>
      <c r="BH1728" s="15"/>
      <c r="BI1728" s="15"/>
      <c r="BJ1728" s="15"/>
      <c r="BK1728" s="15"/>
      <c r="BL1728" s="15"/>
      <c r="BM1728" s="15"/>
      <c r="BN1728" s="15"/>
      <c r="BO1728" s="15"/>
      <c r="BP1728" s="15"/>
      <c r="BQ1728" s="15"/>
      <c r="BR1728" s="15"/>
      <c r="BS1728" s="15"/>
      <c r="BT1728" s="15"/>
      <c r="BU1728" s="15"/>
      <c r="BV1728" s="15"/>
      <c r="BW1728" s="15"/>
      <c r="BX1728" s="15"/>
      <c r="BY1728" s="15"/>
      <c r="BZ1728" s="15"/>
      <c r="CA1728" s="15"/>
      <c r="CB1728" s="15"/>
    </row>
    <row r="1729" spans="1:80" ht="12.75" customHeight="1">
      <c r="A1729" s="20">
        <f ca="1">IFERROR(__xludf.DUMMYFUNCTION("""COMPUTED_VALUE"""),2023)</f>
        <v>2023</v>
      </c>
      <c r="B1729" s="45">
        <f ca="1">IFERROR(__xludf.DUMMYFUNCTION("""COMPUTED_VALUE"""),45555)</f>
        <v>45555</v>
      </c>
      <c r="C1729" s="46"/>
      <c r="D1729" s="47" t="str">
        <f ca="1">IFERROR(__xludf.DUMMYFUNCTION("""COMPUTED_VALUE"""),"Iberian Chiffchaff")</f>
        <v>Iberian Chiffchaff</v>
      </c>
      <c r="E1729" s="52">
        <f ca="1">IFERROR(__xludf.DUMMYFUNCTION("""COMPUTED_VALUE"""),1)</f>
        <v>1</v>
      </c>
      <c r="F1729" s="25"/>
      <c r="G1729" s="48" t="str">
        <f ca="1">IFERROR(__xludf.DUMMYFUNCTION("""COMPUTED_VALUE"""),"Leasowe")</f>
        <v>Leasowe</v>
      </c>
      <c r="H1729" s="22">
        <f ca="1">IFERROR(__xludf.DUMMYFUNCTION("""COMPUTED_VALUE"""),45063)</f>
        <v>45063</v>
      </c>
      <c r="I1729" s="23"/>
      <c r="J1729" s="24"/>
      <c r="K1729" s="25"/>
      <c r="L1729" s="27" t="str">
        <f ca="1">IFERROR(__xludf.DUMMYFUNCTION("""COMPUTED_VALUE"""),"limbo")</f>
        <v>limbo</v>
      </c>
      <c r="M1729" s="27"/>
      <c r="N1729" s="25" t="str">
        <f ca="1">IFERROR(__xludf.DUMMYFUNCTION("""COMPUTED_VALUE"""),"not submitted")</f>
        <v>not submitted</v>
      </c>
      <c r="O1729" s="28"/>
      <c r="P1729" s="25"/>
      <c r="Q1729" s="25"/>
      <c r="R1729" s="25"/>
      <c r="S1729" s="25"/>
      <c r="T1729" s="25"/>
      <c r="U1729" s="25"/>
      <c r="V1729" s="25"/>
      <c r="W1729" s="25"/>
      <c r="X1729" s="25"/>
      <c r="Y1729" s="25"/>
      <c r="Z1729" s="25"/>
      <c r="AA1729" s="25"/>
      <c r="AB1729" s="25"/>
      <c r="AC1729" s="25"/>
      <c r="AD1729" s="25"/>
      <c r="AE1729" s="25"/>
      <c r="AF1729" s="25"/>
      <c r="AG1729" s="25"/>
      <c r="AH1729" s="25"/>
      <c r="AI1729" s="25"/>
      <c r="AJ1729" s="25"/>
      <c r="AK1729" s="25"/>
      <c r="AL1729" s="25"/>
      <c r="AM1729" s="25"/>
      <c r="AN1729" s="25"/>
      <c r="AO1729" s="25"/>
      <c r="AP1729" s="25"/>
      <c r="AQ1729" s="25"/>
      <c r="AR1729" s="25"/>
      <c r="AS1729" s="25"/>
      <c r="AT1729" s="25"/>
      <c r="AU1729" s="25"/>
      <c r="AV1729" s="25"/>
      <c r="AW1729" s="25"/>
      <c r="AX1729" s="25"/>
      <c r="AY1729" s="25"/>
      <c r="AZ1729" s="25"/>
      <c r="BA1729" s="25"/>
      <c r="BB1729" s="25"/>
      <c r="BC1729" s="25"/>
      <c r="BD1729" s="25"/>
      <c r="BE1729" s="25"/>
      <c r="BF1729" s="25"/>
      <c r="BG1729" s="25"/>
      <c r="BH1729" s="25"/>
      <c r="BI1729" s="25"/>
      <c r="BJ1729" s="25"/>
      <c r="BK1729" s="25"/>
      <c r="BL1729" s="25"/>
      <c r="BM1729" s="25"/>
      <c r="BN1729" s="25"/>
      <c r="BO1729" s="25"/>
      <c r="BP1729" s="25"/>
      <c r="BQ1729" s="25"/>
      <c r="BR1729" s="25"/>
      <c r="BS1729" s="25"/>
      <c r="BT1729" s="25"/>
      <c r="BU1729" s="25"/>
      <c r="BV1729" s="25"/>
      <c r="BW1729" s="25"/>
      <c r="BX1729" s="25"/>
      <c r="BY1729" s="25"/>
      <c r="BZ1729" s="25"/>
      <c r="CA1729" s="25"/>
      <c r="CB1729" s="25"/>
    </row>
    <row r="1730" spans="1:80" ht="12.75" customHeight="1">
      <c r="A1730" s="10">
        <f ca="1">IFERROR(__xludf.DUMMYFUNCTION("""COMPUTED_VALUE"""),2023)</f>
        <v>2023</v>
      </c>
      <c r="B1730" s="50">
        <f ca="1">IFERROR(__xludf.DUMMYFUNCTION("""COMPUTED_VALUE"""),45557)</f>
        <v>45557</v>
      </c>
      <c r="C1730" s="41"/>
      <c r="D1730" s="42" t="str">
        <f ca="1">IFERROR(__xludf.DUMMYFUNCTION("""COMPUTED_VALUE"""),"Savi's Warbler")</f>
        <v>Savi's Warbler</v>
      </c>
      <c r="E1730" s="53">
        <f ca="1">IFERROR(__xludf.DUMMYFUNCTION("""COMPUTED_VALUE"""),1)</f>
        <v>1</v>
      </c>
      <c r="F1730" s="15"/>
      <c r="G1730" s="44" t="str">
        <f ca="1">IFERROR(__xludf.DUMMYFUNCTION("""COMPUTED_VALUE"""),"Burton Mere Wetlands")</f>
        <v>Burton Mere Wetlands</v>
      </c>
      <c r="H1730" s="12">
        <f ca="1">IFERROR(__xludf.DUMMYFUNCTION("""COMPUTED_VALUE"""),45026)</f>
        <v>45026</v>
      </c>
      <c r="I1730" s="12">
        <f ca="1">IFERROR(__xludf.DUMMYFUNCTION("""COMPUTED_VALUE"""),45034)</f>
        <v>45034</v>
      </c>
      <c r="J1730" s="14" t="str">
        <f ca="1">IFERROR(__xludf.DUMMYFUNCTION("""COMPUTED_VALUE"""),"County recorder")</f>
        <v>County recorder</v>
      </c>
      <c r="K1730" s="15" t="str">
        <f ca="1">IFERROR(__xludf.DUMMYFUNCTION("""COMPUTED_VALUE"""),"not known")</f>
        <v>not known</v>
      </c>
      <c r="L1730" s="17" t="str">
        <f ca="1">IFERROR(__xludf.DUMMYFUNCTION("""COMPUTED_VALUE"""),"closed")</f>
        <v>closed</v>
      </c>
      <c r="M1730" s="17"/>
      <c r="N1730" s="58" t="str">
        <f ca="1">IFERROR(__xludf.DUMMYFUNCTION("""COMPUTED_VALUE"""),"accepted without circulation")</f>
        <v>accepted without circulation</v>
      </c>
      <c r="O1730" s="18" t="str">
        <f ca="1">IFERROR(__xludf.DUMMYFUNCTION("""COMPUTED_VALUE"""),"multi-observed")</f>
        <v>multi-observed</v>
      </c>
      <c r="P1730" s="15"/>
      <c r="Q1730" s="15"/>
      <c r="R1730" s="15"/>
      <c r="S1730" s="15"/>
      <c r="T1730" s="15"/>
      <c r="U1730" s="15"/>
      <c r="V1730" s="15"/>
      <c r="W1730" s="15"/>
      <c r="X1730" s="15"/>
      <c r="Y1730" s="15"/>
      <c r="Z1730" s="15"/>
      <c r="AA1730" s="15"/>
      <c r="AB1730" s="15"/>
      <c r="AC1730" s="15"/>
      <c r="AD1730" s="15"/>
      <c r="AE1730" s="15"/>
      <c r="AF1730" s="15"/>
      <c r="AG1730" s="15"/>
      <c r="AH1730" s="15"/>
      <c r="AI1730" s="15"/>
      <c r="AJ1730" s="15"/>
      <c r="AK1730" s="15"/>
      <c r="AL1730" s="15"/>
      <c r="AM1730" s="15"/>
      <c r="AN1730" s="15"/>
      <c r="AO1730" s="15"/>
      <c r="AP1730" s="15"/>
      <c r="AQ1730" s="15"/>
      <c r="AR1730" s="15"/>
      <c r="AS1730" s="15"/>
      <c r="AT1730" s="15"/>
      <c r="AU1730" s="15"/>
      <c r="AV1730" s="15"/>
      <c r="AW1730" s="15"/>
      <c r="AX1730" s="15"/>
      <c r="AY1730" s="15"/>
      <c r="AZ1730" s="15"/>
      <c r="BA1730" s="15"/>
      <c r="BB1730" s="15"/>
      <c r="BC1730" s="15"/>
      <c r="BD1730" s="15"/>
      <c r="BE1730" s="15"/>
      <c r="BF1730" s="15"/>
      <c r="BG1730" s="15"/>
      <c r="BH1730" s="15"/>
      <c r="BI1730" s="15"/>
      <c r="BJ1730" s="15"/>
      <c r="BK1730" s="15"/>
      <c r="BL1730" s="15"/>
      <c r="BM1730" s="15"/>
      <c r="BN1730" s="15"/>
      <c r="BO1730" s="15"/>
      <c r="BP1730" s="15"/>
      <c r="BQ1730" s="15"/>
      <c r="BR1730" s="15"/>
      <c r="BS1730" s="15"/>
      <c r="BT1730" s="15"/>
      <c r="BU1730" s="15"/>
      <c r="BV1730" s="15"/>
      <c r="BW1730" s="15"/>
      <c r="BX1730" s="15"/>
      <c r="BY1730" s="15"/>
      <c r="BZ1730" s="15"/>
      <c r="CA1730" s="15"/>
      <c r="CB1730" s="15"/>
    </row>
    <row r="1731" spans="1:80" ht="12.75" customHeight="1">
      <c r="A1731" s="20">
        <f ca="1">IFERROR(__xludf.DUMMYFUNCTION("""COMPUTED_VALUE"""),2023)</f>
        <v>2023</v>
      </c>
      <c r="B1731" s="45">
        <f ca="1">IFERROR(__xludf.DUMMYFUNCTION("""COMPUTED_VALUE"""),45384)</f>
        <v>45384</v>
      </c>
      <c r="C1731" s="46"/>
      <c r="D1731" s="47" t="str">
        <f ca="1">IFERROR(__xludf.DUMMYFUNCTION("""COMPUTED_VALUE"""),"Barred Warbler")</f>
        <v>Barred Warbler</v>
      </c>
      <c r="E1731" s="52">
        <f ca="1">IFERROR(__xludf.DUMMYFUNCTION("""COMPUTED_VALUE"""),1)</f>
        <v>1</v>
      </c>
      <c r="F1731" s="25"/>
      <c r="G1731" s="48" t="str">
        <f ca="1">IFERROR(__xludf.DUMMYFUNCTION("""COMPUTED_VALUE"""),"Burton Mere Wetlands")</f>
        <v>Burton Mere Wetlands</v>
      </c>
      <c r="H1731" s="22">
        <f ca="1">IFERROR(__xludf.DUMMYFUNCTION("""COMPUTED_VALUE"""),45240)</f>
        <v>45240</v>
      </c>
      <c r="I1731" s="22">
        <f ca="1">IFERROR(__xludf.DUMMYFUNCTION("""COMPUTED_VALUE"""),44997)</f>
        <v>44997</v>
      </c>
      <c r="J1731" s="24" t="str">
        <f ca="1">IFERROR(__xludf.DUMMYFUNCTION("""COMPUTED_VALUE"""),"county recorder")</f>
        <v>county recorder</v>
      </c>
      <c r="K1731" s="25" t="str">
        <f ca="1">IFERROR(__xludf.DUMMYFUNCTION("""COMPUTED_VALUE"""),"Paul Hill")</f>
        <v>Paul Hill</v>
      </c>
      <c r="L1731" s="27" t="str">
        <f ca="1">IFERROR(__xludf.DUMMYFUNCTION("""COMPUTED_VALUE"""),"closed")</f>
        <v>closed</v>
      </c>
      <c r="M1731" s="27"/>
      <c r="N1731" s="40" t="str">
        <f ca="1">IFERROR(__xludf.DUMMYFUNCTION("""COMPUTED_VALUE"""),"accepted without circulation")</f>
        <v>accepted without circulation</v>
      </c>
      <c r="O1731" s="28" t="str">
        <f ca="1">IFERROR(__xludf.DUMMYFUNCTION("""COMPUTED_VALUE"""),"photo")</f>
        <v>photo</v>
      </c>
      <c r="P1731" s="25"/>
      <c r="Q1731" s="25"/>
      <c r="R1731" s="25"/>
      <c r="S1731" s="25"/>
      <c r="T1731" s="25"/>
      <c r="U1731" s="25"/>
      <c r="V1731" s="25"/>
      <c r="W1731" s="25"/>
      <c r="X1731" s="25"/>
      <c r="Y1731" s="25"/>
      <c r="Z1731" s="25"/>
      <c r="AA1731" s="25"/>
      <c r="AB1731" s="25"/>
      <c r="AC1731" s="25"/>
      <c r="AD1731" s="25"/>
      <c r="AE1731" s="25"/>
      <c r="AF1731" s="25"/>
      <c r="AG1731" s="25"/>
      <c r="AH1731" s="25"/>
      <c r="AI1731" s="25"/>
      <c r="AJ1731" s="25"/>
      <c r="AK1731" s="25"/>
      <c r="AL1731" s="25"/>
      <c r="AM1731" s="25"/>
      <c r="AN1731" s="25"/>
      <c r="AO1731" s="25"/>
      <c r="AP1731" s="25"/>
      <c r="AQ1731" s="25"/>
      <c r="AR1731" s="25"/>
      <c r="AS1731" s="25"/>
      <c r="AT1731" s="25"/>
      <c r="AU1731" s="25"/>
      <c r="AV1731" s="25"/>
      <c r="AW1731" s="25"/>
      <c r="AX1731" s="25"/>
      <c r="AY1731" s="25"/>
      <c r="AZ1731" s="25"/>
      <c r="BA1731" s="25"/>
      <c r="BB1731" s="25"/>
      <c r="BC1731" s="25"/>
      <c r="BD1731" s="25"/>
      <c r="BE1731" s="25"/>
      <c r="BF1731" s="25"/>
      <c r="BG1731" s="25"/>
      <c r="BH1731" s="25"/>
      <c r="BI1731" s="25"/>
      <c r="BJ1731" s="25"/>
      <c r="BK1731" s="25"/>
      <c r="BL1731" s="25"/>
      <c r="BM1731" s="25"/>
      <c r="BN1731" s="25"/>
      <c r="BO1731" s="25"/>
      <c r="BP1731" s="25"/>
      <c r="BQ1731" s="25"/>
      <c r="BR1731" s="25"/>
      <c r="BS1731" s="25"/>
      <c r="BT1731" s="25"/>
      <c r="BU1731" s="25"/>
      <c r="BV1731" s="25"/>
      <c r="BW1731" s="25"/>
      <c r="BX1731" s="25"/>
      <c r="BY1731" s="25"/>
      <c r="BZ1731" s="25"/>
      <c r="CA1731" s="25"/>
      <c r="CB1731" s="25"/>
    </row>
    <row r="1732" spans="1:80" ht="12.75" customHeight="1">
      <c r="A1732" s="10">
        <f ca="1">IFERROR(__xludf.DUMMYFUNCTION("""COMPUTED_VALUE"""),2023)</f>
        <v>2023</v>
      </c>
      <c r="B1732" s="50">
        <f ca="1">IFERROR(__xludf.DUMMYFUNCTION("""COMPUTED_VALUE"""),45553)</f>
        <v>45553</v>
      </c>
      <c r="C1732" s="41"/>
      <c r="D1732" s="42" t="str">
        <f ca="1">IFERROR(__xludf.DUMMYFUNCTION("""COMPUTED_VALUE"""),"Dartford Warbler")</f>
        <v>Dartford Warbler</v>
      </c>
      <c r="E1732" s="53">
        <f ca="1">IFERROR(__xludf.DUMMYFUNCTION("""COMPUTED_VALUE"""),1)</f>
        <v>1</v>
      </c>
      <c r="F1732" s="15"/>
      <c r="G1732" s="44" t="str">
        <f ca="1">IFERROR(__xludf.DUMMYFUNCTION("""COMPUTED_VALUE"""),"Burton")</f>
        <v>Burton</v>
      </c>
      <c r="H1732" s="12">
        <f ca="1">IFERROR(__xludf.DUMMYFUNCTION("""COMPUTED_VALUE"""),44955)</f>
        <v>44955</v>
      </c>
      <c r="I1732" s="13"/>
      <c r="J1732" s="14"/>
      <c r="K1732" s="15"/>
      <c r="L1732" s="17" t="str">
        <f ca="1">IFERROR(__xludf.DUMMYFUNCTION("""COMPUTED_VALUE"""),"closed")</f>
        <v>closed</v>
      </c>
      <c r="M1732" s="17"/>
      <c r="N1732" s="58"/>
      <c r="O1732" s="18" t="str">
        <f ca="1">IFERROR(__xludf.DUMMYFUNCTION("""COMPUTED_VALUE"""),"was in Wales")</f>
        <v>was in Wales</v>
      </c>
      <c r="P1732" s="15"/>
      <c r="Q1732" s="15"/>
      <c r="R1732" s="15"/>
      <c r="S1732" s="15"/>
      <c r="T1732" s="15"/>
      <c r="U1732" s="15"/>
      <c r="V1732" s="15"/>
      <c r="W1732" s="15"/>
      <c r="X1732" s="15"/>
      <c r="Y1732" s="15"/>
      <c r="Z1732" s="15"/>
      <c r="AA1732" s="15"/>
      <c r="AB1732" s="15"/>
      <c r="AC1732" s="15"/>
      <c r="AD1732" s="15"/>
      <c r="AE1732" s="15"/>
      <c r="AF1732" s="15"/>
      <c r="AG1732" s="15"/>
      <c r="AH1732" s="15"/>
      <c r="AI1732" s="15"/>
      <c r="AJ1732" s="15"/>
      <c r="AK1732" s="15"/>
      <c r="AL1732" s="15"/>
      <c r="AM1732" s="15"/>
      <c r="AN1732" s="15"/>
      <c r="AO1732" s="15"/>
      <c r="AP1732" s="15"/>
      <c r="AQ1732" s="15"/>
      <c r="AR1732" s="15"/>
      <c r="AS1732" s="15"/>
      <c r="AT1732" s="15"/>
      <c r="AU1732" s="15"/>
      <c r="AV1732" s="15"/>
      <c r="AW1732" s="15"/>
      <c r="AX1732" s="15"/>
      <c r="AY1732" s="15"/>
      <c r="AZ1732" s="15"/>
      <c r="BA1732" s="15"/>
      <c r="BB1732" s="15"/>
      <c r="BC1732" s="15"/>
      <c r="BD1732" s="15"/>
      <c r="BE1732" s="15"/>
      <c r="BF1732" s="15"/>
      <c r="BG1732" s="15"/>
      <c r="BH1732" s="15"/>
      <c r="BI1732" s="15"/>
      <c r="BJ1732" s="15"/>
      <c r="BK1732" s="15"/>
      <c r="BL1732" s="15"/>
      <c r="BM1732" s="15"/>
      <c r="BN1732" s="15"/>
      <c r="BO1732" s="15"/>
      <c r="BP1732" s="15"/>
      <c r="BQ1732" s="15"/>
      <c r="BR1732" s="15"/>
      <c r="BS1732" s="15"/>
      <c r="BT1732" s="15"/>
      <c r="BU1732" s="15"/>
      <c r="BV1732" s="15"/>
      <c r="BW1732" s="15"/>
      <c r="BX1732" s="15"/>
      <c r="BY1732" s="15"/>
      <c r="BZ1732" s="15"/>
      <c r="CA1732" s="15"/>
      <c r="CB1732" s="15"/>
    </row>
    <row r="1733" spans="1:80" ht="12.75" customHeight="1">
      <c r="A1733" s="20">
        <f ca="1">IFERROR(__xludf.DUMMYFUNCTION("""COMPUTED_VALUE"""),2023)</f>
        <v>2023</v>
      </c>
      <c r="B1733" s="45">
        <f ca="1">IFERROR(__xludf.DUMMYFUNCTION("""COMPUTED_VALUE"""),45523)</f>
        <v>45523</v>
      </c>
      <c r="C1733" s="46"/>
      <c r="D1733" s="47" t="str">
        <f ca="1">IFERROR(__xludf.DUMMYFUNCTION("""COMPUTED_VALUE"""),"Black-throated Thrush")</f>
        <v>Black-throated Thrush</v>
      </c>
      <c r="E1733" s="52">
        <f ca="1">IFERROR(__xludf.DUMMYFUNCTION("""COMPUTED_VALUE"""),1)</f>
        <v>1</v>
      </c>
      <c r="F1733" s="25"/>
      <c r="G1733" s="48" t="str">
        <f ca="1">IFERROR(__xludf.DUMMYFUNCTION("""COMPUTED_VALUE"""),"Wilmslow")</f>
        <v>Wilmslow</v>
      </c>
      <c r="H1733" s="22">
        <f ca="1">IFERROR(__xludf.DUMMYFUNCTION("""COMPUTED_VALUE"""),45246)</f>
        <v>45246</v>
      </c>
      <c r="I1733" s="23"/>
      <c r="J1733" s="24"/>
      <c r="K1733" s="25"/>
      <c r="L1733" s="27" t="str">
        <f ca="1">IFERROR(__xludf.DUMMYFUNCTION("""COMPUTED_VALUE"""),"limbo")</f>
        <v>limbo</v>
      </c>
      <c r="M1733" s="27"/>
      <c r="N1733" s="25" t="str">
        <f ca="1">IFERROR(__xludf.DUMMYFUNCTION("""COMPUTED_VALUE"""),"not submitted")</f>
        <v>not submitted</v>
      </c>
      <c r="O1733" s="28"/>
      <c r="P1733" s="25"/>
      <c r="Q1733" s="25"/>
      <c r="R1733" s="25"/>
      <c r="S1733" s="25"/>
      <c r="T1733" s="25"/>
      <c r="U1733" s="25"/>
      <c r="V1733" s="25"/>
      <c r="W1733" s="25"/>
      <c r="X1733" s="25"/>
      <c r="Y1733" s="25"/>
      <c r="Z1733" s="25"/>
      <c r="AA1733" s="25"/>
      <c r="AB1733" s="25"/>
      <c r="AC1733" s="25"/>
      <c r="AD1733" s="25"/>
      <c r="AE1733" s="25"/>
      <c r="AF1733" s="25"/>
      <c r="AG1733" s="25"/>
      <c r="AH1733" s="25"/>
      <c r="AI1733" s="25"/>
      <c r="AJ1733" s="25"/>
      <c r="AK1733" s="25"/>
      <c r="AL1733" s="25"/>
      <c r="AM1733" s="25"/>
      <c r="AN1733" s="25"/>
      <c r="AO1733" s="25"/>
      <c r="AP1733" s="25"/>
      <c r="AQ1733" s="25"/>
      <c r="AR1733" s="25"/>
      <c r="AS1733" s="25"/>
      <c r="AT1733" s="25"/>
      <c r="AU1733" s="25"/>
      <c r="AV1733" s="25"/>
      <c r="AW1733" s="25"/>
      <c r="AX1733" s="25"/>
      <c r="AY1733" s="25"/>
      <c r="AZ1733" s="25"/>
      <c r="BA1733" s="25"/>
      <c r="BB1733" s="25"/>
      <c r="BC1733" s="25"/>
      <c r="BD1733" s="25"/>
      <c r="BE1733" s="25"/>
      <c r="BF1733" s="25"/>
      <c r="BG1733" s="25"/>
      <c r="BH1733" s="25"/>
      <c r="BI1733" s="25"/>
      <c r="BJ1733" s="25"/>
      <c r="BK1733" s="25"/>
      <c r="BL1733" s="25"/>
      <c r="BM1733" s="25"/>
      <c r="BN1733" s="25"/>
      <c r="BO1733" s="25"/>
      <c r="BP1733" s="25"/>
      <c r="BQ1733" s="25"/>
      <c r="BR1733" s="25"/>
      <c r="BS1733" s="25"/>
      <c r="BT1733" s="25"/>
      <c r="BU1733" s="25"/>
      <c r="BV1733" s="25"/>
      <c r="BW1733" s="25"/>
      <c r="BX1733" s="25"/>
      <c r="BY1733" s="25"/>
      <c r="BZ1733" s="25"/>
      <c r="CA1733" s="25"/>
      <c r="CB1733" s="25"/>
    </row>
    <row r="1734" spans="1:80" ht="12.75" customHeight="1">
      <c r="A1734" s="10">
        <f ca="1">IFERROR(__xludf.DUMMYFUNCTION("""COMPUTED_VALUE"""),2023)</f>
        <v>2023</v>
      </c>
      <c r="B1734" s="50">
        <f ca="1">IFERROR(__xludf.DUMMYFUNCTION("""COMPUTED_VALUE"""),45523)</f>
        <v>45523</v>
      </c>
      <c r="C1734" s="41"/>
      <c r="D1734" s="42" t="str">
        <f ca="1">IFERROR(__xludf.DUMMYFUNCTION("""COMPUTED_VALUE"""),"Bluethroat [White-spotted]")</f>
        <v>Bluethroat [White-spotted]</v>
      </c>
      <c r="E1734" s="53">
        <f ca="1">IFERROR(__xludf.DUMMYFUNCTION("""COMPUTED_VALUE"""),1)</f>
        <v>1</v>
      </c>
      <c r="F1734" s="15" t="str">
        <f ca="1">IFERROR(__xludf.DUMMYFUNCTION("""COMPUTED_VALUE"""),"6m")</f>
        <v>6m</v>
      </c>
      <c r="G1734" s="44" t="str">
        <f ca="1">IFERROR(__xludf.DUMMYFUNCTION("""COMPUTED_VALUE"""),"Woolston Eyes")</f>
        <v>Woolston Eyes</v>
      </c>
      <c r="H1734" s="12">
        <f ca="1">IFERROR(__xludf.DUMMYFUNCTION("""COMPUTED_VALUE"""),45122)</f>
        <v>45122</v>
      </c>
      <c r="I1734" s="13"/>
      <c r="J1734" s="14" t="str">
        <f ca="1">IFERROR(__xludf.DUMMYFUNCTION("""COMPUTED_VALUE"""),"Kieran Foster")</f>
        <v>Kieran Foster</v>
      </c>
      <c r="K1734" s="15" t="str">
        <f ca="1">IFERROR(__xludf.DUMMYFUNCTION("""COMPUTED_VALUE"""),"Kieran Foster")</f>
        <v>Kieran Foster</v>
      </c>
      <c r="L1734" s="17" t="str">
        <f ca="1">IFERROR(__xludf.DUMMYFUNCTION("""COMPUTED_VALUE"""),"closed")</f>
        <v>closed</v>
      </c>
      <c r="M1734" s="17"/>
      <c r="N1734" s="15" t="str">
        <f ca="1">IFERROR(__xludf.DUMMYFUNCTION("""COMPUTED_VALUE"""),"BBRC-OK")</f>
        <v>BBRC-OK</v>
      </c>
      <c r="O1734" s="18" t="str">
        <f ca="1">IFERROR(__xludf.DUMMYFUNCTION("""COMPUTED_VALUE"""),"moulting adult  ringed")</f>
        <v>moulting adult  ringed</v>
      </c>
      <c r="P1734" s="15"/>
      <c r="Q1734" s="15"/>
      <c r="R1734" s="15"/>
      <c r="S1734" s="15"/>
      <c r="T1734" s="15"/>
      <c r="U1734" s="15"/>
      <c r="V1734" s="15"/>
      <c r="W1734" s="15"/>
      <c r="X1734" s="15"/>
      <c r="Y1734" s="15"/>
      <c r="Z1734" s="15"/>
      <c r="AA1734" s="15"/>
      <c r="AB1734" s="15"/>
      <c r="AC1734" s="15"/>
      <c r="AD1734" s="15"/>
      <c r="AE1734" s="15"/>
      <c r="AF1734" s="15"/>
      <c r="AG1734" s="15"/>
      <c r="AH1734" s="15"/>
      <c r="AI1734" s="15"/>
      <c r="AJ1734" s="15"/>
      <c r="AK1734" s="15"/>
      <c r="AL1734" s="15"/>
      <c r="AM1734" s="15"/>
      <c r="AN1734" s="15"/>
      <c r="AO1734" s="15"/>
      <c r="AP1734" s="15"/>
      <c r="AQ1734" s="15"/>
      <c r="AR1734" s="15"/>
      <c r="AS1734" s="15"/>
      <c r="AT1734" s="15"/>
      <c r="AU1734" s="15"/>
      <c r="AV1734" s="15"/>
      <c r="AW1734" s="15"/>
      <c r="AX1734" s="15"/>
      <c r="AY1734" s="15"/>
      <c r="AZ1734" s="15"/>
      <c r="BA1734" s="15"/>
      <c r="BB1734" s="15"/>
      <c r="BC1734" s="15"/>
      <c r="BD1734" s="15"/>
      <c r="BE1734" s="15"/>
      <c r="BF1734" s="15"/>
      <c r="BG1734" s="15"/>
      <c r="BH1734" s="15"/>
      <c r="BI1734" s="15"/>
      <c r="BJ1734" s="15"/>
      <c r="BK1734" s="15"/>
      <c r="BL1734" s="15"/>
      <c r="BM1734" s="15"/>
      <c r="BN1734" s="15"/>
      <c r="BO1734" s="15"/>
      <c r="BP1734" s="15"/>
      <c r="BQ1734" s="15"/>
      <c r="BR1734" s="15"/>
      <c r="BS1734" s="15"/>
      <c r="BT1734" s="15"/>
      <c r="BU1734" s="15"/>
      <c r="BV1734" s="15"/>
      <c r="BW1734" s="15"/>
      <c r="BX1734" s="15"/>
      <c r="BY1734" s="15"/>
      <c r="BZ1734" s="15"/>
      <c r="CA1734" s="15"/>
      <c r="CB1734" s="15"/>
    </row>
    <row r="1735" spans="1:80" ht="12.75" customHeight="1">
      <c r="A1735" s="20">
        <f ca="1">IFERROR(__xludf.DUMMYFUNCTION("""COMPUTED_VALUE"""),2023)</f>
        <v>2023</v>
      </c>
      <c r="B1735" s="45">
        <f ca="1">IFERROR(__xludf.DUMMYFUNCTION("""COMPUTED_VALUE"""),45384)</f>
        <v>45384</v>
      </c>
      <c r="C1735" s="46"/>
      <c r="D1735" s="47" t="str">
        <f ca="1">IFERROR(__xludf.DUMMYFUNCTION("""COMPUTED_VALUE"""),"Black Redstart")</f>
        <v>Black Redstart</v>
      </c>
      <c r="E1735" s="52">
        <f ca="1">IFERROR(__xludf.DUMMYFUNCTION("""COMPUTED_VALUE"""),1)</f>
        <v>1</v>
      </c>
      <c r="F1735" s="25"/>
      <c r="G1735" s="48" t="str">
        <f ca="1">IFERROR(__xludf.DUMMYFUNCTION("""COMPUTED_VALUE"""),"Astbury Mere CP")</f>
        <v>Astbury Mere CP</v>
      </c>
      <c r="H1735" s="22">
        <f ca="1">IFERROR(__xludf.DUMMYFUNCTION("""COMPUTED_VALUE"""),45045)</f>
        <v>45045</v>
      </c>
      <c r="I1735" s="23"/>
      <c r="J1735" s="24"/>
      <c r="K1735" s="25"/>
      <c r="L1735" s="27" t="str">
        <f ca="1">IFERROR(__xludf.DUMMYFUNCTION("""COMPUTED_VALUE"""),"limbo")</f>
        <v>limbo</v>
      </c>
      <c r="M1735" s="27"/>
      <c r="N1735" s="25" t="str">
        <f ca="1">IFERROR(__xludf.DUMMYFUNCTION("""COMPUTED_VALUE"""),"not submitted")</f>
        <v>not submitted</v>
      </c>
      <c r="O1735" s="28"/>
      <c r="P1735" s="25"/>
      <c r="Q1735" s="25"/>
      <c r="R1735" s="25"/>
      <c r="S1735" s="25"/>
      <c r="T1735" s="25"/>
      <c r="U1735" s="25"/>
      <c r="V1735" s="25"/>
      <c r="W1735" s="25"/>
      <c r="X1735" s="25"/>
      <c r="Y1735" s="25"/>
      <c r="Z1735" s="25"/>
      <c r="AA1735" s="25"/>
      <c r="AB1735" s="25"/>
      <c r="AC1735" s="25"/>
      <c r="AD1735" s="25"/>
      <c r="AE1735" s="25"/>
      <c r="AF1735" s="25"/>
      <c r="AG1735" s="25"/>
      <c r="AH1735" s="25"/>
      <c r="AI1735" s="25"/>
      <c r="AJ1735" s="25"/>
      <c r="AK1735" s="25"/>
      <c r="AL1735" s="25"/>
      <c r="AM1735" s="25"/>
      <c r="AN1735" s="25"/>
      <c r="AO1735" s="25"/>
      <c r="AP1735" s="25"/>
      <c r="AQ1735" s="25"/>
      <c r="AR1735" s="25"/>
      <c r="AS1735" s="25"/>
      <c r="AT1735" s="25"/>
      <c r="AU1735" s="25"/>
      <c r="AV1735" s="25"/>
      <c r="AW1735" s="25"/>
      <c r="AX1735" s="25"/>
      <c r="AY1735" s="25"/>
      <c r="AZ1735" s="25"/>
      <c r="BA1735" s="25"/>
      <c r="BB1735" s="25"/>
      <c r="BC1735" s="25"/>
      <c r="BD1735" s="25"/>
      <c r="BE1735" s="25"/>
      <c r="BF1735" s="25"/>
      <c r="BG1735" s="25"/>
      <c r="BH1735" s="25"/>
      <c r="BI1735" s="25"/>
      <c r="BJ1735" s="25"/>
      <c r="BK1735" s="25"/>
      <c r="BL1735" s="25"/>
      <c r="BM1735" s="25"/>
      <c r="BN1735" s="25"/>
      <c r="BO1735" s="25"/>
      <c r="BP1735" s="25"/>
      <c r="BQ1735" s="25"/>
      <c r="BR1735" s="25"/>
      <c r="BS1735" s="25"/>
      <c r="BT1735" s="25"/>
      <c r="BU1735" s="25"/>
      <c r="BV1735" s="25"/>
      <c r="BW1735" s="25"/>
      <c r="BX1735" s="25"/>
      <c r="BY1735" s="25"/>
      <c r="BZ1735" s="25"/>
      <c r="CA1735" s="25"/>
      <c r="CB1735" s="25"/>
    </row>
    <row r="1736" spans="1:80" ht="12.75" customHeight="1">
      <c r="A1736" s="10">
        <f ca="1">IFERROR(__xludf.DUMMYFUNCTION("""COMPUTED_VALUE"""),2023)</f>
        <v>2023</v>
      </c>
      <c r="B1736" s="50">
        <f ca="1">IFERROR(__xludf.DUMMYFUNCTION("""COMPUTED_VALUE"""),45557)</f>
        <v>45557</v>
      </c>
      <c r="C1736" s="41"/>
      <c r="D1736" s="42" t="str">
        <f ca="1">IFERROR(__xludf.DUMMYFUNCTION("""COMPUTED_VALUE"""),"Yellow Wagtail [Blue-headed]")</f>
        <v>Yellow Wagtail [Blue-headed]</v>
      </c>
      <c r="E1736" s="53">
        <f ca="1">IFERROR(__xludf.DUMMYFUNCTION("""COMPUTED_VALUE"""),1)</f>
        <v>1</v>
      </c>
      <c r="F1736" s="15"/>
      <c r="G1736" s="44" t="str">
        <f ca="1">IFERROR(__xludf.DUMMYFUNCTION("""COMPUTED_VALUE"""),"Burton Mere Wetlands RSPB")</f>
        <v>Burton Mere Wetlands RSPB</v>
      </c>
      <c r="H1736" s="12">
        <f ca="1">IFERROR(__xludf.DUMMYFUNCTION("""COMPUTED_VALUE"""),45041)</f>
        <v>45041</v>
      </c>
      <c r="I1736" s="13"/>
      <c r="J1736" s="14"/>
      <c r="K1736" s="15"/>
      <c r="L1736" s="17" t="str">
        <f ca="1">IFERROR(__xludf.DUMMYFUNCTION("""COMPUTED_VALUE"""),"limbo")</f>
        <v>limbo</v>
      </c>
      <c r="M1736" s="17"/>
      <c r="N1736" s="15" t="str">
        <f ca="1">IFERROR(__xludf.DUMMYFUNCTION("""COMPUTED_VALUE"""),"not submitted")</f>
        <v>not submitted</v>
      </c>
      <c r="O1736" s="18" t="str">
        <f ca="1">IFERROR(__xludf.DUMMYFUNCTION("""COMPUTED_VALUE"""),"publish as Blue-headed/Channel")</f>
        <v>publish as Blue-headed/Channel</v>
      </c>
      <c r="P1736" s="15"/>
      <c r="Q1736" s="15"/>
      <c r="R1736" s="15"/>
      <c r="S1736" s="15"/>
      <c r="T1736" s="15"/>
      <c r="U1736" s="15"/>
      <c r="V1736" s="15"/>
      <c r="W1736" s="15"/>
      <c r="X1736" s="15"/>
      <c r="Y1736" s="15"/>
      <c r="Z1736" s="15"/>
      <c r="AA1736" s="15"/>
      <c r="AB1736" s="15"/>
      <c r="AC1736" s="15"/>
      <c r="AD1736" s="15"/>
      <c r="AE1736" s="15"/>
      <c r="AF1736" s="15"/>
      <c r="AG1736" s="15"/>
      <c r="AH1736" s="15"/>
      <c r="AI1736" s="15"/>
      <c r="AJ1736" s="15"/>
      <c r="AK1736" s="15"/>
      <c r="AL1736" s="15"/>
      <c r="AM1736" s="15"/>
      <c r="AN1736" s="15"/>
      <c r="AO1736" s="15"/>
      <c r="AP1736" s="15"/>
      <c r="AQ1736" s="15"/>
      <c r="AR1736" s="15"/>
      <c r="AS1736" s="15"/>
      <c r="AT1736" s="15"/>
      <c r="AU1736" s="15"/>
      <c r="AV1736" s="15"/>
      <c r="AW1736" s="15"/>
      <c r="AX1736" s="15"/>
      <c r="AY1736" s="15"/>
      <c r="AZ1736" s="15"/>
      <c r="BA1736" s="15"/>
      <c r="BB1736" s="15"/>
      <c r="BC1736" s="15"/>
      <c r="BD1736" s="15"/>
      <c r="BE1736" s="15"/>
      <c r="BF1736" s="15"/>
      <c r="BG1736" s="15"/>
      <c r="BH1736" s="15"/>
      <c r="BI1736" s="15"/>
      <c r="BJ1736" s="15"/>
      <c r="BK1736" s="15"/>
      <c r="BL1736" s="15"/>
      <c r="BM1736" s="15"/>
      <c r="BN1736" s="15"/>
      <c r="BO1736" s="15"/>
      <c r="BP1736" s="15"/>
      <c r="BQ1736" s="15"/>
      <c r="BR1736" s="15"/>
      <c r="BS1736" s="15"/>
      <c r="BT1736" s="15"/>
      <c r="BU1736" s="15"/>
      <c r="BV1736" s="15"/>
      <c r="BW1736" s="15"/>
      <c r="BX1736" s="15"/>
      <c r="BY1736" s="15"/>
      <c r="BZ1736" s="15"/>
      <c r="CA1736" s="15"/>
      <c r="CB1736" s="15"/>
    </row>
    <row r="1737" spans="1:80" ht="12.75" customHeight="1">
      <c r="A1737" s="20">
        <f ca="1">IFERROR(__xludf.DUMMYFUNCTION("""COMPUTED_VALUE"""),2023)</f>
        <v>2023</v>
      </c>
      <c r="B1737" s="45">
        <f ca="1">IFERROR(__xludf.DUMMYFUNCTION("""COMPUTED_VALUE"""),45557)</f>
        <v>45557</v>
      </c>
      <c r="C1737" s="46"/>
      <c r="D1737" s="47" t="str">
        <f ca="1">IFERROR(__xludf.DUMMYFUNCTION("""COMPUTED_VALUE"""),"Yellow Wagtail [Blue-headed]")</f>
        <v>Yellow Wagtail [Blue-headed]</v>
      </c>
      <c r="E1737" s="52">
        <f ca="1">IFERROR(__xludf.DUMMYFUNCTION("""COMPUTED_VALUE"""),1)</f>
        <v>1</v>
      </c>
      <c r="F1737" s="25"/>
      <c r="G1737" s="48" t="str">
        <f ca="1">IFERROR(__xludf.DUMMYFUNCTION("""COMPUTED_VALUE"""),"Leasowe")</f>
        <v>Leasowe</v>
      </c>
      <c r="H1737" s="22">
        <f ca="1">IFERROR(__xludf.DUMMYFUNCTION("""COMPUTED_VALUE"""),45041)</f>
        <v>45041</v>
      </c>
      <c r="I1737" s="23"/>
      <c r="J1737" s="24"/>
      <c r="K1737" s="25"/>
      <c r="L1737" s="27" t="str">
        <f ca="1">IFERROR(__xludf.DUMMYFUNCTION("""COMPUTED_VALUE"""),"limbo")</f>
        <v>limbo</v>
      </c>
      <c r="M1737" s="27"/>
      <c r="N1737" s="25" t="str">
        <f ca="1">IFERROR(__xludf.DUMMYFUNCTION("""COMPUTED_VALUE"""),"not submitted")</f>
        <v>not submitted</v>
      </c>
      <c r="O1737" s="28" t="str">
        <f ca="1">IFERROR(__xludf.DUMMYFUNCTION("""COMPUTED_VALUE"""),"publish as Blue-headed/Channel")</f>
        <v>publish as Blue-headed/Channel</v>
      </c>
      <c r="P1737" s="25"/>
      <c r="Q1737" s="25"/>
      <c r="R1737" s="25"/>
      <c r="S1737" s="25"/>
      <c r="T1737" s="25"/>
      <c r="U1737" s="25"/>
      <c r="V1737" s="25"/>
      <c r="W1737" s="25"/>
      <c r="X1737" s="25"/>
      <c r="Y1737" s="25"/>
      <c r="Z1737" s="25"/>
      <c r="AA1737" s="25"/>
      <c r="AB1737" s="25"/>
      <c r="AC1737" s="25"/>
      <c r="AD1737" s="25"/>
      <c r="AE1737" s="25"/>
      <c r="AF1737" s="25"/>
      <c r="AG1737" s="25"/>
      <c r="AH1737" s="25"/>
      <c r="AI1737" s="25"/>
      <c r="AJ1737" s="25"/>
      <c r="AK1737" s="25"/>
      <c r="AL1737" s="25"/>
      <c r="AM1737" s="25"/>
      <c r="AN1737" s="25"/>
      <c r="AO1737" s="25"/>
      <c r="AP1737" s="25"/>
      <c r="AQ1737" s="25"/>
      <c r="AR1737" s="25"/>
      <c r="AS1737" s="25"/>
      <c r="AT1737" s="25"/>
      <c r="AU1737" s="25"/>
      <c r="AV1737" s="25"/>
      <c r="AW1737" s="25"/>
      <c r="AX1737" s="25"/>
      <c r="AY1737" s="25"/>
      <c r="AZ1737" s="25"/>
      <c r="BA1737" s="25"/>
      <c r="BB1737" s="25"/>
      <c r="BC1737" s="25"/>
      <c r="BD1737" s="25"/>
      <c r="BE1737" s="25"/>
      <c r="BF1737" s="25"/>
      <c r="BG1737" s="25"/>
      <c r="BH1737" s="25"/>
      <c r="BI1737" s="25"/>
      <c r="BJ1737" s="25"/>
      <c r="BK1737" s="25"/>
      <c r="BL1737" s="25"/>
      <c r="BM1737" s="25"/>
      <c r="BN1737" s="25"/>
      <c r="BO1737" s="25"/>
      <c r="BP1737" s="25"/>
      <c r="BQ1737" s="25"/>
      <c r="BR1737" s="25"/>
      <c r="BS1737" s="25"/>
      <c r="BT1737" s="25"/>
      <c r="BU1737" s="25"/>
      <c r="BV1737" s="25"/>
      <c r="BW1737" s="25"/>
      <c r="BX1737" s="25"/>
      <c r="BY1737" s="25"/>
      <c r="BZ1737" s="25"/>
      <c r="CA1737" s="25"/>
      <c r="CB1737" s="25"/>
    </row>
    <row r="1738" spans="1:80" ht="12.75" customHeight="1">
      <c r="A1738" s="10">
        <f ca="1">IFERROR(__xludf.DUMMYFUNCTION("""COMPUTED_VALUE"""),2023)</f>
        <v>2023</v>
      </c>
      <c r="B1738" s="50">
        <f ca="1">IFERROR(__xludf.DUMMYFUNCTION("""COMPUTED_VALUE"""),45557)</f>
        <v>45557</v>
      </c>
      <c r="C1738" s="41"/>
      <c r="D1738" s="42" t="str">
        <f ca="1">IFERROR(__xludf.DUMMYFUNCTION("""COMPUTED_VALUE"""),"Yellow Wagtail [Blue-headed]")</f>
        <v>Yellow Wagtail [Blue-headed]</v>
      </c>
      <c r="E1738" s="53">
        <f ca="1">IFERROR(__xludf.DUMMYFUNCTION("""COMPUTED_VALUE"""),1)</f>
        <v>1</v>
      </c>
      <c r="F1738" s="15"/>
      <c r="G1738" s="44" t="str">
        <f ca="1">IFERROR(__xludf.DUMMYFUNCTION("""COMPUTED_VALUE"""),"Hale")</f>
        <v>Hale</v>
      </c>
      <c r="H1738" s="12">
        <f ca="1">IFERROR(__xludf.DUMMYFUNCTION("""COMPUTED_VALUE"""),45060)</f>
        <v>45060</v>
      </c>
      <c r="I1738" s="13"/>
      <c r="J1738" s="14"/>
      <c r="K1738" s="15"/>
      <c r="L1738" s="17" t="str">
        <f ca="1">IFERROR(__xludf.DUMMYFUNCTION("""COMPUTED_VALUE"""),"limbo")</f>
        <v>limbo</v>
      </c>
      <c r="M1738" s="17"/>
      <c r="N1738" s="15" t="str">
        <f ca="1">IFERROR(__xludf.DUMMYFUNCTION("""COMPUTED_VALUE"""),"not submitted")</f>
        <v>not submitted</v>
      </c>
      <c r="O1738" s="18" t="str">
        <f ca="1">IFERROR(__xludf.DUMMYFUNCTION("""COMPUTED_VALUE"""),"publish as Blue-headed/Channel")</f>
        <v>publish as Blue-headed/Channel</v>
      </c>
      <c r="P1738" s="15"/>
      <c r="Q1738" s="15"/>
      <c r="R1738" s="15"/>
      <c r="S1738" s="15"/>
      <c r="T1738" s="15"/>
      <c r="U1738" s="15"/>
      <c r="V1738" s="15"/>
      <c r="W1738" s="15"/>
      <c r="X1738" s="15"/>
      <c r="Y1738" s="15"/>
      <c r="Z1738" s="15"/>
      <c r="AA1738" s="15"/>
      <c r="AB1738" s="15"/>
      <c r="AC1738" s="15"/>
      <c r="AD1738" s="15"/>
      <c r="AE1738" s="15"/>
      <c r="AF1738" s="15"/>
      <c r="AG1738" s="15"/>
      <c r="AH1738" s="15"/>
      <c r="AI1738" s="15"/>
      <c r="AJ1738" s="15"/>
      <c r="AK1738" s="15"/>
      <c r="AL1738" s="15"/>
      <c r="AM1738" s="15"/>
      <c r="AN1738" s="15"/>
      <c r="AO1738" s="15"/>
      <c r="AP1738" s="15"/>
      <c r="AQ1738" s="15"/>
      <c r="AR1738" s="15"/>
      <c r="AS1738" s="15"/>
      <c r="AT1738" s="15"/>
      <c r="AU1738" s="15"/>
      <c r="AV1738" s="15"/>
      <c r="AW1738" s="15"/>
      <c r="AX1738" s="15"/>
      <c r="AY1738" s="15"/>
      <c r="AZ1738" s="15"/>
      <c r="BA1738" s="15"/>
      <c r="BB1738" s="15"/>
      <c r="BC1738" s="15"/>
      <c r="BD1738" s="15"/>
      <c r="BE1738" s="15"/>
      <c r="BF1738" s="15"/>
      <c r="BG1738" s="15"/>
      <c r="BH1738" s="15"/>
      <c r="BI1738" s="15"/>
      <c r="BJ1738" s="15"/>
      <c r="BK1738" s="15"/>
      <c r="BL1738" s="15"/>
      <c r="BM1738" s="15"/>
      <c r="BN1738" s="15"/>
      <c r="BO1738" s="15"/>
      <c r="BP1738" s="15"/>
      <c r="BQ1738" s="15"/>
      <c r="BR1738" s="15"/>
      <c r="BS1738" s="15"/>
      <c r="BT1738" s="15"/>
      <c r="BU1738" s="15"/>
      <c r="BV1738" s="15"/>
      <c r="BW1738" s="15"/>
      <c r="BX1738" s="15"/>
      <c r="BY1738" s="15"/>
      <c r="BZ1738" s="15"/>
      <c r="CA1738" s="15"/>
      <c r="CB1738" s="15"/>
    </row>
    <row r="1739" spans="1:80" ht="12.75" customHeight="1">
      <c r="A1739" s="20">
        <f ca="1">IFERROR(__xludf.DUMMYFUNCTION("""COMPUTED_VALUE"""),2023)</f>
        <v>2023</v>
      </c>
      <c r="B1739" s="45">
        <f ca="1">IFERROR(__xludf.DUMMYFUNCTION("""COMPUTED_VALUE"""),45523)</f>
        <v>45523</v>
      </c>
      <c r="C1739" s="46"/>
      <c r="D1739" s="47" t="str">
        <f ca="1">IFERROR(__xludf.DUMMYFUNCTION("""COMPUTED_VALUE"""),"Citrine Wagtail")</f>
        <v>Citrine Wagtail</v>
      </c>
      <c r="E1739" s="52">
        <f ca="1">IFERROR(__xludf.DUMMYFUNCTION("""COMPUTED_VALUE"""),1)</f>
        <v>1</v>
      </c>
      <c r="F1739" s="25" t="str">
        <f ca="1">IFERROR(__xludf.DUMMYFUNCTION("""COMPUTED_VALUE"""),"juv")</f>
        <v>juv</v>
      </c>
      <c r="G1739" s="48" t="str">
        <f ca="1">IFERROR(__xludf.DUMMYFUNCTION("""COMPUTED_VALUE"""),"Meols Promenade")</f>
        <v>Meols Promenade</v>
      </c>
      <c r="H1739" s="22">
        <f ca="1">IFERROR(__xludf.DUMMYFUNCTION("""COMPUTED_VALUE"""),45161)</f>
        <v>45161</v>
      </c>
      <c r="I1739" s="23"/>
      <c r="J1739" s="24" t="str">
        <f ca="1">IFERROR(__xludf.DUMMYFUNCTION("""COMPUTED_VALUE"""),"Graham Connolley")</f>
        <v>Graham Connolley</v>
      </c>
      <c r="K1739" s="25" t="str">
        <f ca="1">IFERROR(__xludf.DUMMYFUNCTION("""COMPUTED_VALUE"""),"Graham Connolley")</f>
        <v>Graham Connolley</v>
      </c>
      <c r="L1739" s="27" t="str">
        <f ca="1">IFERROR(__xludf.DUMMYFUNCTION("""COMPUTED_VALUE"""),"closed")</f>
        <v>closed</v>
      </c>
      <c r="M1739" s="27" t="str">
        <f ca="1">IFERROR(__xludf.DUMMYFUNCTION("""COMPUTED_VALUE"""),"1st U")</f>
        <v>1st U</v>
      </c>
      <c r="N1739" s="25" t="str">
        <f ca="1">IFERROR(__xludf.DUMMYFUNCTION("""COMPUTED_VALUE"""),"Accepted")</f>
        <v>Accepted</v>
      </c>
      <c r="O1739" s="28" t="str">
        <f ca="1">IFERROR(__xludf.DUMMYFUNCTION("""COMPUTED_VALUE"""),"at least one")</f>
        <v>at least one</v>
      </c>
      <c r="P1739" s="25"/>
      <c r="Q1739" s="25"/>
      <c r="R1739" s="25"/>
      <c r="S1739" s="25"/>
      <c r="T1739" s="25"/>
      <c r="U1739" s="25"/>
      <c r="V1739" s="25"/>
      <c r="W1739" s="25"/>
      <c r="X1739" s="25"/>
      <c r="Y1739" s="25"/>
      <c r="Z1739" s="25"/>
      <c r="AA1739" s="25"/>
      <c r="AB1739" s="25"/>
      <c r="AC1739" s="25"/>
      <c r="AD1739" s="25"/>
      <c r="AE1739" s="25"/>
      <c r="AF1739" s="25"/>
      <c r="AG1739" s="25"/>
      <c r="AH1739" s="25"/>
      <c r="AI1739" s="25"/>
      <c r="AJ1739" s="25"/>
      <c r="AK1739" s="25"/>
      <c r="AL1739" s="25"/>
      <c r="AM1739" s="25"/>
      <c r="AN1739" s="25"/>
      <c r="AO1739" s="25"/>
      <c r="AP1739" s="25"/>
      <c r="AQ1739" s="25"/>
      <c r="AR1739" s="25"/>
      <c r="AS1739" s="25"/>
      <c r="AT1739" s="25"/>
      <c r="AU1739" s="25"/>
      <c r="AV1739" s="25"/>
      <c r="AW1739" s="25"/>
      <c r="AX1739" s="25"/>
      <c r="AY1739" s="25"/>
      <c r="AZ1739" s="25"/>
      <c r="BA1739" s="25"/>
      <c r="BB1739" s="25"/>
      <c r="BC1739" s="25"/>
      <c r="BD1739" s="25"/>
      <c r="BE1739" s="25"/>
      <c r="BF1739" s="25"/>
      <c r="BG1739" s="25"/>
      <c r="BH1739" s="25"/>
      <c r="BI1739" s="25"/>
      <c r="BJ1739" s="25"/>
      <c r="BK1739" s="25"/>
      <c r="BL1739" s="25"/>
      <c r="BM1739" s="25"/>
      <c r="BN1739" s="25"/>
      <c r="BO1739" s="25"/>
      <c r="BP1739" s="25"/>
      <c r="BQ1739" s="25"/>
      <c r="BR1739" s="25"/>
      <c r="BS1739" s="25"/>
      <c r="BT1739" s="25"/>
      <c r="BU1739" s="25"/>
      <c r="BV1739" s="25"/>
      <c r="BW1739" s="25"/>
      <c r="BX1739" s="25"/>
      <c r="BY1739" s="25"/>
      <c r="BZ1739" s="25"/>
      <c r="CA1739" s="25"/>
      <c r="CB1739" s="25"/>
    </row>
    <row r="1740" spans="1:80" ht="12.75" customHeight="1">
      <c r="A1740" s="10">
        <f ca="1">IFERROR(__xludf.DUMMYFUNCTION("""COMPUTED_VALUE"""),2023)</f>
        <v>2023</v>
      </c>
      <c r="B1740" s="50">
        <f ca="1">IFERROR(__xludf.DUMMYFUNCTION("""COMPUTED_VALUE"""),45557)</f>
        <v>45557</v>
      </c>
      <c r="C1740" s="41">
        <f ca="1">IFERROR(__xludf.DUMMYFUNCTION("""COMPUTED_VALUE"""),45557)</f>
        <v>45557</v>
      </c>
      <c r="D1740" s="42" t="str">
        <f ca="1">IFERROR(__xludf.DUMMYFUNCTION("""COMPUTED_VALUE"""),"Richard's Pipit")</f>
        <v>Richard's Pipit</v>
      </c>
      <c r="E1740" s="53">
        <f ca="1">IFERROR(__xludf.DUMMYFUNCTION("""COMPUTED_VALUE"""),1)</f>
        <v>1</v>
      </c>
      <c r="F1740" s="15"/>
      <c r="G1740" s="44" t="str">
        <f ca="1">IFERROR(__xludf.DUMMYFUNCTION("""COMPUTED_VALUE"""),"Leasowe")</f>
        <v>Leasowe</v>
      </c>
      <c r="H1740" s="12">
        <f ca="1">IFERROR(__xludf.DUMMYFUNCTION("""COMPUTED_VALUE"""),45225)</f>
        <v>45225</v>
      </c>
      <c r="I1740" s="13"/>
      <c r="J1740" s="14" t="str">
        <f ca="1">IFERROR(__xludf.DUMMYFUNCTION("""COMPUTED_VALUE"""),"County recorder")</f>
        <v>County recorder</v>
      </c>
      <c r="K1740" s="15" t="str">
        <f ca="1">IFERROR(__xludf.DUMMYFUNCTION("""COMPUTED_VALUE"""),"Allan Conlin")</f>
        <v>Allan Conlin</v>
      </c>
      <c r="L1740" s="17" t="str">
        <f ca="1">IFERROR(__xludf.DUMMYFUNCTION("""COMPUTED_VALUE"""),"closed")</f>
        <v>closed</v>
      </c>
      <c r="M1740" s="17" t="str">
        <f ca="1">IFERROR(__xludf.DUMMYFUNCTION("""COMPUTED_VALUE"""),"1st U")</f>
        <v>1st U</v>
      </c>
      <c r="N1740" s="15" t="str">
        <f ca="1">IFERROR(__xludf.DUMMYFUNCTION("""COMPUTED_VALUE"""),"Accepted")</f>
        <v>Accepted</v>
      </c>
      <c r="O1740" s="18"/>
      <c r="P1740" s="15"/>
      <c r="Q1740" s="15"/>
      <c r="R1740" s="15"/>
      <c r="S1740" s="15"/>
      <c r="T1740" s="15"/>
      <c r="U1740" s="15"/>
      <c r="V1740" s="15"/>
      <c r="W1740" s="15"/>
      <c r="X1740" s="15"/>
      <c r="Y1740" s="15"/>
      <c r="Z1740" s="15"/>
      <c r="AA1740" s="15"/>
      <c r="AB1740" s="15"/>
      <c r="AC1740" s="15"/>
      <c r="AD1740" s="15"/>
      <c r="AE1740" s="15"/>
      <c r="AF1740" s="15"/>
      <c r="AG1740" s="15"/>
      <c r="AH1740" s="15"/>
      <c r="AI1740" s="15"/>
      <c r="AJ1740" s="15"/>
      <c r="AK1740" s="15"/>
      <c r="AL1740" s="15"/>
      <c r="AM1740" s="15"/>
      <c r="AN1740" s="15"/>
      <c r="AO1740" s="15"/>
      <c r="AP1740" s="15"/>
      <c r="AQ1740" s="15"/>
      <c r="AR1740" s="15"/>
      <c r="AS1740" s="15"/>
      <c r="AT1740" s="15"/>
      <c r="AU1740" s="15"/>
      <c r="AV1740" s="15"/>
      <c r="AW1740" s="15"/>
      <c r="AX1740" s="15"/>
      <c r="AY1740" s="15"/>
      <c r="AZ1740" s="15"/>
      <c r="BA1740" s="15"/>
      <c r="BB1740" s="15"/>
      <c r="BC1740" s="15"/>
      <c r="BD1740" s="15"/>
      <c r="BE1740" s="15"/>
      <c r="BF1740" s="15"/>
      <c r="BG1740" s="15"/>
      <c r="BH1740" s="15"/>
      <c r="BI1740" s="15"/>
      <c r="BJ1740" s="15"/>
      <c r="BK1740" s="15"/>
      <c r="BL1740" s="15"/>
      <c r="BM1740" s="15"/>
      <c r="BN1740" s="15"/>
      <c r="BO1740" s="15"/>
      <c r="BP1740" s="15"/>
      <c r="BQ1740" s="15"/>
      <c r="BR1740" s="15"/>
      <c r="BS1740" s="15"/>
      <c r="BT1740" s="15"/>
      <c r="BU1740" s="15"/>
      <c r="BV1740" s="15"/>
      <c r="BW1740" s="15"/>
      <c r="BX1740" s="15"/>
      <c r="BY1740" s="15"/>
      <c r="BZ1740" s="15"/>
      <c r="CA1740" s="15"/>
      <c r="CB1740" s="15"/>
    </row>
    <row r="1741" spans="1:80" ht="12.75" customHeight="1">
      <c r="A1741" s="20">
        <f ca="1">IFERROR(__xludf.DUMMYFUNCTION("""COMPUTED_VALUE"""),2023)</f>
        <v>2023</v>
      </c>
      <c r="B1741" s="45">
        <f ca="1">IFERROR(__xludf.DUMMYFUNCTION("""COMPUTED_VALUE"""),45553)</f>
        <v>45553</v>
      </c>
      <c r="C1741" s="46"/>
      <c r="D1741" s="47" t="str">
        <f ca="1">IFERROR(__xludf.DUMMYFUNCTION("""COMPUTED_VALUE"""),"Common Redpoll")</f>
        <v>Common Redpoll</v>
      </c>
      <c r="E1741" s="52">
        <f ca="1">IFERROR(__xludf.DUMMYFUNCTION("""COMPUTED_VALUE"""),1)</f>
        <v>1</v>
      </c>
      <c r="F1741" s="25"/>
      <c r="G1741" s="48" t="str">
        <f ca="1">IFERROR(__xludf.DUMMYFUNCTION("""COMPUTED_VALUE"""),"Abbots Park, Chester, Cheshire West and Chester CH1 4AN")</f>
        <v>Abbots Park, Chester, Cheshire West and Chester CH1 4AN</v>
      </c>
      <c r="H1741" s="22">
        <f ca="1">IFERROR(__xludf.DUMMYFUNCTION("""COMPUTED_VALUE"""),44928)</f>
        <v>44928</v>
      </c>
      <c r="I1741" s="23"/>
      <c r="J1741" s="24"/>
      <c r="K1741" s="25"/>
      <c r="L1741" s="27" t="str">
        <f ca="1">IFERROR(__xludf.DUMMYFUNCTION("""COMPUTED_VALUE"""),"limbo")</f>
        <v>limbo</v>
      </c>
      <c r="M1741" s="27"/>
      <c r="N1741" s="25" t="str">
        <f ca="1">IFERROR(__xludf.DUMMYFUNCTION("""COMPUTED_VALUE"""),"not submitted")</f>
        <v>not submitted</v>
      </c>
      <c r="O1741" s="28" t="str">
        <f ca="1">IFERROR(__xludf.DUMMYFUNCTION("""COMPUTED_VALUE"""),"suspected entry error")</f>
        <v>suspected entry error</v>
      </c>
      <c r="P1741" s="25"/>
      <c r="Q1741" s="25"/>
      <c r="R1741" s="25"/>
      <c r="S1741" s="25"/>
      <c r="T1741" s="25"/>
      <c r="U1741" s="25"/>
      <c r="V1741" s="25"/>
      <c r="W1741" s="25"/>
      <c r="X1741" s="25"/>
      <c r="Y1741" s="25"/>
      <c r="Z1741" s="25"/>
      <c r="AA1741" s="25"/>
      <c r="AB1741" s="25"/>
      <c r="AC1741" s="25"/>
      <c r="AD1741" s="25"/>
      <c r="AE1741" s="25"/>
      <c r="AF1741" s="25"/>
      <c r="AG1741" s="25"/>
      <c r="AH1741" s="25"/>
      <c r="AI1741" s="25"/>
      <c r="AJ1741" s="25"/>
      <c r="AK1741" s="25"/>
      <c r="AL1741" s="25"/>
      <c r="AM1741" s="25"/>
      <c r="AN1741" s="25"/>
      <c r="AO1741" s="25"/>
      <c r="AP1741" s="25"/>
      <c r="AQ1741" s="25"/>
      <c r="AR1741" s="25"/>
      <c r="AS1741" s="25"/>
      <c r="AT1741" s="25"/>
      <c r="AU1741" s="25"/>
      <c r="AV1741" s="25"/>
      <c r="AW1741" s="25"/>
      <c r="AX1741" s="25"/>
      <c r="AY1741" s="25"/>
      <c r="AZ1741" s="25"/>
      <c r="BA1741" s="25"/>
      <c r="BB1741" s="25"/>
      <c r="BC1741" s="25"/>
      <c r="BD1741" s="25"/>
      <c r="BE1741" s="25"/>
      <c r="BF1741" s="25"/>
      <c r="BG1741" s="25"/>
      <c r="BH1741" s="25"/>
      <c r="BI1741" s="25"/>
      <c r="BJ1741" s="25"/>
      <c r="BK1741" s="25"/>
      <c r="BL1741" s="25"/>
      <c r="BM1741" s="25"/>
      <c r="BN1741" s="25"/>
      <c r="BO1741" s="25"/>
      <c r="BP1741" s="25"/>
      <c r="BQ1741" s="25"/>
      <c r="BR1741" s="25"/>
      <c r="BS1741" s="25"/>
      <c r="BT1741" s="25"/>
      <c r="BU1741" s="25"/>
      <c r="BV1741" s="25"/>
      <c r="BW1741" s="25"/>
      <c r="BX1741" s="25"/>
      <c r="BY1741" s="25"/>
      <c r="BZ1741" s="25"/>
      <c r="CA1741" s="25"/>
      <c r="CB1741" s="25"/>
    </row>
    <row r="1742" spans="1:80" ht="12.75" customHeight="1">
      <c r="A1742" s="10">
        <f ca="1">IFERROR(__xludf.DUMMYFUNCTION("""COMPUTED_VALUE"""),2023)</f>
        <v>2023</v>
      </c>
      <c r="B1742" s="50">
        <f ca="1">IFERROR(__xludf.DUMMYFUNCTION("""COMPUTED_VALUE"""),45553)</f>
        <v>45553</v>
      </c>
      <c r="C1742" s="41"/>
      <c r="D1742" s="42" t="str">
        <f ca="1">IFERROR(__xludf.DUMMYFUNCTION("""COMPUTED_VALUE"""),"Common Redpoll")</f>
        <v>Common Redpoll</v>
      </c>
      <c r="E1742" s="53">
        <f ca="1">IFERROR(__xludf.DUMMYFUNCTION("""COMPUTED_VALUE"""),1)</f>
        <v>1</v>
      </c>
      <c r="F1742" s="15"/>
      <c r="G1742" s="44" t="str">
        <f ca="1">IFERROR(__xludf.DUMMYFUNCTION("""COMPUTED_VALUE"""),"Gowy Meadows")</f>
        <v>Gowy Meadows</v>
      </c>
      <c r="H1742" s="12">
        <f ca="1">IFERROR(__xludf.DUMMYFUNCTION("""COMPUTED_VALUE"""),44928)</f>
        <v>44928</v>
      </c>
      <c r="I1742" s="13"/>
      <c r="J1742" s="14"/>
      <c r="K1742" s="15"/>
      <c r="L1742" s="17" t="str">
        <f ca="1">IFERROR(__xludf.DUMMYFUNCTION("""COMPUTED_VALUE"""),"limbo")</f>
        <v>limbo</v>
      </c>
      <c r="M1742" s="17"/>
      <c r="N1742" s="15" t="str">
        <f ca="1">IFERROR(__xludf.DUMMYFUNCTION("""COMPUTED_VALUE"""),"not submitted")</f>
        <v>not submitted</v>
      </c>
      <c r="O1742" s="18"/>
      <c r="P1742" s="15"/>
      <c r="Q1742" s="15"/>
      <c r="R1742" s="15"/>
      <c r="S1742" s="15"/>
      <c r="T1742" s="15"/>
      <c r="U1742" s="15"/>
      <c r="V1742" s="15"/>
      <c r="W1742" s="15"/>
      <c r="X1742" s="15"/>
      <c r="Y1742" s="15"/>
      <c r="Z1742" s="15"/>
      <c r="AA1742" s="15"/>
      <c r="AB1742" s="15"/>
      <c r="AC1742" s="15"/>
      <c r="AD1742" s="15"/>
      <c r="AE1742" s="15"/>
      <c r="AF1742" s="15"/>
      <c r="AG1742" s="15"/>
      <c r="AH1742" s="15"/>
      <c r="AI1742" s="15"/>
      <c r="AJ1742" s="15"/>
      <c r="AK1742" s="15"/>
      <c r="AL1742" s="15"/>
      <c r="AM1742" s="15"/>
      <c r="AN1742" s="15"/>
      <c r="AO1742" s="15"/>
      <c r="AP1742" s="15"/>
      <c r="AQ1742" s="15"/>
      <c r="AR1742" s="15"/>
      <c r="AS1742" s="15"/>
      <c r="AT1742" s="15"/>
      <c r="AU1742" s="15"/>
      <c r="AV1742" s="15"/>
      <c r="AW1742" s="15"/>
      <c r="AX1742" s="15"/>
      <c r="AY1742" s="15"/>
      <c r="AZ1742" s="15"/>
      <c r="BA1742" s="15"/>
      <c r="BB1742" s="15"/>
      <c r="BC1742" s="15"/>
      <c r="BD1742" s="15"/>
      <c r="BE1742" s="15"/>
      <c r="BF1742" s="15"/>
      <c r="BG1742" s="15"/>
      <c r="BH1742" s="15"/>
      <c r="BI1742" s="15"/>
      <c r="BJ1742" s="15"/>
      <c r="BK1742" s="15"/>
      <c r="BL1742" s="15"/>
      <c r="BM1742" s="15"/>
      <c r="BN1742" s="15"/>
      <c r="BO1742" s="15"/>
      <c r="BP1742" s="15"/>
      <c r="BQ1742" s="15"/>
      <c r="BR1742" s="15"/>
      <c r="BS1742" s="15"/>
      <c r="BT1742" s="15"/>
      <c r="BU1742" s="15"/>
      <c r="BV1742" s="15"/>
      <c r="BW1742" s="15"/>
      <c r="BX1742" s="15"/>
      <c r="BY1742" s="15"/>
      <c r="BZ1742" s="15"/>
      <c r="CA1742" s="15"/>
      <c r="CB1742" s="15"/>
    </row>
    <row r="1743" spans="1:80" ht="12.75" customHeight="1">
      <c r="A1743" s="20">
        <f ca="1">IFERROR(__xludf.DUMMYFUNCTION("""COMPUTED_VALUE"""),2023)</f>
        <v>2023</v>
      </c>
      <c r="B1743" s="45">
        <f ca="1">IFERROR(__xludf.DUMMYFUNCTION("""COMPUTED_VALUE"""),45555)</f>
        <v>45555</v>
      </c>
      <c r="C1743" s="46"/>
      <c r="D1743" s="47" t="str">
        <f ca="1">IFERROR(__xludf.DUMMYFUNCTION("""COMPUTED_VALUE"""),"Lapland Bunting")</f>
        <v>Lapland Bunting</v>
      </c>
      <c r="E1743" s="52">
        <f ca="1">IFERROR(__xludf.DUMMYFUNCTION("""COMPUTED_VALUE"""),1)</f>
        <v>1</v>
      </c>
      <c r="F1743" s="25"/>
      <c r="G1743" s="48" t="str">
        <f ca="1">IFERROR(__xludf.DUMMYFUNCTION("""COMPUTED_VALUE"""),"Hilbre")</f>
        <v>Hilbre</v>
      </c>
      <c r="H1743" s="22">
        <f ca="1">IFERROR(__xludf.DUMMYFUNCTION("""COMPUTED_VALUE"""),44983)</f>
        <v>44983</v>
      </c>
      <c r="I1743" s="23"/>
      <c r="J1743" s="24"/>
      <c r="K1743" s="25"/>
      <c r="L1743" s="27" t="str">
        <f ca="1">IFERROR(__xludf.DUMMYFUNCTION("""COMPUTED_VALUE"""),"limbo")</f>
        <v>limbo</v>
      </c>
      <c r="M1743" s="27"/>
      <c r="N1743" s="25" t="str">
        <f ca="1">IFERROR(__xludf.DUMMYFUNCTION("""COMPUTED_VALUE"""),"not submitted")</f>
        <v>not submitted</v>
      </c>
      <c r="O1743" s="28" t="str">
        <f ca="1">IFERROR(__xludf.DUMMYFUNCTION("""COMPUTED_VALUE"""),"Birdguides, would be exempted if observer identified themselves")</f>
        <v>Birdguides, would be exempted if observer identified themselves</v>
      </c>
      <c r="P1743" s="25"/>
      <c r="Q1743" s="25"/>
      <c r="R1743" s="25"/>
      <c r="S1743" s="25"/>
      <c r="T1743" s="25"/>
      <c r="U1743" s="25"/>
      <c r="V1743" s="25"/>
      <c r="W1743" s="25"/>
      <c r="X1743" s="25"/>
      <c r="Y1743" s="25"/>
      <c r="Z1743" s="25"/>
      <c r="AA1743" s="25"/>
      <c r="AB1743" s="25"/>
      <c r="AC1743" s="25"/>
      <c r="AD1743" s="25"/>
      <c r="AE1743" s="25"/>
      <c r="AF1743" s="25"/>
      <c r="AG1743" s="25"/>
      <c r="AH1743" s="25"/>
      <c r="AI1743" s="25"/>
      <c r="AJ1743" s="25"/>
      <c r="AK1743" s="25"/>
      <c r="AL1743" s="25"/>
      <c r="AM1743" s="25"/>
      <c r="AN1743" s="25"/>
      <c r="AO1743" s="25"/>
      <c r="AP1743" s="25"/>
      <c r="AQ1743" s="25"/>
      <c r="AR1743" s="25"/>
      <c r="AS1743" s="25"/>
      <c r="AT1743" s="25"/>
      <c r="AU1743" s="25"/>
      <c r="AV1743" s="25"/>
      <c r="AW1743" s="25"/>
      <c r="AX1743" s="25"/>
      <c r="AY1743" s="25"/>
      <c r="AZ1743" s="25"/>
      <c r="BA1743" s="25"/>
      <c r="BB1743" s="25"/>
      <c r="BC1743" s="25"/>
      <c r="BD1743" s="25"/>
      <c r="BE1743" s="25"/>
      <c r="BF1743" s="25"/>
      <c r="BG1743" s="25"/>
      <c r="BH1743" s="25"/>
      <c r="BI1743" s="25"/>
      <c r="BJ1743" s="25"/>
      <c r="BK1743" s="25"/>
      <c r="BL1743" s="25"/>
      <c r="BM1743" s="25"/>
      <c r="BN1743" s="25"/>
      <c r="BO1743" s="25"/>
      <c r="BP1743" s="25"/>
      <c r="BQ1743" s="25"/>
      <c r="BR1743" s="25"/>
      <c r="BS1743" s="25"/>
      <c r="BT1743" s="25"/>
      <c r="BU1743" s="25"/>
      <c r="BV1743" s="25"/>
      <c r="BW1743" s="25"/>
      <c r="BX1743" s="25"/>
      <c r="BY1743" s="25"/>
      <c r="BZ1743" s="25"/>
      <c r="CA1743" s="25"/>
      <c r="CB1743" s="25"/>
    </row>
    <row r="1744" spans="1:80" ht="12.75" customHeight="1">
      <c r="A1744" s="10">
        <f ca="1">IFERROR(__xludf.DUMMYFUNCTION("""COMPUTED_VALUE"""),2023)</f>
        <v>2023</v>
      </c>
      <c r="B1744" s="50">
        <f ca="1">IFERROR(__xludf.DUMMYFUNCTION("""COMPUTED_VALUE"""),45555)</f>
        <v>45555</v>
      </c>
      <c r="C1744" s="41">
        <f ca="1">IFERROR(__xludf.DUMMYFUNCTION("""COMPUTED_VALUE"""),-611882)</f>
        <v>-611882</v>
      </c>
      <c r="D1744" s="42" t="str">
        <f ca="1">IFERROR(__xludf.DUMMYFUNCTION("""COMPUTED_VALUE"""),"Lapland Bunting")</f>
        <v>Lapland Bunting</v>
      </c>
      <c r="E1744" s="53">
        <f ca="1">IFERROR(__xludf.DUMMYFUNCTION("""COMPUTED_VALUE"""),1)</f>
        <v>1</v>
      </c>
      <c r="F1744" s="15"/>
      <c r="G1744" s="44" t="str">
        <f ca="1">IFERROR(__xludf.DUMMYFUNCTION("""COMPUTED_VALUE"""),"Neston Old Quay")</f>
        <v>Neston Old Quay</v>
      </c>
      <c r="H1744" s="12">
        <f ca="1">IFERROR(__xludf.DUMMYFUNCTION("""COMPUTED_VALUE"""),44988)</f>
        <v>44988</v>
      </c>
      <c r="I1744" s="13"/>
      <c r="J1744" s="14" t="str">
        <f ca="1">IFERROR(__xludf.DUMMYFUNCTION("""COMPUTED_VALUE"""),"Williams, Eddie")</f>
        <v>Williams, Eddie</v>
      </c>
      <c r="K1744" s="15" t="str">
        <f ca="1">IFERROR(__xludf.DUMMYFUNCTION("""COMPUTED_VALUE"""),"Williams, Eddie")</f>
        <v>Williams, Eddie</v>
      </c>
      <c r="L1744" s="17" t="str">
        <f ca="1">IFERROR(__xludf.DUMMYFUNCTION("""COMPUTED_VALUE"""),"closed")</f>
        <v>closed</v>
      </c>
      <c r="M1744" s="17" t="str">
        <f ca="1">IFERROR(__xludf.DUMMYFUNCTION("""COMPUTED_VALUE"""),"1st U")</f>
        <v>1st U</v>
      </c>
      <c r="N1744" s="15" t="str">
        <f ca="1">IFERROR(__xludf.DUMMYFUNCTION("""COMPUTED_VALUE"""),"Accepted")</f>
        <v>Accepted</v>
      </c>
      <c r="O1744" s="18"/>
      <c r="P1744" s="15"/>
      <c r="Q1744" s="15"/>
      <c r="R1744" s="15"/>
      <c r="S1744" s="15"/>
      <c r="T1744" s="15"/>
      <c r="U1744" s="15"/>
      <c r="V1744" s="15"/>
      <c r="W1744" s="15"/>
      <c r="X1744" s="15"/>
      <c r="Y1744" s="15"/>
      <c r="Z1744" s="15"/>
      <c r="AA1744" s="15"/>
      <c r="AB1744" s="15"/>
      <c r="AC1744" s="15"/>
      <c r="AD1744" s="15"/>
      <c r="AE1744" s="15"/>
      <c r="AF1744" s="15"/>
      <c r="AG1744" s="15"/>
      <c r="AH1744" s="15"/>
      <c r="AI1744" s="15"/>
      <c r="AJ1744" s="15"/>
      <c r="AK1744" s="15"/>
      <c r="AL1744" s="15"/>
      <c r="AM1744" s="15"/>
      <c r="AN1744" s="15"/>
      <c r="AO1744" s="15"/>
      <c r="AP1744" s="15"/>
      <c r="AQ1744" s="15"/>
      <c r="AR1744" s="15"/>
      <c r="AS1744" s="15"/>
      <c r="AT1744" s="15"/>
      <c r="AU1744" s="15"/>
      <c r="AV1744" s="15"/>
      <c r="AW1744" s="15"/>
      <c r="AX1744" s="15"/>
      <c r="AY1744" s="15"/>
      <c r="AZ1744" s="15"/>
      <c r="BA1744" s="15"/>
      <c r="BB1744" s="15"/>
      <c r="BC1744" s="15"/>
      <c r="BD1744" s="15"/>
      <c r="BE1744" s="15"/>
      <c r="BF1744" s="15"/>
      <c r="BG1744" s="15"/>
      <c r="BH1744" s="15"/>
      <c r="BI1744" s="15"/>
      <c r="BJ1744" s="15"/>
      <c r="BK1744" s="15"/>
      <c r="BL1744" s="15"/>
      <c r="BM1744" s="15"/>
      <c r="BN1744" s="15"/>
      <c r="BO1744" s="15"/>
      <c r="BP1744" s="15"/>
      <c r="BQ1744" s="15"/>
      <c r="BR1744" s="15"/>
      <c r="BS1744" s="15"/>
      <c r="BT1744" s="15"/>
      <c r="BU1744" s="15"/>
      <c r="BV1744" s="15"/>
      <c r="BW1744" s="15"/>
      <c r="BX1744" s="15"/>
      <c r="BY1744" s="15"/>
      <c r="BZ1744" s="15"/>
      <c r="CA1744" s="15"/>
      <c r="CB1744" s="15"/>
    </row>
    <row r="1745" spans="1:80" ht="12.75" customHeight="1">
      <c r="A1745" s="20">
        <f ca="1">IFERROR(__xludf.DUMMYFUNCTION("""COMPUTED_VALUE"""),2023)</f>
        <v>2023</v>
      </c>
      <c r="B1745" s="45">
        <f ca="1">IFERROR(__xludf.DUMMYFUNCTION("""COMPUTED_VALUE"""),45555)</f>
        <v>45555</v>
      </c>
      <c r="C1745" s="46"/>
      <c r="D1745" s="47" t="str">
        <f ca="1">IFERROR(__xludf.DUMMYFUNCTION("""COMPUTED_VALUE"""),"Lesse White-fronted Goose")</f>
        <v>Lesse White-fronted Goose</v>
      </c>
      <c r="E1745" s="52">
        <f ca="1">IFERROR(__xludf.DUMMYFUNCTION("""COMPUTED_VALUE"""),1)</f>
        <v>1</v>
      </c>
      <c r="F1745" s="25"/>
      <c r="G1745" s="48" t="str">
        <f ca="1">IFERROR(__xludf.DUMMYFUNCTION("""COMPUTED_VALUE"""),"Burton mere wetlands")</f>
        <v>Burton mere wetlands</v>
      </c>
      <c r="H1745" s="22">
        <f ca="1">IFERROR(__xludf.DUMMYFUNCTION("""COMPUTED_VALUE"""),44976)</f>
        <v>44976</v>
      </c>
      <c r="I1745" s="23"/>
      <c r="J1745" s="24"/>
      <c r="K1745" s="25"/>
      <c r="L1745" s="27" t="str">
        <f ca="1">IFERROR(__xludf.DUMMYFUNCTION("""COMPUTED_VALUE"""),"escape")</f>
        <v>escape</v>
      </c>
      <c r="M1745" s="27"/>
      <c r="N1745" s="25" t="str">
        <f ca="1">IFERROR(__xludf.DUMMYFUNCTION("""COMPUTED_VALUE"""),"Cat D")</f>
        <v>Cat D</v>
      </c>
      <c r="O1745" s="28"/>
      <c r="P1745" s="25"/>
      <c r="Q1745" s="25"/>
      <c r="R1745" s="25"/>
      <c r="S1745" s="25"/>
      <c r="T1745" s="25"/>
      <c r="U1745" s="25"/>
      <c r="V1745" s="25"/>
      <c r="W1745" s="25"/>
      <c r="X1745" s="25"/>
      <c r="Y1745" s="25"/>
      <c r="Z1745" s="25"/>
      <c r="AA1745" s="25"/>
      <c r="AB1745" s="25"/>
      <c r="AC1745" s="25"/>
      <c r="AD1745" s="25"/>
      <c r="AE1745" s="25"/>
      <c r="AF1745" s="25"/>
      <c r="AG1745" s="25"/>
      <c r="AH1745" s="25"/>
      <c r="AI1745" s="25"/>
      <c r="AJ1745" s="25"/>
      <c r="AK1745" s="25"/>
      <c r="AL1745" s="25"/>
      <c r="AM1745" s="25"/>
      <c r="AN1745" s="25"/>
      <c r="AO1745" s="25"/>
      <c r="AP1745" s="25"/>
      <c r="AQ1745" s="25"/>
      <c r="AR1745" s="25"/>
      <c r="AS1745" s="25"/>
      <c r="AT1745" s="25"/>
      <c r="AU1745" s="25"/>
      <c r="AV1745" s="25"/>
      <c r="AW1745" s="25"/>
      <c r="AX1745" s="25"/>
      <c r="AY1745" s="25"/>
      <c r="AZ1745" s="25"/>
      <c r="BA1745" s="25"/>
      <c r="BB1745" s="25"/>
      <c r="BC1745" s="25"/>
      <c r="BD1745" s="25"/>
      <c r="BE1745" s="25"/>
      <c r="BF1745" s="25"/>
      <c r="BG1745" s="25"/>
      <c r="BH1745" s="25"/>
      <c r="BI1745" s="25"/>
      <c r="BJ1745" s="25"/>
      <c r="BK1745" s="25"/>
      <c r="BL1745" s="25"/>
      <c r="BM1745" s="25"/>
      <c r="BN1745" s="25"/>
      <c r="BO1745" s="25"/>
      <c r="BP1745" s="25"/>
      <c r="BQ1745" s="25"/>
      <c r="BR1745" s="25"/>
      <c r="BS1745" s="25"/>
      <c r="BT1745" s="25"/>
      <c r="BU1745" s="25"/>
      <c r="BV1745" s="25"/>
      <c r="BW1745" s="25"/>
      <c r="BX1745" s="25"/>
      <c r="BY1745" s="25"/>
      <c r="BZ1745" s="25"/>
      <c r="CA1745" s="25"/>
      <c r="CB1745" s="25"/>
    </row>
    <row r="1746" spans="1:80" ht="12.75" customHeight="1">
      <c r="A1746" s="10">
        <f ca="1">IFERROR(__xludf.DUMMYFUNCTION("""COMPUTED_VALUE"""),2024)</f>
        <v>2024</v>
      </c>
      <c r="B1746" s="50">
        <f ca="1">IFERROR(__xludf.DUMMYFUNCTION("""COMPUTED_VALUE"""),45778)</f>
        <v>45778</v>
      </c>
      <c r="C1746" s="41"/>
      <c r="D1746" s="42" t="str">
        <f ca="1">IFERROR(__xludf.DUMMYFUNCTION("""COMPUTED_VALUE"""),"American Wigeon")</f>
        <v>American Wigeon</v>
      </c>
      <c r="E1746" s="53">
        <f ca="1">IFERROR(__xludf.DUMMYFUNCTION("""COMPUTED_VALUE"""),1)</f>
        <v>1</v>
      </c>
      <c r="F1746" s="15" t="str">
        <f ca="1">IFERROR(__xludf.DUMMYFUNCTION("""COMPUTED_VALUE"""),"m (storm)")</f>
        <v>m (storm)</v>
      </c>
      <c r="G1746" s="44" t="str">
        <f ca="1">IFERROR(__xludf.DUMMYFUNCTION("""COMPUTED_VALUE"""),"Burton Mere Wetlands")</f>
        <v>Burton Mere Wetlands</v>
      </c>
      <c r="H1746" s="12">
        <f ca="1">IFERROR(__xludf.DUMMYFUNCTION("""COMPUTED_VALUE"""),45313)</f>
        <v>45313</v>
      </c>
      <c r="I1746" s="12">
        <f ca="1">IFERROR(__xludf.DUMMYFUNCTION("""COMPUTED_VALUE"""),45315)</f>
        <v>45315</v>
      </c>
      <c r="J1746" s="14"/>
      <c r="K1746" s="15"/>
      <c r="L1746" s="17" t="str">
        <f ca="1">IFERROR(__xludf.DUMMYFUNCTION("""COMPUTED_VALUE"""),"limbo")</f>
        <v>limbo</v>
      </c>
      <c r="M1746" s="17"/>
      <c r="N1746" s="15" t="str">
        <f ca="1">IFERROR(__xludf.DUMMYFUNCTION("""COMPUTED_VALUE"""),"not submitted")</f>
        <v>not submitted</v>
      </c>
      <c r="O1746" s="18" t="str">
        <f ca="1">IFERROR(__xludf.DUMMYFUNCTION("""COMPUTED_VALUE"""),"[Storm}]multi observed and likley to be photos")</f>
        <v>[Storm}]multi observed and likley to be photos</v>
      </c>
      <c r="P1746" s="15"/>
      <c r="Q1746" s="15"/>
      <c r="R1746" s="15"/>
      <c r="S1746" s="15"/>
      <c r="T1746" s="15"/>
      <c r="U1746" s="15"/>
      <c r="V1746" s="15"/>
      <c r="W1746" s="15"/>
      <c r="X1746" s="15"/>
      <c r="Y1746" s="15"/>
      <c r="Z1746" s="15"/>
      <c r="AA1746" s="15"/>
      <c r="AB1746" s="15"/>
      <c r="AC1746" s="15"/>
      <c r="AD1746" s="15"/>
      <c r="AE1746" s="15"/>
      <c r="AF1746" s="15"/>
      <c r="AG1746" s="15"/>
      <c r="AH1746" s="15"/>
      <c r="AI1746" s="15"/>
      <c r="AJ1746" s="15"/>
      <c r="AK1746" s="15"/>
      <c r="AL1746" s="15"/>
      <c r="AM1746" s="15"/>
      <c r="AN1746" s="15"/>
      <c r="AO1746" s="15"/>
      <c r="AP1746" s="15"/>
      <c r="AQ1746" s="15"/>
      <c r="AR1746" s="15"/>
      <c r="AS1746" s="15"/>
      <c r="AT1746" s="15"/>
      <c r="AU1746" s="15"/>
      <c r="AV1746" s="15"/>
      <c r="AW1746" s="15"/>
      <c r="AX1746" s="15"/>
      <c r="AY1746" s="15"/>
      <c r="AZ1746" s="15"/>
      <c r="BA1746" s="15"/>
      <c r="BB1746" s="15"/>
      <c r="BC1746" s="15"/>
      <c r="BD1746" s="15"/>
      <c r="BE1746" s="15"/>
      <c r="BF1746" s="15"/>
      <c r="BG1746" s="15"/>
      <c r="BH1746" s="15"/>
      <c r="BI1746" s="15"/>
      <c r="BJ1746" s="15"/>
      <c r="BK1746" s="15"/>
      <c r="BL1746" s="15"/>
      <c r="BM1746" s="15"/>
      <c r="BN1746" s="15"/>
      <c r="BO1746" s="15"/>
      <c r="BP1746" s="15"/>
      <c r="BQ1746" s="15"/>
      <c r="BR1746" s="15"/>
      <c r="BS1746" s="15"/>
      <c r="BT1746" s="15"/>
      <c r="BU1746" s="15"/>
      <c r="BV1746" s="15"/>
      <c r="BW1746" s="15"/>
      <c r="BX1746" s="15"/>
      <c r="BY1746" s="15"/>
      <c r="BZ1746" s="15"/>
      <c r="CA1746" s="15"/>
      <c r="CB1746" s="15"/>
    </row>
    <row r="1747" spans="1:80" ht="12.75" customHeight="1">
      <c r="A1747" s="20">
        <f ca="1">IFERROR(__xludf.DUMMYFUNCTION("""COMPUTED_VALUE"""),2024)</f>
        <v>2024</v>
      </c>
      <c r="B1747" s="45">
        <f ca="1">IFERROR(__xludf.DUMMYFUNCTION("""COMPUTED_VALUE"""),45778)</f>
        <v>45778</v>
      </c>
      <c r="C1747" s="46">
        <f ca="1">IFERROR(__xludf.DUMMYFUNCTION("""COMPUTED_VALUE"""),45825)</f>
        <v>45825</v>
      </c>
      <c r="D1747" s="47" t="str">
        <f ca="1">IFERROR(__xludf.DUMMYFUNCTION("""COMPUTED_VALUE"""),"American Wigeon")</f>
        <v>American Wigeon</v>
      </c>
      <c r="E1747" s="52">
        <f ca="1">IFERROR(__xludf.DUMMYFUNCTION("""COMPUTED_VALUE"""),1)</f>
        <v>1</v>
      </c>
      <c r="F1747" s="25" t="str">
        <f ca="1">IFERROR(__xludf.DUMMYFUNCTION("""COMPUTED_VALUE"""),"m  ")</f>
        <v xml:space="preserve">m  </v>
      </c>
      <c r="G1747" s="48" t="str">
        <f ca="1">IFERROR(__xludf.DUMMYFUNCTION("""COMPUTED_VALUE"""),"Little Neston, Colliery flash")</f>
        <v>Little Neston, Colliery flash</v>
      </c>
      <c r="H1747" s="22">
        <f ca="1">IFERROR(__xludf.DUMMYFUNCTION("""COMPUTED_VALUE"""),45337)</f>
        <v>45337</v>
      </c>
      <c r="I1747" s="23"/>
      <c r="J1747" s="24"/>
      <c r="K1747" s="25"/>
      <c r="L1747" s="27" t="str">
        <f ca="1">IFERROR(__xludf.DUMMYFUNCTION("""COMPUTED_VALUE"""),"open")</f>
        <v>open</v>
      </c>
      <c r="M1747" s="27"/>
      <c r="N1747" s="25" t="str">
        <f ca="1">IFERROR(__xludf.DUMMYFUNCTION("""COMPUTED_VALUE"""),"in Circulation")</f>
        <v>in Circulation</v>
      </c>
      <c r="O1747" s="28"/>
      <c r="P1747" s="25"/>
      <c r="Q1747" s="25"/>
      <c r="R1747" s="25"/>
      <c r="S1747" s="25"/>
      <c r="T1747" s="25"/>
      <c r="U1747" s="25"/>
      <c r="V1747" s="25"/>
      <c r="W1747" s="25"/>
      <c r="X1747" s="25"/>
      <c r="Y1747" s="25"/>
      <c r="Z1747" s="25"/>
      <c r="AA1747" s="25"/>
      <c r="AB1747" s="25"/>
      <c r="AC1747" s="25"/>
      <c r="AD1747" s="25"/>
      <c r="AE1747" s="25"/>
      <c r="AF1747" s="25"/>
      <c r="AG1747" s="25"/>
      <c r="AH1747" s="25"/>
      <c r="AI1747" s="25"/>
      <c r="AJ1747" s="25"/>
      <c r="AK1747" s="25"/>
      <c r="AL1747" s="25"/>
      <c r="AM1747" s="25"/>
      <c r="AN1747" s="25"/>
      <c r="AO1747" s="25"/>
      <c r="AP1747" s="25"/>
      <c r="AQ1747" s="25"/>
      <c r="AR1747" s="25"/>
      <c r="AS1747" s="25"/>
      <c r="AT1747" s="25"/>
      <c r="AU1747" s="25"/>
      <c r="AV1747" s="25"/>
      <c r="AW1747" s="25"/>
      <c r="AX1747" s="25"/>
      <c r="AY1747" s="25"/>
      <c r="AZ1747" s="25"/>
      <c r="BA1747" s="25"/>
      <c r="BB1747" s="25"/>
      <c r="BC1747" s="25"/>
      <c r="BD1747" s="25"/>
      <c r="BE1747" s="25"/>
      <c r="BF1747" s="25"/>
      <c r="BG1747" s="25"/>
      <c r="BH1747" s="25"/>
      <c r="BI1747" s="25"/>
      <c r="BJ1747" s="25"/>
      <c r="BK1747" s="25"/>
      <c r="BL1747" s="25"/>
      <c r="BM1747" s="25"/>
      <c r="BN1747" s="25"/>
      <c r="BO1747" s="25"/>
      <c r="BP1747" s="25"/>
      <c r="BQ1747" s="25"/>
      <c r="BR1747" s="25"/>
      <c r="BS1747" s="25"/>
      <c r="BT1747" s="25"/>
      <c r="BU1747" s="25"/>
      <c r="BV1747" s="25"/>
      <c r="BW1747" s="25"/>
      <c r="BX1747" s="25"/>
      <c r="BY1747" s="25"/>
      <c r="BZ1747" s="25"/>
      <c r="CA1747" s="25"/>
      <c r="CB1747" s="25"/>
    </row>
    <row r="1748" spans="1:80" ht="12.75" customHeight="1">
      <c r="A1748" s="10">
        <f ca="1">IFERROR(__xludf.DUMMYFUNCTION("""COMPUTED_VALUE"""),2024)</f>
        <v>2024</v>
      </c>
      <c r="B1748" s="50">
        <f ca="1">IFERROR(__xludf.DUMMYFUNCTION("""COMPUTED_VALUE"""),45778)</f>
        <v>45778</v>
      </c>
      <c r="C1748" s="41"/>
      <c r="D1748" s="42" t="str">
        <f ca="1">IFERROR(__xludf.DUMMYFUNCTION("""COMPUTED_VALUE"""),"American Wigeon")</f>
        <v>American Wigeon</v>
      </c>
      <c r="E1748" s="53">
        <f ca="1">IFERROR(__xludf.DUMMYFUNCTION("""COMPUTED_VALUE"""),1)</f>
        <v>1</v>
      </c>
      <c r="F1748" s="15"/>
      <c r="G1748" s="44" t="str">
        <f ca="1">IFERROR(__xludf.DUMMYFUNCTION("""COMPUTED_VALUE"""),"Silver Lane LWS, Risley Landfill, Warrington")</f>
        <v>Silver Lane LWS, Risley Landfill, Warrington</v>
      </c>
      <c r="H1748" s="12">
        <f ca="1">IFERROR(__xludf.DUMMYFUNCTION("""COMPUTED_VALUE"""),45586)</f>
        <v>45586</v>
      </c>
      <c r="I1748" s="13"/>
      <c r="J1748" s="14"/>
      <c r="K1748" s="15"/>
      <c r="L1748" s="17" t="str">
        <f ca="1">IFERROR(__xludf.DUMMYFUNCTION("""COMPUTED_VALUE"""),"limbo")</f>
        <v>limbo</v>
      </c>
      <c r="M1748" s="17"/>
      <c r="N1748" s="15" t="str">
        <f ca="1">IFERROR(__xludf.DUMMYFUNCTION("""COMPUTED_VALUE"""),"not submitted")</f>
        <v>not submitted</v>
      </c>
      <c r="O1748" s="18" t="str">
        <f ca="1">IFERROR(__xludf.DUMMYFUNCTION("""COMPUTED_VALUE"""),"Check for data entry error")</f>
        <v>Check for data entry error</v>
      </c>
      <c r="P1748" s="15"/>
      <c r="Q1748" s="15"/>
      <c r="R1748" s="15"/>
      <c r="S1748" s="15"/>
      <c r="T1748" s="15"/>
      <c r="U1748" s="15"/>
      <c r="V1748" s="15"/>
      <c r="W1748" s="15"/>
      <c r="X1748" s="15"/>
      <c r="Y1748" s="15"/>
      <c r="Z1748" s="15"/>
      <c r="AA1748" s="15"/>
      <c r="AB1748" s="15"/>
      <c r="AC1748" s="15"/>
      <c r="AD1748" s="15"/>
      <c r="AE1748" s="15"/>
      <c r="AF1748" s="15"/>
      <c r="AG1748" s="15"/>
      <c r="AH1748" s="15"/>
      <c r="AI1748" s="15"/>
      <c r="AJ1748" s="15"/>
      <c r="AK1748" s="15"/>
      <c r="AL1748" s="15"/>
      <c r="AM1748" s="15"/>
      <c r="AN1748" s="15"/>
      <c r="AO1748" s="15"/>
      <c r="AP1748" s="15"/>
      <c r="AQ1748" s="15"/>
      <c r="AR1748" s="15"/>
      <c r="AS1748" s="15"/>
      <c r="AT1748" s="15"/>
      <c r="AU1748" s="15"/>
      <c r="AV1748" s="15"/>
      <c r="AW1748" s="15"/>
      <c r="AX1748" s="15"/>
      <c r="AY1748" s="15"/>
      <c r="AZ1748" s="15"/>
      <c r="BA1748" s="15"/>
      <c r="BB1748" s="15"/>
      <c r="BC1748" s="15"/>
      <c r="BD1748" s="15"/>
      <c r="BE1748" s="15"/>
      <c r="BF1748" s="15"/>
      <c r="BG1748" s="15"/>
      <c r="BH1748" s="15"/>
      <c r="BI1748" s="15"/>
      <c r="BJ1748" s="15"/>
      <c r="BK1748" s="15"/>
      <c r="BL1748" s="15"/>
      <c r="BM1748" s="15"/>
      <c r="BN1748" s="15"/>
      <c r="BO1748" s="15"/>
      <c r="BP1748" s="15"/>
      <c r="BQ1748" s="15"/>
      <c r="BR1748" s="15"/>
      <c r="BS1748" s="15"/>
      <c r="BT1748" s="15"/>
      <c r="BU1748" s="15"/>
      <c r="BV1748" s="15"/>
      <c r="BW1748" s="15"/>
      <c r="BX1748" s="15"/>
      <c r="BY1748" s="15"/>
      <c r="BZ1748" s="15"/>
      <c r="CA1748" s="15"/>
      <c r="CB1748" s="15"/>
    </row>
    <row r="1749" spans="1:80" ht="12.75" customHeight="1">
      <c r="A1749" s="20">
        <f ca="1">IFERROR(__xludf.DUMMYFUNCTION("""COMPUTED_VALUE"""),2024)</f>
        <v>2024</v>
      </c>
      <c r="B1749" s="45">
        <f ca="1">IFERROR(__xludf.DUMMYFUNCTION("""COMPUTED_VALUE"""),45657)</f>
        <v>45657</v>
      </c>
      <c r="C1749" s="46">
        <f ca="1">IFERROR(__xludf.DUMMYFUNCTION("""COMPUTED_VALUE"""),45657)</f>
        <v>45657</v>
      </c>
      <c r="D1749" s="47" t="str">
        <f ca="1">IFERROR(__xludf.DUMMYFUNCTION("""COMPUTED_VALUE"""),"Green-winged Teal")</f>
        <v>Green-winged Teal</v>
      </c>
      <c r="E1749" s="52">
        <f ca="1">IFERROR(__xludf.DUMMYFUNCTION("""COMPUTED_VALUE"""),1)</f>
        <v>1</v>
      </c>
      <c r="F1749" s="25" t="str">
        <f ca="1">IFERROR(__xludf.DUMMYFUNCTION("""COMPUTED_VALUE"""),"m")</f>
        <v>m</v>
      </c>
      <c r="G1749" s="48" t="str">
        <f ca="1">IFERROR(__xludf.DUMMYFUNCTION("""COMPUTED_VALUE"""),"Mollington")</f>
        <v>Mollington</v>
      </c>
      <c r="H1749" s="22">
        <f ca="1">IFERROR(__xludf.DUMMYFUNCTION("""COMPUTED_VALUE"""),45354)</f>
        <v>45354</v>
      </c>
      <c r="I1749" s="23"/>
      <c r="J1749" s="24"/>
      <c r="K1749" s="25"/>
      <c r="L1749" s="27" t="str">
        <f ca="1">IFERROR(__xludf.DUMMYFUNCTION("""COMPUTED_VALUE"""),"closed")</f>
        <v>closed</v>
      </c>
      <c r="M1749" s="27"/>
      <c r="N1749" s="25" t="str">
        <f ca="1">IFERROR(__xludf.DUMMYFUNCTION("""COMPUTED_VALUE"""),"accepted")</f>
        <v>accepted</v>
      </c>
      <c r="O1749" s="28" t="str">
        <f ca="1">IFERROR(__xludf.DUMMYFUNCTION("""COMPUTED_VALUE"""),"Accepted")</f>
        <v>Accepted</v>
      </c>
      <c r="P1749" s="25"/>
      <c r="Q1749" s="25"/>
      <c r="R1749" s="25"/>
      <c r="S1749" s="25"/>
      <c r="T1749" s="25"/>
      <c r="U1749" s="25"/>
      <c r="V1749" s="25"/>
      <c r="W1749" s="25"/>
      <c r="X1749" s="25"/>
      <c r="Y1749" s="25"/>
      <c r="Z1749" s="25"/>
      <c r="AA1749" s="25"/>
      <c r="AB1749" s="25"/>
      <c r="AC1749" s="25"/>
      <c r="AD1749" s="25"/>
      <c r="AE1749" s="25"/>
      <c r="AF1749" s="25"/>
      <c r="AG1749" s="25"/>
      <c r="AH1749" s="25"/>
      <c r="AI1749" s="25"/>
      <c r="AJ1749" s="25"/>
      <c r="AK1749" s="25"/>
      <c r="AL1749" s="25"/>
      <c r="AM1749" s="25"/>
      <c r="AN1749" s="25"/>
      <c r="AO1749" s="25"/>
      <c r="AP1749" s="25"/>
      <c r="AQ1749" s="25"/>
      <c r="AR1749" s="25"/>
      <c r="AS1749" s="25"/>
      <c r="AT1749" s="25"/>
      <c r="AU1749" s="25"/>
      <c r="AV1749" s="25"/>
      <c r="AW1749" s="25"/>
      <c r="AX1749" s="25"/>
      <c r="AY1749" s="25"/>
      <c r="AZ1749" s="25"/>
      <c r="BA1749" s="25"/>
      <c r="BB1749" s="25"/>
      <c r="BC1749" s="25"/>
      <c r="BD1749" s="25"/>
      <c r="BE1749" s="25"/>
      <c r="BF1749" s="25"/>
      <c r="BG1749" s="25"/>
      <c r="BH1749" s="25"/>
      <c r="BI1749" s="25"/>
      <c r="BJ1749" s="25"/>
      <c r="BK1749" s="25"/>
      <c r="BL1749" s="25"/>
      <c r="BM1749" s="25"/>
      <c r="BN1749" s="25"/>
      <c r="BO1749" s="25"/>
      <c r="BP1749" s="25"/>
      <c r="BQ1749" s="25"/>
      <c r="BR1749" s="25"/>
      <c r="BS1749" s="25"/>
      <c r="BT1749" s="25"/>
      <c r="BU1749" s="25"/>
      <c r="BV1749" s="25"/>
      <c r="BW1749" s="25"/>
      <c r="BX1749" s="25"/>
      <c r="BY1749" s="25"/>
      <c r="BZ1749" s="25"/>
      <c r="CA1749" s="25"/>
      <c r="CB1749" s="25"/>
    </row>
    <row r="1750" spans="1:80" ht="12.75" customHeight="1">
      <c r="A1750" s="10">
        <f ca="1">IFERROR(__xludf.DUMMYFUNCTION("""COMPUTED_VALUE"""),2024)</f>
        <v>2024</v>
      </c>
      <c r="B1750" s="50"/>
      <c r="C1750" s="41"/>
      <c r="D1750" s="42" t="str">
        <f ca="1">IFERROR(__xludf.DUMMYFUNCTION("""COMPUTED_VALUE"""),"Green-winged Teal")</f>
        <v>Green-winged Teal</v>
      </c>
      <c r="E1750" s="53">
        <f ca="1">IFERROR(__xludf.DUMMYFUNCTION("""COMPUTED_VALUE"""),1)</f>
        <v>1</v>
      </c>
      <c r="F1750" s="15" t="str">
        <f ca="1">IFERROR(__xludf.DUMMYFUNCTION("""COMPUTED_VALUE"""),"m")</f>
        <v>m</v>
      </c>
      <c r="G1750" s="44" t="str">
        <f ca="1">IFERROR(__xludf.DUMMYFUNCTION("""COMPUTED_VALUE"""),"Heswall")</f>
        <v>Heswall</v>
      </c>
      <c r="H1750" s="12">
        <f ca="1">IFERROR(__xludf.DUMMYFUNCTION("""COMPUTED_VALUE"""),45303)</f>
        <v>45303</v>
      </c>
      <c r="I1750" s="13"/>
      <c r="J1750" s="14"/>
      <c r="K1750" s="15"/>
      <c r="L1750" s="17" t="str">
        <f ca="1">IFERROR(__xludf.DUMMYFUNCTION("""COMPUTED_VALUE"""),"limbo")</f>
        <v>limbo</v>
      </c>
      <c r="M1750" s="17"/>
      <c r="N1750" s="15" t="str">
        <f ca="1">IFERROR(__xludf.DUMMYFUNCTION("""COMPUTED_VALUE"""),"not submitted")</f>
        <v>not submitted</v>
      </c>
      <c r="O1750" s="18" t="str">
        <f ca="1">IFERROR(__xludf.DUMMYFUNCTION("""COMPUTED_VALUE"""),"Birdguides")</f>
        <v>Birdguides</v>
      </c>
      <c r="P1750" s="15"/>
      <c r="Q1750" s="15"/>
      <c r="R1750" s="15"/>
      <c r="S1750" s="15"/>
      <c r="T1750" s="15"/>
      <c r="U1750" s="15"/>
      <c r="V1750" s="15"/>
      <c r="W1750" s="15"/>
      <c r="X1750" s="15"/>
      <c r="Y1750" s="15"/>
      <c r="Z1750" s="15"/>
      <c r="AA1750" s="15"/>
      <c r="AB1750" s="15"/>
      <c r="AC1750" s="15"/>
      <c r="AD1750" s="15"/>
      <c r="AE1750" s="15"/>
      <c r="AF1750" s="15"/>
      <c r="AG1750" s="15"/>
      <c r="AH1750" s="15"/>
      <c r="AI1750" s="15"/>
      <c r="AJ1750" s="15"/>
      <c r="AK1750" s="15"/>
      <c r="AL1750" s="15"/>
      <c r="AM1750" s="15"/>
      <c r="AN1750" s="15"/>
      <c r="AO1750" s="15"/>
      <c r="AP1750" s="15"/>
      <c r="AQ1750" s="15"/>
      <c r="AR1750" s="15"/>
      <c r="AS1750" s="15"/>
      <c r="AT1750" s="15"/>
      <c r="AU1750" s="15"/>
      <c r="AV1750" s="15"/>
      <c r="AW1750" s="15"/>
      <c r="AX1750" s="15"/>
      <c r="AY1750" s="15"/>
      <c r="AZ1750" s="15"/>
      <c r="BA1750" s="15"/>
      <c r="BB1750" s="15"/>
      <c r="BC1750" s="15"/>
      <c r="BD1750" s="15"/>
      <c r="BE1750" s="15"/>
      <c r="BF1750" s="15"/>
      <c r="BG1750" s="15"/>
      <c r="BH1750" s="15"/>
      <c r="BI1750" s="15"/>
      <c r="BJ1750" s="15"/>
      <c r="BK1750" s="15"/>
      <c r="BL1750" s="15"/>
      <c r="BM1750" s="15"/>
      <c r="BN1750" s="15"/>
      <c r="BO1750" s="15"/>
      <c r="BP1750" s="15"/>
      <c r="BQ1750" s="15"/>
      <c r="BR1750" s="15"/>
      <c r="BS1750" s="15"/>
      <c r="BT1750" s="15"/>
      <c r="BU1750" s="15"/>
      <c r="BV1750" s="15"/>
      <c r="BW1750" s="15"/>
      <c r="BX1750" s="15"/>
      <c r="BY1750" s="15"/>
      <c r="BZ1750" s="15"/>
      <c r="CA1750" s="15"/>
      <c r="CB1750" s="15"/>
    </row>
    <row r="1751" spans="1:80" ht="12.75" customHeight="1">
      <c r="A1751" s="20">
        <f ca="1">IFERROR(__xludf.DUMMYFUNCTION("""COMPUTED_VALUE"""),2024)</f>
        <v>2024</v>
      </c>
      <c r="B1751" s="45"/>
      <c r="C1751" s="46"/>
      <c r="D1751" s="47" t="str">
        <f ca="1">IFERROR(__xludf.DUMMYFUNCTION("""COMPUTED_VALUE"""),"Green-winged Teal")</f>
        <v>Green-winged Teal</v>
      </c>
      <c r="E1751" s="52">
        <f ca="1">IFERROR(__xludf.DUMMYFUNCTION("""COMPUTED_VALUE"""),1)</f>
        <v>1</v>
      </c>
      <c r="F1751" s="25" t="str">
        <f ca="1">IFERROR(__xludf.DUMMYFUNCTION("""COMPUTED_VALUE"""),"m")</f>
        <v>m</v>
      </c>
      <c r="G1751" s="48" t="str">
        <f ca="1">IFERROR(__xludf.DUMMYFUNCTION("""COMPUTED_VALUE"""),"Burton Mere Wetlands")</f>
        <v>Burton Mere Wetlands</v>
      </c>
      <c r="H1751" s="22">
        <f ca="1">IFERROR(__xludf.DUMMYFUNCTION("""COMPUTED_VALUE"""),45599)</f>
        <v>45599</v>
      </c>
      <c r="I1751" s="22">
        <f ca="1">IFERROR(__xludf.DUMMYFUNCTION("""COMPUTED_VALUE"""),45606)</f>
        <v>45606</v>
      </c>
      <c r="J1751" s="24"/>
      <c r="K1751" s="25"/>
      <c r="L1751" s="27" t="str">
        <f ca="1">IFERROR(__xludf.DUMMYFUNCTION("""COMPUTED_VALUE"""),"limbo")</f>
        <v>limbo</v>
      </c>
      <c r="M1751" s="27"/>
      <c r="N1751" s="25" t="str">
        <f ca="1">IFERROR(__xludf.DUMMYFUNCTION("""COMPUTED_VALUE"""),"not submitted")</f>
        <v>not submitted</v>
      </c>
      <c r="O1751" s="28" t="str">
        <f ca="1">IFERROR(__xludf.DUMMYFUNCTION("""COMPUTED_VALUE"""),"Birdguides")</f>
        <v>Birdguides</v>
      </c>
      <c r="P1751" s="25"/>
      <c r="Q1751" s="25"/>
      <c r="R1751" s="25"/>
      <c r="S1751" s="25"/>
      <c r="T1751" s="25"/>
      <c r="U1751" s="25"/>
      <c r="V1751" s="25"/>
      <c r="W1751" s="25"/>
      <c r="X1751" s="25"/>
      <c r="Y1751" s="25"/>
      <c r="Z1751" s="25"/>
      <c r="AA1751" s="25"/>
      <c r="AB1751" s="25"/>
      <c r="AC1751" s="25"/>
      <c r="AD1751" s="25"/>
      <c r="AE1751" s="25"/>
      <c r="AF1751" s="25"/>
      <c r="AG1751" s="25"/>
      <c r="AH1751" s="25"/>
      <c r="AI1751" s="25"/>
      <c r="AJ1751" s="25"/>
      <c r="AK1751" s="25"/>
      <c r="AL1751" s="25"/>
      <c r="AM1751" s="25"/>
      <c r="AN1751" s="25"/>
      <c r="AO1751" s="25"/>
      <c r="AP1751" s="25"/>
      <c r="AQ1751" s="25"/>
      <c r="AR1751" s="25"/>
      <c r="AS1751" s="25"/>
      <c r="AT1751" s="25"/>
      <c r="AU1751" s="25"/>
      <c r="AV1751" s="25"/>
      <c r="AW1751" s="25"/>
      <c r="AX1751" s="25"/>
      <c r="AY1751" s="25"/>
      <c r="AZ1751" s="25"/>
      <c r="BA1751" s="25"/>
      <c r="BB1751" s="25"/>
      <c r="BC1751" s="25"/>
      <c r="BD1751" s="25"/>
      <c r="BE1751" s="25"/>
      <c r="BF1751" s="25"/>
      <c r="BG1751" s="25"/>
      <c r="BH1751" s="25"/>
      <c r="BI1751" s="25"/>
      <c r="BJ1751" s="25"/>
      <c r="BK1751" s="25"/>
      <c r="BL1751" s="25"/>
      <c r="BM1751" s="25"/>
      <c r="BN1751" s="25"/>
      <c r="BO1751" s="25"/>
      <c r="BP1751" s="25"/>
      <c r="BQ1751" s="25"/>
      <c r="BR1751" s="25"/>
      <c r="BS1751" s="25"/>
      <c r="BT1751" s="25"/>
      <c r="BU1751" s="25"/>
      <c r="BV1751" s="25"/>
      <c r="BW1751" s="25"/>
      <c r="BX1751" s="25"/>
      <c r="BY1751" s="25"/>
      <c r="BZ1751" s="25"/>
      <c r="CA1751" s="25"/>
      <c r="CB1751" s="25"/>
    </row>
    <row r="1752" spans="1:80" ht="12.75" customHeight="1">
      <c r="A1752" s="10">
        <f ca="1">IFERROR(__xludf.DUMMYFUNCTION("""COMPUTED_VALUE"""),2024)</f>
        <v>2024</v>
      </c>
      <c r="B1752" s="50"/>
      <c r="C1752" s="41"/>
      <c r="D1752" s="42" t="str">
        <f ca="1">IFERROR(__xludf.DUMMYFUNCTION("""COMPUTED_VALUE"""),"Green-winged Teal")</f>
        <v>Green-winged Teal</v>
      </c>
      <c r="E1752" s="53">
        <f ca="1">IFERROR(__xludf.DUMMYFUNCTION("""COMPUTED_VALUE"""),1)</f>
        <v>1</v>
      </c>
      <c r="F1752" s="15" t="str">
        <f ca="1">IFERROR(__xludf.DUMMYFUNCTION("""COMPUTED_VALUE"""),"m")</f>
        <v>m</v>
      </c>
      <c r="G1752" s="44" t="str">
        <f ca="1">IFERROR(__xludf.DUMMYFUNCTION("""COMPUTED_VALUE"""),"Elton Hall Flash Sandbach")</f>
        <v>Elton Hall Flash Sandbach</v>
      </c>
      <c r="H1752" s="12">
        <f ca="1">IFERROR(__xludf.DUMMYFUNCTION("""COMPUTED_VALUE"""),45455)</f>
        <v>45455</v>
      </c>
      <c r="I1752" s="12">
        <f ca="1">IFERROR(__xludf.DUMMYFUNCTION("""COMPUTED_VALUE"""),45462)</f>
        <v>45462</v>
      </c>
      <c r="J1752" s="14"/>
      <c r="K1752" s="15"/>
      <c r="L1752" s="17" t="str">
        <f ca="1">IFERROR(__xludf.DUMMYFUNCTION("""COMPUTED_VALUE"""),"limbo")</f>
        <v>limbo</v>
      </c>
      <c r="M1752" s="17"/>
      <c r="N1752" s="15" t="str">
        <f ca="1">IFERROR(__xludf.DUMMYFUNCTION("""COMPUTED_VALUE"""),"not submitted")</f>
        <v>not submitted</v>
      </c>
      <c r="O1752" s="18" t="str">
        <f ca="1">IFERROR(__xludf.DUMMYFUNCTION("""COMPUTED_VALUE"""),"Birdguides")</f>
        <v>Birdguides</v>
      </c>
      <c r="P1752" s="15"/>
      <c r="Q1752" s="15"/>
      <c r="R1752" s="15"/>
      <c r="S1752" s="15"/>
      <c r="T1752" s="15"/>
      <c r="U1752" s="15"/>
      <c r="V1752" s="15"/>
      <c r="W1752" s="15"/>
      <c r="X1752" s="15"/>
      <c r="Y1752" s="15"/>
      <c r="Z1752" s="15"/>
      <c r="AA1752" s="15"/>
      <c r="AB1752" s="15"/>
      <c r="AC1752" s="15"/>
      <c r="AD1752" s="15"/>
      <c r="AE1752" s="15"/>
      <c r="AF1752" s="15"/>
      <c r="AG1752" s="15"/>
      <c r="AH1752" s="15"/>
      <c r="AI1752" s="15"/>
      <c r="AJ1752" s="15"/>
      <c r="AK1752" s="15"/>
      <c r="AL1752" s="15"/>
      <c r="AM1752" s="15"/>
      <c r="AN1752" s="15"/>
      <c r="AO1752" s="15"/>
      <c r="AP1752" s="15"/>
      <c r="AQ1752" s="15"/>
      <c r="AR1752" s="15"/>
      <c r="AS1752" s="15"/>
      <c r="AT1752" s="15"/>
      <c r="AU1752" s="15"/>
      <c r="AV1752" s="15"/>
      <c r="AW1752" s="15"/>
      <c r="AX1752" s="15"/>
      <c r="AY1752" s="15"/>
      <c r="AZ1752" s="15"/>
      <c r="BA1752" s="15"/>
      <c r="BB1752" s="15"/>
      <c r="BC1752" s="15"/>
      <c r="BD1752" s="15"/>
      <c r="BE1752" s="15"/>
      <c r="BF1752" s="15"/>
      <c r="BG1752" s="15"/>
      <c r="BH1752" s="15"/>
      <c r="BI1752" s="15"/>
      <c r="BJ1752" s="15"/>
      <c r="BK1752" s="15"/>
      <c r="BL1752" s="15"/>
      <c r="BM1752" s="15"/>
      <c r="BN1752" s="15"/>
      <c r="BO1752" s="15"/>
      <c r="BP1752" s="15"/>
      <c r="BQ1752" s="15"/>
      <c r="BR1752" s="15"/>
      <c r="BS1752" s="15"/>
      <c r="BT1752" s="15"/>
      <c r="BU1752" s="15"/>
      <c r="BV1752" s="15"/>
      <c r="BW1752" s="15"/>
      <c r="BX1752" s="15"/>
      <c r="BY1752" s="15"/>
      <c r="BZ1752" s="15"/>
      <c r="CA1752" s="15"/>
      <c r="CB1752" s="15"/>
    </row>
    <row r="1753" spans="1:80" ht="12.75" customHeight="1">
      <c r="A1753" s="20">
        <f ca="1">IFERROR(__xludf.DUMMYFUNCTION("""COMPUTED_VALUE"""),2024)</f>
        <v>2024</v>
      </c>
      <c r="B1753" s="45"/>
      <c r="C1753" s="46"/>
      <c r="D1753" s="47" t="str">
        <f ca="1">IFERROR(__xludf.DUMMYFUNCTION("""COMPUTED_VALUE"""),"Green-winged Teal")</f>
        <v>Green-winged Teal</v>
      </c>
      <c r="E1753" s="52">
        <f ca="1">IFERROR(__xludf.DUMMYFUNCTION("""COMPUTED_VALUE"""),1)</f>
        <v>1</v>
      </c>
      <c r="F1753" s="25" t="str">
        <f ca="1">IFERROR(__xludf.DUMMYFUNCTION("""COMPUTED_VALUE"""),"m")</f>
        <v>m</v>
      </c>
      <c r="G1753" s="48" t="str">
        <f ca="1">IFERROR(__xludf.DUMMYFUNCTION("""COMPUTED_VALUE"""),"Sandbach, Pumphouse Flash also Rosemary's flood ")</f>
        <v xml:space="preserve">Sandbach, Pumphouse Flash also Rosemary's flood </v>
      </c>
      <c r="H1753" s="22">
        <f ca="1">IFERROR(__xludf.DUMMYFUNCTION("""COMPUTED_VALUE"""),45615)</f>
        <v>45615</v>
      </c>
      <c r="I1753" s="22">
        <f ca="1">IFERROR(__xludf.DUMMYFUNCTION("""COMPUTED_VALUE"""),45657)</f>
        <v>45657</v>
      </c>
      <c r="J1753" s="24"/>
      <c r="K1753" s="25"/>
      <c r="L1753" s="27" t="str">
        <f ca="1">IFERROR(__xludf.DUMMYFUNCTION("""COMPUTED_VALUE"""),"limbo")</f>
        <v>limbo</v>
      </c>
      <c r="M1753" s="27"/>
      <c r="N1753" s="25" t="str">
        <f ca="1">IFERROR(__xludf.DUMMYFUNCTION("""COMPUTED_VALUE"""),"not submitted")</f>
        <v>not submitted</v>
      </c>
      <c r="O1753" s="28" t="str">
        <f ca="1">IFERROR(__xludf.DUMMYFUNCTION("""COMPUTED_VALUE"""),"Birdguides")</f>
        <v>Birdguides</v>
      </c>
      <c r="P1753" s="25"/>
      <c r="Q1753" s="25"/>
      <c r="R1753" s="25"/>
      <c r="S1753" s="25"/>
      <c r="T1753" s="25"/>
      <c r="U1753" s="25"/>
      <c r="V1753" s="25"/>
      <c r="W1753" s="25"/>
      <c r="X1753" s="25"/>
      <c r="Y1753" s="25"/>
      <c r="Z1753" s="25"/>
      <c r="AA1753" s="25"/>
      <c r="AB1753" s="25"/>
      <c r="AC1753" s="25"/>
      <c r="AD1753" s="25"/>
      <c r="AE1753" s="25"/>
      <c r="AF1753" s="25"/>
      <c r="AG1753" s="25"/>
      <c r="AH1753" s="25"/>
      <c r="AI1753" s="25"/>
      <c r="AJ1753" s="25"/>
      <c r="AK1753" s="25"/>
      <c r="AL1753" s="25"/>
      <c r="AM1753" s="25"/>
      <c r="AN1753" s="25"/>
      <c r="AO1753" s="25"/>
      <c r="AP1753" s="25"/>
      <c r="AQ1753" s="25"/>
      <c r="AR1753" s="25"/>
      <c r="AS1753" s="25"/>
      <c r="AT1753" s="25"/>
      <c r="AU1753" s="25"/>
      <c r="AV1753" s="25"/>
      <c r="AW1753" s="25"/>
      <c r="AX1753" s="25"/>
      <c r="AY1753" s="25"/>
      <c r="AZ1753" s="25"/>
      <c r="BA1753" s="25"/>
      <c r="BB1753" s="25"/>
      <c r="BC1753" s="25"/>
      <c r="BD1753" s="25"/>
      <c r="BE1753" s="25"/>
      <c r="BF1753" s="25"/>
      <c r="BG1753" s="25"/>
      <c r="BH1753" s="25"/>
      <c r="BI1753" s="25"/>
      <c r="BJ1753" s="25"/>
      <c r="BK1753" s="25"/>
      <c r="BL1753" s="25"/>
      <c r="BM1753" s="25"/>
      <c r="BN1753" s="25"/>
      <c r="BO1753" s="25"/>
      <c r="BP1753" s="25"/>
      <c r="BQ1753" s="25"/>
      <c r="BR1753" s="25"/>
      <c r="BS1753" s="25"/>
      <c r="BT1753" s="25"/>
      <c r="BU1753" s="25"/>
      <c r="BV1753" s="25"/>
      <c r="BW1753" s="25"/>
      <c r="BX1753" s="25"/>
      <c r="BY1753" s="25"/>
      <c r="BZ1753" s="25"/>
      <c r="CA1753" s="25"/>
      <c r="CB1753" s="25"/>
    </row>
    <row r="1754" spans="1:80" ht="12.75" customHeight="1">
      <c r="A1754" s="10">
        <f ca="1">IFERROR(__xludf.DUMMYFUNCTION("""COMPUTED_VALUE"""),2024)</f>
        <v>2024</v>
      </c>
      <c r="B1754" s="50"/>
      <c r="C1754" s="41"/>
      <c r="D1754" s="42" t="str">
        <f ca="1">IFERROR(__xludf.DUMMYFUNCTION("""COMPUTED_VALUE"""),"Water Pipit")</f>
        <v>Water Pipit</v>
      </c>
      <c r="E1754" s="53">
        <f ca="1">IFERROR(__xludf.DUMMYFUNCTION("""COMPUTED_VALUE"""),1)</f>
        <v>1</v>
      </c>
      <c r="F1754" s="15"/>
      <c r="G1754" s="44" t="str">
        <f ca="1">IFERROR(__xludf.DUMMYFUNCTION("""COMPUTED_VALUE"""),"Carr Lane Pools, Hale")</f>
        <v>Carr Lane Pools, Hale</v>
      </c>
      <c r="H1754" s="12">
        <f ca="1">IFERROR(__xludf.DUMMYFUNCTION("""COMPUTED_VALUE"""),45591)</f>
        <v>45591</v>
      </c>
      <c r="I1754" s="13"/>
      <c r="J1754" s="14"/>
      <c r="K1754" s="15"/>
      <c r="L1754" s="17" t="str">
        <f ca="1">IFERROR(__xludf.DUMMYFUNCTION("""COMPUTED_VALUE"""),"exemption")</f>
        <v>exemption</v>
      </c>
      <c r="M1754" s="17"/>
      <c r="N1754" s="15" t="str">
        <f ca="1">IFERROR(__xludf.DUMMYFUNCTION("""COMPUTED_VALUE"""),"Description not needed")</f>
        <v>Description not needed</v>
      </c>
      <c r="O1754" s="18" t="str">
        <f ca="1">IFERROR(__xludf.DUMMYFUNCTION("""COMPUTED_VALUE"""),"Birdguides")</f>
        <v>Birdguides</v>
      </c>
      <c r="P1754" s="15"/>
      <c r="Q1754" s="15"/>
      <c r="R1754" s="15"/>
      <c r="S1754" s="15"/>
      <c r="T1754" s="15"/>
      <c r="U1754" s="15"/>
      <c r="V1754" s="15"/>
      <c r="W1754" s="15"/>
      <c r="X1754" s="15"/>
      <c r="Y1754" s="15"/>
      <c r="Z1754" s="15"/>
      <c r="AA1754" s="15"/>
      <c r="AB1754" s="15"/>
      <c r="AC1754" s="15"/>
      <c r="AD1754" s="15"/>
      <c r="AE1754" s="15"/>
      <c r="AF1754" s="15"/>
      <c r="AG1754" s="15"/>
      <c r="AH1754" s="15"/>
      <c r="AI1754" s="15"/>
      <c r="AJ1754" s="15"/>
      <c r="AK1754" s="15"/>
      <c r="AL1754" s="15"/>
      <c r="AM1754" s="15"/>
      <c r="AN1754" s="15"/>
      <c r="AO1754" s="15"/>
      <c r="AP1754" s="15"/>
      <c r="AQ1754" s="15"/>
      <c r="AR1754" s="15"/>
      <c r="AS1754" s="15"/>
      <c r="AT1754" s="15"/>
      <c r="AU1754" s="15"/>
      <c r="AV1754" s="15"/>
      <c r="AW1754" s="15"/>
      <c r="AX1754" s="15"/>
      <c r="AY1754" s="15"/>
      <c r="AZ1754" s="15"/>
      <c r="BA1754" s="15"/>
      <c r="BB1754" s="15"/>
      <c r="BC1754" s="15"/>
      <c r="BD1754" s="15"/>
      <c r="BE1754" s="15"/>
      <c r="BF1754" s="15"/>
      <c r="BG1754" s="15"/>
      <c r="BH1754" s="15"/>
      <c r="BI1754" s="15"/>
      <c r="BJ1754" s="15"/>
      <c r="BK1754" s="15"/>
      <c r="BL1754" s="15"/>
      <c r="BM1754" s="15"/>
      <c r="BN1754" s="15"/>
      <c r="BO1754" s="15"/>
      <c r="BP1754" s="15"/>
      <c r="BQ1754" s="15"/>
      <c r="BR1754" s="15"/>
      <c r="BS1754" s="15"/>
      <c r="BT1754" s="15"/>
      <c r="BU1754" s="15"/>
      <c r="BV1754" s="15"/>
      <c r="BW1754" s="15"/>
      <c r="BX1754" s="15"/>
      <c r="BY1754" s="15"/>
      <c r="BZ1754" s="15"/>
      <c r="CA1754" s="15"/>
      <c r="CB1754" s="15"/>
    </row>
    <row r="1755" spans="1:80" ht="12.75" customHeight="1">
      <c r="A1755" s="20">
        <f ca="1">IFERROR(__xludf.DUMMYFUNCTION("""COMPUTED_VALUE"""),2024)</f>
        <v>2024</v>
      </c>
      <c r="B1755" s="45"/>
      <c r="C1755" s="46"/>
      <c r="D1755" s="47" t="str">
        <f ca="1">IFERROR(__xludf.DUMMYFUNCTION("""COMPUTED_VALUE"""),"Water Pipit")</f>
        <v>Water Pipit</v>
      </c>
      <c r="E1755" s="52">
        <f ca="1">IFERROR(__xludf.DUMMYFUNCTION("""COMPUTED_VALUE"""),1)</f>
        <v>1</v>
      </c>
      <c r="F1755" s="25"/>
      <c r="G1755" s="48" t="str">
        <f ca="1">IFERROR(__xludf.DUMMYFUNCTION("""COMPUTED_VALUE"""),"Woolson Eyes")</f>
        <v>Woolson Eyes</v>
      </c>
      <c r="H1755" s="22">
        <f ca="1">IFERROR(__xludf.DUMMYFUNCTION("""COMPUTED_VALUE"""),45601)</f>
        <v>45601</v>
      </c>
      <c r="I1755" s="23"/>
      <c r="J1755" s="24"/>
      <c r="K1755" s="25"/>
      <c r="L1755" s="27" t="str">
        <f ca="1">IFERROR(__xludf.DUMMYFUNCTION("""COMPUTED_VALUE"""),"limbo")</f>
        <v>limbo</v>
      </c>
      <c r="M1755" s="27"/>
      <c r="N1755" s="25" t="str">
        <f ca="1">IFERROR(__xludf.DUMMYFUNCTION("""COMPUTED_VALUE"""),"not submitted")</f>
        <v>not submitted</v>
      </c>
      <c r="O1755" s="28" t="str">
        <f ca="1">IFERROR(__xludf.DUMMYFUNCTION("""COMPUTED_VALUE"""),"Birdguides")</f>
        <v>Birdguides</v>
      </c>
      <c r="P1755" s="25"/>
      <c r="Q1755" s="25"/>
      <c r="R1755" s="25"/>
      <c r="S1755" s="25"/>
      <c r="T1755" s="25"/>
      <c r="U1755" s="25"/>
      <c r="V1755" s="25"/>
      <c r="W1755" s="25"/>
      <c r="X1755" s="25"/>
      <c r="Y1755" s="25"/>
      <c r="Z1755" s="25"/>
      <c r="AA1755" s="25"/>
      <c r="AB1755" s="25"/>
      <c r="AC1755" s="25"/>
      <c r="AD1755" s="25"/>
      <c r="AE1755" s="25"/>
      <c r="AF1755" s="25"/>
      <c r="AG1755" s="25"/>
      <c r="AH1755" s="25"/>
      <c r="AI1755" s="25"/>
      <c r="AJ1755" s="25"/>
      <c r="AK1755" s="25"/>
      <c r="AL1755" s="25"/>
      <c r="AM1755" s="25"/>
      <c r="AN1755" s="25"/>
      <c r="AO1755" s="25"/>
      <c r="AP1755" s="25"/>
      <c r="AQ1755" s="25"/>
      <c r="AR1755" s="25"/>
      <c r="AS1755" s="25"/>
      <c r="AT1755" s="25"/>
      <c r="AU1755" s="25"/>
      <c r="AV1755" s="25"/>
      <c r="AW1755" s="25"/>
      <c r="AX1755" s="25"/>
      <c r="AY1755" s="25"/>
      <c r="AZ1755" s="25"/>
      <c r="BA1755" s="25"/>
      <c r="BB1755" s="25"/>
      <c r="BC1755" s="25"/>
      <c r="BD1755" s="25"/>
      <c r="BE1755" s="25"/>
      <c r="BF1755" s="25"/>
      <c r="BG1755" s="25"/>
      <c r="BH1755" s="25"/>
      <c r="BI1755" s="25"/>
      <c r="BJ1755" s="25"/>
      <c r="BK1755" s="25"/>
      <c r="BL1755" s="25"/>
      <c r="BM1755" s="25"/>
      <c r="BN1755" s="25"/>
      <c r="BO1755" s="25"/>
      <c r="BP1755" s="25"/>
      <c r="BQ1755" s="25"/>
      <c r="BR1755" s="25"/>
      <c r="BS1755" s="25"/>
      <c r="BT1755" s="25"/>
      <c r="BU1755" s="25"/>
      <c r="BV1755" s="25"/>
      <c r="BW1755" s="25"/>
      <c r="BX1755" s="25"/>
      <c r="BY1755" s="25"/>
      <c r="BZ1755" s="25"/>
      <c r="CA1755" s="25"/>
      <c r="CB1755" s="25"/>
    </row>
    <row r="1756" spans="1:80" ht="12.75" customHeight="1">
      <c r="A1756" s="10">
        <f ca="1">IFERROR(__xludf.DUMMYFUNCTION("""COMPUTED_VALUE"""),2024)</f>
        <v>2024</v>
      </c>
      <c r="B1756" s="50"/>
      <c r="C1756" s="41"/>
      <c r="D1756" s="42" t="str">
        <f ca="1">IFERROR(__xludf.DUMMYFUNCTION("""COMPUTED_VALUE"""),"Water Pipit")</f>
        <v>Water Pipit</v>
      </c>
      <c r="E1756" s="53">
        <f ca="1">IFERROR(__xludf.DUMMYFUNCTION("""COMPUTED_VALUE"""),2)</f>
        <v>2</v>
      </c>
      <c r="F1756" s="15"/>
      <c r="G1756" s="44" t="str">
        <f ca="1">IFERROR(__xludf.DUMMYFUNCTION("""COMPUTED_VALUE"""),"Frodsham, Lordship Lane")</f>
        <v>Frodsham, Lordship Lane</v>
      </c>
      <c r="H1756" s="12">
        <f ca="1">IFERROR(__xludf.DUMMYFUNCTION("""COMPUTED_VALUE"""),45606)</f>
        <v>45606</v>
      </c>
      <c r="I1756" s="12">
        <f ca="1">IFERROR(__xludf.DUMMYFUNCTION("""COMPUTED_VALUE"""),45606)</f>
        <v>45606</v>
      </c>
      <c r="J1756" s="14"/>
      <c r="K1756" s="15"/>
      <c r="L1756" s="17" t="str">
        <f ca="1">IFERROR(__xludf.DUMMYFUNCTION("""COMPUTED_VALUE"""),"exemption")</f>
        <v>exemption</v>
      </c>
      <c r="M1756" s="17"/>
      <c r="N1756" s="15" t="str">
        <f ca="1">IFERROR(__xludf.DUMMYFUNCTION("""COMPUTED_VALUE"""),"Description not needed")</f>
        <v>Description not needed</v>
      </c>
      <c r="O1756" s="18" t="str">
        <f ca="1">IFERROR(__xludf.DUMMYFUNCTION("""COMPUTED_VALUE"""),"Birdguides")</f>
        <v>Birdguides</v>
      </c>
      <c r="P1756" s="15"/>
      <c r="Q1756" s="15"/>
      <c r="R1756" s="15"/>
      <c r="S1756" s="15"/>
      <c r="T1756" s="15"/>
      <c r="U1756" s="15"/>
      <c r="V1756" s="15"/>
      <c r="W1756" s="15"/>
      <c r="X1756" s="15"/>
      <c r="Y1756" s="15"/>
      <c r="Z1756" s="15"/>
      <c r="AA1756" s="15"/>
      <c r="AB1756" s="15"/>
      <c r="AC1756" s="15"/>
      <c r="AD1756" s="15"/>
      <c r="AE1756" s="15"/>
      <c r="AF1756" s="15"/>
      <c r="AG1756" s="15"/>
      <c r="AH1756" s="15"/>
      <c r="AI1756" s="15"/>
      <c r="AJ1756" s="15"/>
      <c r="AK1756" s="15"/>
      <c r="AL1756" s="15"/>
      <c r="AM1756" s="15"/>
      <c r="AN1756" s="15"/>
      <c r="AO1756" s="15"/>
      <c r="AP1756" s="15"/>
      <c r="AQ1756" s="15"/>
      <c r="AR1756" s="15"/>
      <c r="AS1756" s="15"/>
      <c r="AT1756" s="15"/>
      <c r="AU1756" s="15"/>
      <c r="AV1756" s="15"/>
      <c r="AW1756" s="15"/>
      <c r="AX1756" s="15"/>
      <c r="AY1756" s="15"/>
      <c r="AZ1756" s="15"/>
      <c r="BA1756" s="15"/>
      <c r="BB1756" s="15"/>
      <c r="BC1756" s="15"/>
      <c r="BD1756" s="15"/>
      <c r="BE1756" s="15"/>
      <c r="BF1756" s="15"/>
      <c r="BG1756" s="15"/>
      <c r="BH1756" s="15"/>
      <c r="BI1756" s="15"/>
      <c r="BJ1756" s="15"/>
      <c r="BK1756" s="15"/>
      <c r="BL1756" s="15"/>
      <c r="BM1756" s="15"/>
      <c r="BN1756" s="15"/>
      <c r="BO1756" s="15"/>
      <c r="BP1756" s="15"/>
      <c r="BQ1756" s="15"/>
      <c r="BR1756" s="15"/>
      <c r="BS1756" s="15"/>
      <c r="BT1756" s="15"/>
      <c r="BU1756" s="15"/>
      <c r="BV1756" s="15"/>
      <c r="BW1756" s="15"/>
      <c r="BX1756" s="15"/>
      <c r="BY1756" s="15"/>
      <c r="BZ1756" s="15"/>
      <c r="CA1756" s="15"/>
      <c r="CB1756" s="15"/>
    </row>
    <row r="1757" spans="1:80" ht="12.75" customHeight="1">
      <c r="A1757" s="20">
        <f ca="1">IFERROR(__xludf.DUMMYFUNCTION("""COMPUTED_VALUE"""),2024)</f>
        <v>2024</v>
      </c>
      <c r="B1757" s="45"/>
      <c r="C1757" s="46"/>
      <c r="D1757" s="47" t="str">
        <f ca="1">IFERROR(__xludf.DUMMYFUNCTION("""COMPUTED_VALUE"""),"Water Pipit")</f>
        <v>Water Pipit</v>
      </c>
      <c r="E1757" s="52">
        <f ca="1">IFERROR(__xludf.DUMMYFUNCTION("""COMPUTED_VALUE"""),1)</f>
        <v>1</v>
      </c>
      <c r="F1757" s="25"/>
      <c r="G1757" s="48" t="str">
        <f ca="1">IFERROR(__xludf.DUMMYFUNCTION("""COMPUTED_VALUE"""),"Burton Mere Wetlands")</f>
        <v>Burton Mere Wetlands</v>
      </c>
      <c r="H1757" s="22">
        <f ca="1">IFERROR(__xludf.DUMMYFUNCTION("""COMPUTED_VALUE"""),45617)</f>
        <v>45617</v>
      </c>
      <c r="I1757" s="23"/>
      <c r="J1757" s="24"/>
      <c r="K1757" s="25"/>
      <c r="L1757" s="27" t="str">
        <f ca="1">IFERROR(__xludf.DUMMYFUNCTION("""COMPUTED_VALUE"""),"limbo")</f>
        <v>limbo</v>
      </c>
      <c r="M1757" s="27"/>
      <c r="N1757" s="25" t="str">
        <f ca="1">IFERROR(__xludf.DUMMYFUNCTION("""COMPUTED_VALUE"""),"not submitted")</f>
        <v>not submitted</v>
      </c>
      <c r="O1757" s="28" t="str">
        <f ca="1">IFERROR(__xludf.DUMMYFUNCTION("""COMPUTED_VALUE"""),"Birdguides")</f>
        <v>Birdguides</v>
      </c>
      <c r="P1757" s="25"/>
      <c r="Q1757" s="25"/>
      <c r="R1757" s="25"/>
      <c r="S1757" s="25"/>
      <c r="T1757" s="25"/>
      <c r="U1757" s="25"/>
      <c r="V1757" s="25"/>
      <c r="W1757" s="25"/>
      <c r="X1757" s="25"/>
      <c r="Y1757" s="25"/>
      <c r="Z1757" s="25"/>
      <c r="AA1757" s="25"/>
      <c r="AB1757" s="25"/>
      <c r="AC1757" s="25"/>
      <c r="AD1757" s="25"/>
      <c r="AE1757" s="25"/>
      <c r="AF1757" s="25"/>
      <c r="AG1757" s="25"/>
      <c r="AH1757" s="25"/>
      <c r="AI1757" s="25"/>
      <c r="AJ1757" s="25"/>
      <c r="AK1757" s="25"/>
      <c r="AL1757" s="25"/>
      <c r="AM1757" s="25"/>
      <c r="AN1757" s="25"/>
      <c r="AO1757" s="25"/>
      <c r="AP1757" s="25"/>
      <c r="AQ1757" s="25"/>
      <c r="AR1757" s="25"/>
      <c r="AS1757" s="25"/>
      <c r="AT1757" s="25"/>
      <c r="AU1757" s="25"/>
      <c r="AV1757" s="25"/>
      <c r="AW1757" s="25"/>
      <c r="AX1757" s="25"/>
      <c r="AY1757" s="25"/>
      <c r="AZ1757" s="25"/>
      <c r="BA1757" s="25"/>
      <c r="BB1757" s="25"/>
      <c r="BC1757" s="25"/>
      <c r="BD1757" s="25"/>
      <c r="BE1757" s="25"/>
      <c r="BF1757" s="25"/>
      <c r="BG1757" s="25"/>
      <c r="BH1757" s="25"/>
      <c r="BI1757" s="25"/>
      <c r="BJ1757" s="25"/>
      <c r="BK1757" s="25"/>
      <c r="BL1757" s="25"/>
      <c r="BM1757" s="25"/>
      <c r="BN1757" s="25"/>
      <c r="BO1757" s="25"/>
      <c r="BP1757" s="25"/>
      <c r="BQ1757" s="25"/>
      <c r="BR1757" s="25"/>
      <c r="BS1757" s="25"/>
      <c r="BT1757" s="25"/>
      <c r="BU1757" s="25"/>
      <c r="BV1757" s="25"/>
      <c r="BW1757" s="25"/>
      <c r="BX1757" s="25"/>
      <c r="BY1757" s="25"/>
      <c r="BZ1757" s="25"/>
      <c r="CA1757" s="25"/>
      <c r="CB1757" s="25"/>
    </row>
    <row r="1758" spans="1:80" ht="12.75" customHeight="1">
      <c r="A1758" s="10">
        <f ca="1">IFERROR(__xludf.DUMMYFUNCTION("""COMPUTED_VALUE"""),2024)</f>
        <v>2024</v>
      </c>
      <c r="B1758" s="50"/>
      <c r="C1758" s="41"/>
      <c r="D1758" s="42" t="str">
        <f ca="1">IFERROR(__xludf.DUMMYFUNCTION("""COMPUTED_VALUE"""),"Water Pipit")</f>
        <v>Water Pipit</v>
      </c>
      <c r="E1758" s="53">
        <f ca="1">IFERROR(__xludf.DUMMYFUNCTION("""COMPUTED_VALUE"""),1)</f>
        <v>1</v>
      </c>
      <c r="F1758" s="15"/>
      <c r="G1758" s="44" t="str">
        <f ca="1">IFERROR(__xludf.DUMMYFUNCTION("""COMPUTED_VALUE"""),"Carr Lane Pools, Hale")</f>
        <v>Carr Lane Pools, Hale</v>
      </c>
      <c r="H1758" s="12">
        <f ca="1">IFERROR(__xludf.DUMMYFUNCTION("""COMPUTED_VALUE"""),45634)</f>
        <v>45634</v>
      </c>
      <c r="I1758" s="12">
        <f ca="1">IFERROR(__xludf.DUMMYFUNCTION("""COMPUTED_VALUE"""),45634)</f>
        <v>45634</v>
      </c>
      <c r="J1758" s="14"/>
      <c r="K1758" s="15"/>
      <c r="L1758" s="17" t="str">
        <f ca="1">IFERROR(__xludf.DUMMYFUNCTION("""COMPUTED_VALUE"""),"exemption")</f>
        <v>exemption</v>
      </c>
      <c r="M1758" s="17"/>
      <c r="N1758" s="15" t="str">
        <f ca="1">IFERROR(__xludf.DUMMYFUNCTION("""COMPUTED_VALUE"""),"Description not needed")</f>
        <v>Description not needed</v>
      </c>
      <c r="O1758" s="18" t="str">
        <f ca="1">IFERROR(__xludf.DUMMYFUNCTION("""COMPUTED_VALUE"""),"Birdguides")</f>
        <v>Birdguides</v>
      </c>
      <c r="P1758" s="15"/>
      <c r="Q1758" s="15"/>
      <c r="R1758" s="15"/>
      <c r="S1758" s="15"/>
      <c r="T1758" s="15"/>
      <c r="U1758" s="15"/>
      <c r="V1758" s="15"/>
      <c r="W1758" s="15"/>
      <c r="X1758" s="15"/>
      <c r="Y1758" s="15"/>
      <c r="Z1758" s="15"/>
      <c r="AA1758" s="15"/>
      <c r="AB1758" s="15"/>
      <c r="AC1758" s="15"/>
      <c r="AD1758" s="15"/>
      <c r="AE1758" s="15"/>
      <c r="AF1758" s="15"/>
      <c r="AG1758" s="15"/>
      <c r="AH1758" s="15"/>
      <c r="AI1758" s="15"/>
      <c r="AJ1758" s="15"/>
      <c r="AK1758" s="15"/>
      <c r="AL1758" s="15"/>
      <c r="AM1758" s="15"/>
      <c r="AN1758" s="15"/>
      <c r="AO1758" s="15"/>
      <c r="AP1758" s="15"/>
      <c r="AQ1758" s="15"/>
      <c r="AR1758" s="15"/>
      <c r="AS1758" s="15"/>
      <c r="AT1758" s="15"/>
      <c r="AU1758" s="15"/>
      <c r="AV1758" s="15"/>
      <c r="AW1758" s="15"/>
      <c r="AX1758" s="15"/>
      <c r="AY1758" s="15"/>
      <c r="AZ1758" s="15"/>
      <c r="BA1758" s="15"/>
      <c r="BB1758" s="15"/>
      <c r="BC1758" s="15"/>
      <c r="BD1758" s="15"/>
      <c r="BE1758" s="15"/>
      <c r="BF1758" s="15"/>
      <c r="BG1758" s="15"/>
      <c r="BH1758" s="15"/>
      <c r="BI1758" s="15"/>
      <c r="BJ1758" s="15"/>
      <c r="BK1758" s="15"/>
      <c r="BL1758" s="15"/>
      <c r="BM1758" s="15"/>
      <c r="BN1758" s="15"/>
      <c r="BO1758" s="15"/>
      <c r="BP1758" s="15"/>
      <c r="BQ1758" s="15"/>
      <c r="BR1758" s="15"/>
      <c r="BS1758" s="15"/>
      <c r="BT1758" s="15"/>
      <c r="BU1758" s="15"/>
      <c r="BV1758" s="15"/>
      <c r="BW1758" s="15"/>
      <c r="BX1758" s="15"/>
      <c r="BY1758" s="15"/>
      <c r="BZ1758" s="15"/>
      <c r="CA1758" s="15"/>
      <c r="CB1758" s="15"/>
    </row>
    <row r="1759" spans="1:80" ht="12.75" customHeight="1">
      <c r="A1759" s="20">
        <f ca="1">IFERROR(__xludf.DUMMYFUNCTION("""COMPUTED_VALUE"""),2024)</f>
        <v>2024</v>
      </c>
      <c r="B1759" s="45"/>
      <c r="C1759" s="46"/>
      <c r="D1759" s="47" t="str">
        <f ca="1">IFERROR(__xludf.DUMMYFUNCTION("""COMPUTED_VALUE"""),"Water Pipit")</f>
        <v>Water Pipit</v>
      </c>
      <c r="E1759" s="52">
        <f ca="1">IFERROR(__xludf.DUMMYFUNCTION("""COMPUTED_VALUE"""),2)</f>
        <v>2</v>
      </c>
      <c r="F1759" s="25"/>
      <c r="G1759" s="48" t="str">
        <f ca="1">IFERROR(__xludf.DUMMYFUNCTION("""COMPUTED_VALUE"""),"Neston Marsh")</f>
        <v>Neston Marsh</v>
      </c>
      <c r="H1759" s="22">
        <f ca="1">IFERROR(__xludf.DUMMYFUNCTION("""COMPUTED_VALUE"""),45646)</f>
        <v>45646</v>
      </c>
      <c r="I1759" s="22">
        <f ca="1">IFERROR(__xludf.DUMMYFUNCTION("""COMPUTED_VALUE"""),45643)</f>
        <v>45643</v>
      </c>
      <c r="J1759" s="24"/>
      <c r="K1759" s="25"/>
      <c r="L1759" s="27" t="str">
        <f ca="1">IFERROR(__xludf.DUMMYFUNCTION("""COMPUTED_VALUE"""),"limbo")</f>
        <v>limbo</v>
      </c>
      <c r="M1759" s="27"/>
      <c r="N1759" s="25" t="str">
        <f ca="1">IFERROR(__xludf.DUMMYFUNCTION("""COMPUTED_VALUE"""),"not submitted")</f>
        <v>not submitted</v>
      </c>
      <c r="O1759" s="28" t="str">
        <f ca="1">IFERROR(__xludf.DUMMYFUNCTION("""COMPUTED_VALUE"""),"Birdguides")</f>
        <v>Birdguides</v>
      </c>
      <c r="P1759" s="25"/>
      <c r="Q1759" s="25"/>
      <c r="R1759" s="25"/>
      <c r="S1759" s="25"/>
      <c r="T1759" s="25"/>
      <c r="U1759" s="25"/>
      <c r="V1759" s="25"/>
      <c r="W1759" s="25"/>
      <c r="X1759" s="25"/>
      <c r="Y1759" s="25"/>
      <c r="Z1759" s="25"/>
      <c r="AA1759" s="25"/>
      <c r="AB1759" s="25"/>
      <c r="AC1759" s="25"/>
      <c r="AD1759" s="25"/>
      <c r="AE1759" s="25"/>
      <c r="AF1759" s="25"/>
      <c r="AG1759" s="25"/>
      <c r="AH1759" s="25"/>
      <c r="AI1759" s="25"/>
      <c r="AJ1759" s="25"/>
      <c r="AK1759" s="25"/>
      <c r="AL1759" s="25"/>
      <c r="AM1759" s="25"/>
      <c r="AN1759" s="25"/>
      <c r="AO1759" s="25"/>
      <c r="AP1759" s="25"/>
      <c r="AQ1759" s="25"/>
      <c r="AR1759" s="25"/>
      <c r="AS1759" s="25"/>
      <c r="AT1759" s="25"/>
      <c r="AU1759" s="25"/>
      <c r="AV1759" s="25"/>
      <c r="AW1759" s="25"/>
      <c r="AX1759" s="25"/>
      <c r="AY1759" s="25"/>
      <c r="AZ1759" s="25"/>
      <c r="BA1759" s="25"/>
      <c r="BB1759" s="25"/>
      <c r="BC1759" s="25"/>
      <c r="BD1759" s="25"/>
      <c r="BE1759" s="25"/>
      <c r="BF1759" s="25"/>
      <c r="BG1759" s="25"/>
      <c r="BH1759" s="25"/>
      <c r="BI1759" s="25"/>
      <c r="BJ1759" s="25"/>
      <c r="BK1759" s="25"/>
      <c r="BL1759" s="25"/>
      <c r="BM1759" s="25"/>
      <c r="BN1759" s="25"/>
      <c r="BO1759" s="25"/>
      <c r="BP1759" s="25"/>
      <c r="BQ1759" s="25"/>
      <c r="BR1759" s="25"/>
      <c r="BS1759" s="25"/>
      <c r="BT1759" s="25"/>
      <c r="BU1759" s="25"/>
      <c r="BV1759" s="25"/>
      <c r="BW1759" s="25"/>
      <c r="BX1759" s="25"/>
      <c r="BY1759" s="25"/>
      <c r="BZ1759" s="25"/>
      <c r="CA1759" s="25"/>
      <c r="CB1759" s="25"/>
    </row>
    <row r="1760" spans="1:80" ht="12.75" customHeight="1">
      <c r="A1760" s="10">
        <f ca="1">IFERROR(__xludf.DUMMYFUNCTION("""COMPUTED_VALUE"""),2024)</f>
        <v>2024</v>
      </c>
      <c r="B1760" s="50"/>
      <c r="C1760" s="41"/>
      <c r="D1760" s="42" t="str">
        <f ca="1">IFERROR(__xludf.DUMMYFUNCTION("""COMPUTED_VALUE"""),"Water Pipit")</f>
        <v>Water Pipit</v>
      </c>
      <c r="E1760" s="53">
        <f ca="1">IFERROR(__xludf.DUMMYFUNCTION("""COMPUTED_VALUE"""),3)</f>
        <v>3</v>
      </c>
      <c r="F1760" s="15"/>
      <c r="G1760" s="44" t="str">
        <f ca="1">IFERROR(__xludf.DUMMYFUNCTION("""COMPUTED_VALUE"""),"Parkgate")</f>
        <v>Parkgate</v>
      </c>
      <c r="H1760" s="12">
        <f ca="1">IFERROR(__xludf.DUMMYFUNCTION("""COMPUTED_VALUE"""),45654)</f>
        <v>45654</v>
      </c>
      <c r="I1760" s="12">
        <f ca="1">IFERROR(__xludf.DUMMYFUNCTION("""COMPUTED_VALUE"""),45654)</f>
        <v>45654</v>
      </c>
      <c r="J1760" s="14"/>
      <c r="K1760" s="15"/>
      <c r="L1760" s="17" t="str">
        <f ca="1">IFERROR(__xludf.DUMMYFUNCTION("""COMPUTED_VALUE"""),"limbo")</f>
        <v>limbo</v>
      </c>
      <c r="M1760" s="17"/>
      <c r="N1760" s="15" t="str">
        <f ca="1">IFERROR(__xludf.DUMMYFUNCTION("""COMPUTED_VALUE"""),"not submitted")</f>
        <v>not submitted</v>
      </c>
      <c r="O1760" s="18" t="str">
        <f ca="1">IFERROR(__xludf.DUMMYFUNCTION("""COMPUTED_VALUE"""),"Birdguides")</f>
        <v>Birdguides</v>
      </c>
      <c r="P1760" s="15"/>
      <c r="Q1760" s="15"/>
      <c r="R1760" s="15"/>
      <c r="S1760" s="15"/>
      <c r="T1760" s="15"/>
      <c r="U1760" s="15"/>
      <c r="V1760" s="15"/>
      <c r="W1760" s="15"/>
      <c r="X1760" s="15"/>
      <c r="Y1760" s="15"/>
      <c r="Z1760" s="15"/>
      <c r="AA1760" s="15"/>
      <c r="AB1760" s="15"/>
      <c r="AC1760" s="15"/>
      <c r="AD1760" s="15"/>
      <c r="AE1760" s="15"/>
      <c r="AF1760" s="15"/>
      <c r="AG1760" s="15"/>
      <c r="AH1760" s="15"/>
      <c r="AI1760" s="15"/>
      <c r="AJ1760" s="15"/>
      <c r="AK1760" s="15"/>
      <c r="AL1760" s="15"/>
      <c r="AM1760" s="15"/>
      <c r="AN1760" s="15"/>
      <c r="AO1760" s="15"/>
      <c r="AP1760" s="15"/>
      <c r="AQ1760" s="15"/>
      <c r="AR1760" s="15"/>
      <c r="AS1760" s="15"/>
      <c r="AT1760" s="15"/>
      <c r="AU1760" s="15"/>
      <c r="AV1760" s="15"/>
      <c r="AW1760" s="15"/>
      <c r="AX1760" s="15"/>
      <c r="AY1760" s="15"/>
      <c r="AZ1760" s="15"/>
      <c r="BA1760" s="15"/>
      <c r="BB1760" s="15"/>
      <c r="BC1760" s="15"/>
      <c r="BD1760" s="15"/>
      <c r="BE1760" s="15"/>
      <c r="BF1760" s="15"/>
      <c r="BG1760" s="15"/>
      <c r="BH1760" s="15"/>
      <c r="BI1760" s="15"/>
      <c r="BJ1760" s="15"/>
      <c r="BK1760" s="15"/>
      <c r="BL1760" s="15"/>
      <c r="BM1760" s="15"/>
      <c r="BN1760" s="15"/>
      <c r="BO1760" s="15"/>
      <c r="BP1760" s="15"/>
      <c r="BQ1760" s="15"/>
      <c r="BR1760" s="15"/>
      <c r="BS1760" s="15"/>
      <c r="BT1760" s="15"/>
      <c r="BU1760" s="15"/>
      <c r="BV1760" s="15"/>
      <c r="BW1760" s="15"/>
      <c r="BX1760" s="15"/>
      <c r="BY1760" s="15"/>
      <c r="BZ1760" s="15"/>
      <c r="CA1760" s="15"/>
      <c r="CB1760" s="15"/>
    </row>
    <row r="1761" spans="1:80" ht="12.75" customHeight="1">
      <c r="A1761" s="20">
        <f ca="1">IFERROR(__xludf.DUMMYFUNCTION("""COMPUTED_VALUE"""),2024)</f>
        <v>2024</v>
      </c>
      <c r="B1761" s="45"/>
      <c r="C1761" s="46"/>
      <c r="D1761" s="47" t="str">
        <f ca="1">IFERROR(__xludf.DUMMYFUNCTION("""COMPUTED_VALUE"""),"Water Pipit")</f>
        <v>Water Pipit</v>
      </c>
      <c r="E1761" s="52">
        <f ca="1">IFERROR(__xludf.DUMMYFUNCTION("""COMPUTED_VALUE"""),1)</f>
        <v>1</v>
      </c>
      <c r="F1761" s="25"/>
      <c r="G1761" s="48" t="str">
        <f ca="1">IFERROR(__xludf.DUMMYFUNCTION("""COMPUTED_VALUE"""),"Frodsham No 6 Tank")</f>
        <v>Frodsham No 6 Tank</v>
      </c>
      <c r="H1761" s="22">
        <f ca="1">IFERROR(__xludf.DUMMYFUNCTION("""COMPUTED_VALUE"""),45655)</f>
        <v>45655</v>
      </c>
      <c r="I1761" s="22">
        <f ca="1">IFERROR(__xludf.DUMMYFUNCTION("""COMPUTED_VALUE"""),45655)</f>
        <v>45655</v>
      </c>
      <c r="J1761" s="24"/>
      <c r="K1761" s="25"/>
      <c r="L1761" s="27" t="str">
        <f ca="1">IFERROR(__xludf.DUMMYFUNCTION("""COMPUTED_VALUE"""),"exemption")</f>
        <v>exemption</v>
      </c>
      <c r="M1761" s="27"/>
      <c r="N1761" s="25" t="str">
        <f ca="1">IFERROR(__xludf.DUMMYFUNCTION("""COMPUTED_VALUE"""),"Description not needed")</f>
        <v>Description not needed</v>
      </c>
      <c r="O1761" s="28" t="str">
        <f ca="1">IFERROR(__xludf.DUMMYFUNCTION("""COMPUTED_VALUE"""),"Birdguides")</f>
        <v>Birdguides</v>
      </c>
      <c r="P1761" s="25"/>
      <c r="Q1761" s="25"/>
      <c r="R1761" s="25"/>
      <c r="S1761" s="25"/>
      <c r="T1761" s="25"/>
      <c r="U1761" s="25"/>
      <c r="V1761" s="25"/>
      <c r="W1761" s="25"/>
      <c r="X1761" s="25"/>
      <c r="Y1761" s="25"/>
      <c r="Z1761" s="25"/>
      <c r="AA1761" s="25"/>
      <c r="AB1761" s="25"/>
      <c r="AC1761" s="25"/>
      <c r="AD1761" s="25"/>
      <c r="AE1761" s="25"/>
      <c r="AF1761" s="25"/>
      <c r="AG1761" s="25"/>
      <c r="AH1761" s="25"/>
      <c r="AI1761" s="25"/>
      <c r="AJ1761" s="25"/>
      <c r="AK1761" s="25"/>
      <c r="AL1761" s="25"/>
      <c r="AM1761" s="25"/>
      <c r="AN1761" s="25"/>
      <c r="AO1761" s="25"/>
      <c r="AP1761" s="25"/>
      <c r="AQ1761" s="25"/>
      <c r="AR1761" s="25"/>
      <c r="AS1761" s="25"/>
      <c r="AT1761" s="25"/>
      <c r="AU1761" s="25"/>
      <c r="AV1761" s="25"/>
      <c r="AW1761" s="25"/>
      <c r="AX1761" s="25"/>
      <c r="AY1761" s="25"/>
      <c r="AZ1761" s="25"/>
      <c r="BA1761" s="25"/>
      <c r="BB1761" s="25"/>
      <c r="BC1761" s="25"/>
      <c r="BD1761" s="25"/>
      <c r="BE1761" s="25"/>
      <c r="BF1761" s="25"/>
      <c r="BG1761" s="25"/>
      <c r="BH1761" s="25"/>
      <c r="BI1761" s="25"/>
      <c r="BJ1761" s="25"/>
      <c r="BK1761" s="25"/>
      <c r="BL1761" s="25"/>
      <c r="BM1761" s="25"/>
      <c r="BN1761" s="25"/>
      <c r="BO1761" s="25"/>
      <c r="BP1761" s="25"/>
      <c r="BQ1761" s="25"/>
      <c r="BR1761" s="25"/>
      <c r="BS1761" s="25"/>
      <c r="BT1761" s="25"/>
      <c r="BU1761" s="25"/>
      <c r="BV1761" s="25"/>
      <c r="BW1761" s="25"/>
      <c r="BX1761" s="25"/>
      <c r="BY1761" s="25"/>
      <c r="BZ1761" s="25"/>
      <c r="CA1761" s="25"/>
      <c r="CB1761" s="25"/>
    </row>
    <row r="1762" spans="1:80" ht="12.75" customHeight="1">
      <c r="A1762" s="10">
        <f ca="1">IFERROR(__xludf.DUMMYFUNCTION("""COMPUTED_VALUE"""),2024)</f>
        <v>2024</v>
      </c>
      <c r="B1762" s="50"/>
      <c r="C1762" s="41"/>
      <c r="D1762" s="42" t="str">
        <f ca="1">IFERROR(__xludf.DUMMYFUNCTION("""COMPUTED_VALUE"""),"Turtle Dove")</f>
        <v>Turtle Dove</v>
      </c>
      <c r="E1762" s="53">
        <f ca="1">IFERROR(__xludf.DUMMYFUNCTION("""COMPUTED_VALUE"""),1)</f>
        <v>1</v>
      </c>
      <c r="F1762" s="15"/>
      <c r="G1762" s="44" t="str">
        <f ca="1">IFERROR(__xludf.DUMMYFUNCTION("""COMPUTED_VALUE"""),"Leasowe")</f>
        <v>Leasowe</v>
      </c>
      <c r="H1762" s="12">
        <f ca="1">IFERROR(__xludf.DUMMYFUNCTION("""COMPUTED_VALUE"""),45572)</f>
        <v>45572</v>
      </c>
      <c r="I1762" s="13"/>
      <c r="J1762" s="14"/>
      <c r="K1762" s="15"/>
      <c r="L1762" s="17" t="str">
        <f ca="1">IFERROR(__xludf.DUMMYFUNCTION("""COMPUTED_VALUE"""),"limbo")</f>
        <v>limbo</v>
      </c>
      <c r="M1762" s="17"/>
      <c r="N1762" s="15" t="str">
        <f ca="1">IFERROR(__xludf.DUMMYFUNCTION("""COMPUTED_VALUE"""),"not submitted")</f>
        <v>not submitted</v>
      </c>
      <c r="O1762" s="18" t="str">
        <f ca="1">IFERROR(__xludf.DUMMYFUNCTION("""COMPUTED_VALUE"""),"Birdguides")</f>
        <v>Birdguides</v>
      </c>
      <c r="P1762" s="15"/>
      <c r="Q1762" s="15"/>
      <c r="R1762" s="15"/>
      <c r="S1762" s="15"/>
      <c r="T1762" s="15"/>
      <c r="U1762" s="15"/>
      <c r="V1762" s="15"/>
      <c r="W1762" s="15"/>
      <c r="X1762" s="15"/>
      <c r="Y1762" s="15"/>
      <c r="Z1762" s="15"/>
      <c r="AA1762" s="15"/>
      <c r="AB1762" s="15"/>
      <c r="AC1762" s="15"/>
      <c r="AD1762" s="15"/>
      <c r="AE1762" s="15"/>
      <c r="AF1762" s="15"/>
      <c r="AG1762" s="15"/>
      <c r="AH1762" s="15"/>
      <c r="AI1762" s="15"/>
      <c r="AJ1762" s="15"/>
      <c r="AK1762" s="15"/>
      <c r="AL1762" s="15"/>
      <c r="AM1762" s="15"/>
      <c r="AN1762" s="15"/>
      <c r="AO1762" s="15"/>
      <c r="AP1762" s="15"/>
      <c r="AQ1762" s="15"/>
      <c r="AR1762" s="15"/>
      <c r="AS1762" s="15"/>
      <c r="AT1762" s="15"/>
      <c r="AU1762" s="15"/>
      <c r="AV1762" s="15"/>
      <c r="AW1762" s="15"/>
      <c r="AX1762" s="15"/>
      <c r="AY1762" s="15"/>
      <c r="AZ1762" s="15"/>
      <c r="BA1762" s="15"/>
      <c r="BB1762" s="15"/>
      <c r="BC1762" s="15"/>
      <c r="BD1762" s="15"/>
      <c r="BE1762" s="15"/>
      <c r="BF1762" s="15"/>
      <c r="BG1762" s="15"/>
      <c r="BH1762" s="15"/>
      <c r="BI1762" s="15"/>
      <c r="BJ1762" s="15"/>
      <c r="BK1762" s="15"/>
      <c r="BL1762" s="15"/>
      <c r="BM1762" s="15"/>
      <c r="BN1762" s="15"/>
      <c r="BO1762" s="15"/>
      <c r="BP1762" s="15"/>
      <c r="BQ1762" s="15"/>
      <c r="BR1762" s="15"/>
      <c r="BS1762" s="15"/>
      <c r="BT1762" s="15"/>
      <c r="BU1762" s="15"/>
      <c r="BV1762" s="15"/>
      <c r="BW1762" s="15"/>
      <c r="BX1762" s="15"/>
      <c r="BY1762" s="15"/>
      <c r="BZ1762" s="15"/>
      <c r="CA1762" s="15"/>
      <c r="CB1762" s="15"/>
    </row>
    <row r="1763" spans="1:80" ht="12.75" customHeight="1">
      <c r="A1763" s="20">
        <f ca="1">IFERROR(__xludf.DUMMYFUNCTION("""COMPUTED_VALUE"""),2024)</f>
        <v>2024</v>
      </c>
      <c r="B1763" s="45"/>
      <c r="C1763" s="46"/>
      <c r="D1763" s="47" t="str">
        <f ca="1">IFERROR(__xludf.DUMMYFUNCTION("""COMPUTED_VALUE"""),"Goshawk")</f>
        <v>Goshawk</v>
      </c>
      <c r="E1763" s="52">
        <f ca="1">IFERROR(__xludf.DUMMYFUNCTION("""COMPUTED_VALUE"""),1)</f>
        <v>1</v>
      </c>
      <c r="F1763" s="25" t="str">
        <f ca="1">IFERROR(__xludf.DUMMYFUNCTION("""COMPUTED_VALUE"""),"imm m")</f>
        <v>imm m</v>
      </c>
      <c r="G1763" s="48" t="str">
        <f ca="1">IFERROR(__xludf.DUMMYFUNCTION("""COMPUTED_VALUE"""),"Woolston Eyes")</f>
        <v>Woolston Eyes</v>
      </c>
      <c r="H1763" s="22">
        <f ca="1">IFERROR(__xludf.DUMMYFUNCTION("""COMPUTED_VALUE"""),45592)</f>
        <v>45592</v>
      </c>
      <c r="I1763" s="23"/>
      <c r="J1763" s="24"/>
      <c r="K1763" s="25"/>
      <c r="L1763" s="27" t="str">
        <f ca="1">IFERROR(__xludf.DUMMYFUNCTION("""COMPUTED_VALUE"""),"limbo")</f>
        <v>limbo</v>
      </c>
      <c r="M1763" s="27"/>
      <c r="N1763" s="25" t="str">
        <f ca="1">IFERROR(__xludf.DUMMYFUNCTION("""COMPUTED_VALUE"""),"not submitted")</f>
        <v>not submitted</v>
      </c>
      <c r="O1763" s="28"/>
      <c r="P1763" s="25"/>
      <c r="Q1763" s="25"/>
      <c r="R1763" s="25"/>
      <c r="S1763" s="25"/>
      <c r="T1763" s="25"/>
      <c r="U1763" s="25"/>
      <c r="V1763" s="25"/>
      <c r="W1763" s="25"/>
      <c r="X1763" s="25"/>
      <c r="Y1763" s="25"/>
      <c r="Z1763" s="25"/>
      <c r="AA1763" s="25"/>
      <c r="AB1763" s="25"/>
      <c r="AC1763" s="25"/>
      <c r="AD1763" s="25"/>
      <c r="AE1763" s="25"/>
      <c r="AF1763" s="25"/>
      <c r="AG1763" s="25"/>
      <c r="AH1763" s="25"/>
      <c r="AI1763" s="25"/>
      <c r="AJ1763" s="25"/>
      <c r="AK1763" s="25"/>
      <c r="AL1763" s="25"/>
      <c r="AM1763" s="25"/>
      <c r="AN1763" s="25"/>
      <c r="AO1763" s="25"/>
      <c r="AP1763" s="25"/>
      <c r="AQ1763" s="25"/>
      <c r="AR1763" s="25"/>
      <c r="AS1763" s="25"/>
      <c r="AT1763" s="25"/>
      <c r="AU1763" s="25"/>
      <c r="AV1763" s="25"/>
      <c r="AW1763" s="25"/>
      <c r="AX1763" s="25"/>
      <c r="AY1763" s="25"/>
      <c r="AZ1763" s="25"/>
      <c r="BA1763" s="25"/>
      <c r="BB1763" s="25"/>
      <c r="BC1763" s="25"/>
      <c r="BD1763" s="25"/>
      <c r="BE1763" s="25"/>
      <c r="BF1763" s="25"/>
      <c r="BG1763" s="25"/>
      <c r="BH1763" s="25"/>
      <c r="BI1763" s="25"/>
      <c r="BJ1763" s="25"/>
      <c r="BK1763" s="25"/>
      <c r="BL1763" s="25"/>
      <c r="BM1763" s="25"/>
      <c r="BN1763" s="25"/>
      <c r="BO1763" s="25"/>
      <c r="BP1763" s="25"/>
      <c r="BQ1763" s="25"/>
      <c r="BR1763" s="25"/>
      <c r="BS1763" s="25"/>
      <c r="BT1763" s="25"/>
      <c r="BU1763" s="25"/>
      <c r="BV1763" s="25"/>
      <c r="BW1763" s="25"/>
      <c r="BX1763" s="25"/>
      <c r="BY1763" s="25"/>
      <c r="BZ1763" s="25"/>
      <c r="CA1763" s="25"/>
      <c r="CB1763" s="25"/>
    </row>
    <row r="1764" spans="1:80" ht="12.75" customHeight="1">
      <c r="A1764" s="10">
        <f ca="1">IFERROR(__xludf.DUMMYFUNCTION("""COMPUTED_VALUE"""),2025)</f>
        <v>2025</v>
      </c>
      <c r="B1764" s="50"/>
      <c r="C1764" s="41"/>
      <c r="D1764" s="42" t="str">
        <f ca="1">IFERROR(__xludf.DUMMYFUNCTION("""COMPUTED_VALUE"""),"Goshawk")</f>
        <v>Goshawk</v>
      </c>
      <c r="E1764" s="53">
        <f ca="1">IFERROR(__xludf.DUMMYFUNCTION("""COMPUTED_VALUE"""),1)</f>
        <v>1</v>
      </c>
      <c r="F1764" s="15"/>
      <c r="G1764" s="44" t="str">
        <f ca="1">IFERROR(__xludf.DUMMYFUNCTION("""COMPUTED_VALUE"""),"Burton Marsh")</f>
        <v>Burton Marsh</v>
      </c>
      <c r="H1764" s="12">
        <f ca="1">IFERROR(__xludf.DUMMYFUNCTION("""COMPUTED_VALUE"""),45702)</f>
        <v>45702</v>
      </c>
      <c r="I1764" s="13"/>
      <c r="J1764" s="14"/>
      <c r="K1764" s="15"/>
      <c r="L1764" s="17" t="str">
        <f ca="1">IFERROR(__xludf.DUMMYFUNCTION("""COMPUTED_VALUE"""),"limbo")</f>
        <v>limbo</v>
      </c>
      <c r="M1764" s="17"/>
      <c r="N1764" s="15" t="str">
        <f ca="1">IFERROR(__xludf.DUMMYFUNCTION("""COMPUTED_VALUE"""),"not submitted")</f>
        <v>not submitted</v>
      </c>
      <c r="O1764" s="18"/>
      <c r="P1764" s="15"/>
      <c r="Q1764" s="15"/>
      <c r="R1764" s="15"/>
      <c r="S1764" s="15"/>
      <c r="T1764" s="15"/>
      <c r="U1764" s="15"/>
      <c r="V1764" s="15"/>
      <c r="W1764" s="15"/>
      <c r="X1764" s="15"/>
      <c r="Y1764" s="15"/>
      <c r="Z1764" s="15"/>
      <c r="AA1764" s="15"/>
      <c r="AB1764" s="15"/>
      <c r="AC1764" s="15"/>
      <c r="AD1764" s="15"/>
      <c r="AE1764" s="15"/>
      <c r="AF1764" s="15"/>
      <c r="AG1764" s="15"/>
      <c r="AH1764" s="15"/>
      <c r="AI1764" s="15"/>
      <c r="AJ1764" s="15"/>
      <c r="AK1764" s="15"/>
      <c r="AL1764" s="15"/>
      <c r="AM1764" s="15"/>
      <c r="AN1764" s="15"/>
      <c r="AO1764" s="15"/>
      <c r="AP1764" s="15"/>
      <c r="AQ1764" s="15"/>
      <c r="AR1764" s="15"/>
      <c r="AS1764" s="15"/>
      <c r="AT1764" s="15"/>
      <c r="AU1764" s="15"/>
      <c r="AV1764" s="15"/>
      <c r="AW1764" s="15"/>
      <c r="AX1764" s="15"/>
      <c r="AY1764" s="15"/>
      <c r="AZ1764" s="15"/>
      <c r="BA1764" s="15"/>
      <c r="BB1764" s="15"/>
      <c r="BC1764" s="15"/>
      <c r="BD1764" s="15"/>
      <c r="BE1764" s="15"/>
      <c r="BF1764" s="15"/>
      <c r="BG1764" s="15"/>
      <c r="BH1764" s="15"/>
      <c r="BI1764" s="15"/>
      <c r="BJ1764" s="15"/>
      <c r="BK1764" s="15"/>
      <c r="BL1764" s="15"/>
      <c r="BM1764" s="15"/>
      <c r="BN1764" s="15"/>
      <c r="BO1764" s="15"/>
      <c r="BP1764" s="15"/>
      <c r="BQ1764" s="15"/>
      <c r="BR1764" s="15"/>
      <c r="BS1764" s="15"/>
      <c r="BT1764" s="15"/>
      <c r="BU1764" s="15"/>
      <c r="BV1764" s="15"/>
      <c r="BW1764" s="15"/>
      <c r="BX1764" s="15"/>
      <c r="BY1764" s="15"/>
      <c r="BZ1764" s="15"/>
      <c r="CA1764" s="15"/>
      <c r="CB1764" s="15"/>
    </row>
    <row r="1765" spans="1:80" ht="12.75" customHeight="1">
      <c r="A1765" s="20">
        <f ca="1">IFERROR(__xludf.DUMMYFUNCTION("""COMPUTED_VALUE"""),2025)</f>
        <v>2025</v>
      </c>
      <c r="B1765" s="45"/>
      <c r="C1765" s="46"/>
      <c r="D1765" s="47" t="str">
        <f ca="1">IFERROR(__xludf.DUMMYFUNCTION("""COMPUTED_VALUE"""),"Goshawk")</f>
        <v>Goshawk</v>
      </c>
      <c r="E1765" s="52">
        <f ca="1">IFERROR(__xludf.DUMMYFUNCTION("""COMPUTED_VALUE"""),1)</f>
        <v>1</v>
      </c>
      <c r="F1765" s="25"/>
      <c r="G1765" s="48" t="str">
        <f ca="1">IFERROR(__xludf.DUMMYFUNCTION("""COMPUTED_VALUE"""),"Macclesfield Forest")</f>
        <v>Macclesfield Forest</v>
      </c>
      <c r="H1765" s="22">
        <f ca="1">IFERROR(__xludf.DUMMYFUNCTION("""COMPUTED_VALUE"""),45707)</f>
        <v>45707</v>
      </c>
      <c r="I1765" s="23"/>
      <c r="J1765" s="24"/>
      <c r="K1765" s="25"/>
      <c r="L1765" s="27" t="str">
        <f ca="1">IFERROR(__xludf.DUMMYFUNCTION("""COMPUTED_VALUE"""),"closed")</f>
        <v>closed</v>
      </c>
      <c r="M1765" s="27"/>
      <c r="N1765" s="25" t="str">
        <f ca="1">IFERROR(__xludf.DUMMYFUNCTION("""COMPUTED_VALUE"""),"accepted by proxy")</f>
        <v>accepted by proxy</v>
      </c>
      <c r="O1765" s="28"/>
      <c r="P1765" s="25"/>
      <c r="Q1765" s="25"/>
      <c r="R1765" s="25"/>
      <c r="S1765" s="25"/>
      <c r="T1765" s="25"/>
      <c r="U1765" s="25"/>
      <c r="V1765" s="25"/>
      <c r="W1765" s="25"/>
      <c r="X1765" s="25"/>
      <c r="Y1765" s="25"/>
      <c r="Z1765" s="25"/>
      <c r="AA1765" s="25"/>
      <c r="AB1765" s="25"/>
      <c r="AC1765" s="25"/>
      <c r="AD1765" s="25"/>
      <c r="AE1765" s="25"/>
      <c r="AF1765" s="25"/>
      <c r="AG1765" s="25"/>
      <c r="AH1765" s="25"/>
      <c r="AI1765" s="25"/>
      <c r="AJ1765" s="25"/>
      <c r="AK1765" s="25"/>
      <c r="AL1765" s="25"/>
      <c r="AM1765" s="25"/>
      <c r="AN1765" s="25"/>
      <c r="AO1765" s="25"/>
      <c r="AP1765" s="25"/>
      <c r="AQ1765" s="25"/>
      <c r="AR1765" s="25"/>
      <c r="AS1765" s="25"/>
      <c r="AT1765" s="25"/>
      <c r="AU1765" s="25"/>
      <c r="AV1765" s="25"/>
      <c r="AW1765" s="25"/>
      <c r="AX1765" s="25"/>
      <c r="AY1765" s="25"/>
      <c r="AZ1765" s="25"/>
      <c r="BA1765" s="25"/>
      <c r="BB1765" s="25"/>
      <c r="BC1765" s="25"/>
      <c r="BD1765" s="25"/>
      <c r="BE1765" s="25"/>
      <c r="BF1765" s="25"/>
      <c r="BG1765" s="25"/>
      <c r="BH1765" s="25"/>
      <c r="BI1765" s="25"/>
      <c r="BJ1765" s="25"/>
      <c r="BK1765" s="25"/>
      <c r="BL1765" s="25"/>
      <c r="BM1765" s="25"/>
      <c r="BN1765" s="25"/>
      <c r="BO1765" s="25"/>
      <c r="BP1765" s="25"/>
      <c r="BQ1765" s="25"/>
      <c r="BR1765" s="25"/>
      <c r="BS1765" s="25"/>
      <c r="BT1765" s="25"/>
      <c r="BU1765" s="25"/>
      <c r="BV1765" s="25"/>
      <c r="BW1765" s="25"/>
      <c r="BX1765" s="25"/>
      <c r="BY1765" s="25"/>
      <c r="BZ1765" s="25"/>
      <c r="CA1765" s="25"/>
      <c r="CB1765" s="25"/>
    </row>
    <row r="1766" spans="1:80" ht="12.75" customHeight="1">
      <c r="A1766" s="10">
        <f ca="1">IFERROR(__xludf.DUMMYFUNCTION("""COMPUTED_VALUE"""),2025)</f>
        <v>2025</v>
      </c>
      <c r="B1766" s="50"/>
      <c r="C1766" s="41"/>
      <c r="D1766" s="42" t="str">
        <f ca="1">IFERROR(__xludf.DUMMYFUNCTION("""COMPUTED_VALUE"""),"Goshawk")</f>
        <v>Goshawk</v>
      </c>
      <c r="E1766" s="53">
        <f ca="1">IFERROR(__xludf.DUMMYFUNCTION("""COMPUTED_VALUE"""),2)</f>
        <v>2</v>
      </c>
      <c r="F1766" s="15"/>
      <c r="G1766" s="44" t="str">
        <f ca="1">IFERROR(__xludf.DUMMYFUNCTION("""COMPUTED_VALUE"""),"Macclesfield Forest")</f>
        <v>Macclesfield Forest</v>
      </c>
      <c r="H1766" s="12">
        <f ca="1">IFERROR(__xludf.DUMMYFUNCTION("""COMPUTED_VALUE"""),45752)</f>
        <v>45752</v>
      </c>
      <c r="I1766" s="13"/>
      <c r="J1766" s="14"/>
      <c r="K1766" s="15"/>
      <c r="L1766" s="17" t="str">
        <f ca="1">IFERROR(__xludf.DUMMYFUNCTION("""COMPUTED_VALUE"""),"closed")</f>
        <v>closed</v>
      </c>
      <c r="M1766" s="17"/>
      <c r="N1766" s="15" t="str">
        <f ca="1">IFERROR(__xludf.DUMMYFUNCTION("""COMPUTED_VALUE"""),"Accepted ")</f>
        <v xml:space="preserve">Accepted </v>
      </c>
      <c r="O1766" s="18" t="str">
        <f ca="1">IFERROR(__xludf.DUMMYFUNCTION("""COMPUTED_VALUE"""),"displaying pair")</f>
        <v>displaying pair</v>
      </c>
      <c r="P1766" s="15"/>
      <c r="Q1766" s="15"/>
      <c r="R1766" s="15"/>
      <c r="S1766" s="15"/>
      <c r="T1766" s="15"/>
      <c r="U1766" s="15"/>
      <c r="V1766" s="15"/>
      <c r="W1766" s="15"/>
      <c r="X1766" s="15"/>
      <c r="Y1766" s="15"/>
      <c r="Z1766" s="15"/>
      <c r="AA1766" s="15"/>
      <c r="AB1766" s="15"/>
      <c r="AC1766" s="15"/>
      <c r="AD1766" s="15"/>
      <c r="AE1766" s="15"/>
      <c r="AF1766" s="15"/>
      <c r="AG1766" s="15"/>
      <c r="AH1766" s="15"/>
      <c r="AI1766" s="15"/>
      <c r="AJ1766" s="15"/>
      <c r="AK1766" s="15"/>
      <c r="AL1766" s="15"/>
      <c r="AM1766" s="15"/>
      <c r="AN1766" s="15"/>
      <c r="AO1766" s="15"/>
      <c r="AP1766" s="15"/>
      <c r="AQ1766" s="15"/>
      <c r="AR1766" s="15"/>
      <c r="AS1766" s="15"/>
      <c r="AT1766" s="15"/>
      <c r="AU1766" s="15"/>
      <c r="AV1766" s="15"/>
      <c r="AW1766" s="15"/>
      <c r="AX1766" s="15"/>
      <c r="AY1766" s="15"/>
      <c r="AZ1766" s="15"/>
      <c r="BA1766" s="15"/>
      <c r="BB1766" s="15"/>
      <c r="BC1766" s="15"/>
      <c r="BD1766" s="15"/>
      <c r="BE1766" s="15"/>
      <c r="BF1766" s="15"/>
      <c r="BG1766" s="15"/>
      <c r="BH1766" s="15"/>
      <c r="BI1766" s="15"/>
      <c r="BJ1766" s="15"/>
      <c r="BK1766" s="15"/>
      <c r="BL1766" s="15"/>
      <c r="BM1766" s="15"/>
      <c r="BN1766" s="15"/>
      <c r="BO1766" s="15"/>
      <c r="BP1766" s="15"/>
      <c r="BQ1766" s="15"/>
      <c r="BR1766" s="15"/>
      <c r="BS1766" s="15"/>
      <c r="BT1766" s="15"/>
      <c r="BU1766" s="15"/>
      <c r="BV1766" s="15"/>
      <c r="BW1766" s="15"/>
      <c r="BX1766" s="15"/>
      <c r="BY1766" s="15"/>
      <c r="BZ1766" s="15"/>
      <c r="CA1766" s="15"/>
      <c r="CB1766" s="15"/>
    </row>
    <row r="1767" spans="1:80" ht="12.75" customHeight="1">
      <c r="A1767" s="20">
        <f ca="1">IFERROR(__xludf.DUMMYFUNCTION("""COMPUTED_VALUE"""),2025)</f>
        <v>2025</v>
      </c>
      <c r="B1767" s="45"/>
      <c r="C1767" s="46"/>
      <c r="D1767" s="47" t="str">
        <f ca="1">IFERROR(__xludf.DUMMYFUNCTION("""COMPUTED_VALUE"""),"Goshawk")</f>
        <v>Goshawk</v>
      </c>
      <c r="E1767" s="52">
        <f ca="1">IFERROR(__xludf.DUMMYFUNCTION("""COMPUTED_VALUE"""),1)</f>
        <v>1</v>
      </c>
      <c r="F1767" s="25"/>
      <c r="G1767" s="48" t="str">
        <f ca="1">IFERROR(__xludf.DUMMYFUNCTION("""COMPUTED_VALUE"""),"Burton Mere Wetlands RSPB")</f>
        <v>Burton Mere Wetlands RSPB</v>
      </c>
      <c r="H1767" s="22">
        <f ca="1">IFERROR(__xludf.DUMMYFUNCTION("""COMPUTED_VALUE"""),45768)</f>
        <v>45768</v>
      </c>
      <c r="I1767" s="23"/>
      <c r="J1767" s="24"/>
      <c r="K1767" s="25"/>
      <c r="L1767" s="27" t="str">
        <f ca="1">IFERROR(__xludf.DUMMYFUNCTION("""COMPUTED_VALUE"""),"limbo")</f>
        <v>limbo</v>
      </c>
      <c r="M1767" s="27"/>
      <c r="N1767" s="25" t="str">
        <f ca="1">IFERROR(__xludf.DUMMYFUNCTION("""COMPUTED_VALUE"""),"not submitted")</f>
        <v>not submitted</v>
      </c>
      <c r="O1767" s="28"/>
      <c r="P1767" s="25"/>
      <c r="Q1767" s="25"/>
      <c r="R1767" s="25"/>
      <c r="S1767" s="25"/>
      <c r="T1767" s="25"/>
      <c r="U1767" s="25"/>
      <c r="V1767" s="25"/>
      <c r="W1767" s="25"/>
      <c r="X1767" s="25"/>
      <c r="Y1767" s="25"/>
      <c r="Z1767" s="25"/>
      <c r="AA1767" s="25"/>
      <c r="AB1767" s="25"/>
      <c r="AC1767" s="25"/>
      <c r="AD1767" s="25"/>
      <c r="AE1767" s="25"/>
      <c r="AF1767" s="25"/>
      <c r="AG1767" s="25"/>
      <c r="AH1767" s="25"/>
      <c r="AI1767" s="25"/>
      <c r="AJ1767" s="25"/>
      <c r="AK1767" s="25"/>
      <c r="AL1767" s="25"/>
      <c r="AM1767" s="25"/>
      <c r="AN1767" s="25"/>
      <c r="AO1767" s="25"/>
      <c r="AP1767" s="25"/>
      <c r="AQ1767" s="25"/>
      <c r="AR1767" s="25"/>
      <c r="AS1767" s="25"/>
      <c r="AT1767" s="25"/>
      <c r="AU1767" s="25"/>
      <c r="AV1767" s="25"/>
      <c r="AW1767" s="25"/>
      <c r="AX1767" s="25"/>
      <c r="AY1767" s="25"/>
      <c r="AZ1767" s="25"/>
      <c r="BA1767" s="25"/>
      <c r="BB1767" s="25"/>
      <c r="BC1767" s="25"/>
      <c r="BD1767" s="25"/>
      <c r="BE1767" s="25"/>
      <c r="BF1767" s="25"/>
      <c r="BG1767" s="25"/>
      <c r="BH1767" s="25"/>
      <c r="BI1767" s="25"/>
      <c r="BJ1767" s="25"/>
      <c r="BK1767" s="25"/>
      <c r="BL1767" s="25"/>
      <c r="BM1767" s="25"/>
      <c r="BN1767" s="25"/>
      <c r="BO1767" s="25"/>
      <c r="BP1767" s="25"/>
      <c r="BQ1767" s="25"/>
      <c r="BR1767" s="25"/>
      <c r="BS1767" s="25"/>
      <c r="BT1767" s="25"/>
      <c r="BU1767" s="25"/>
      <c r="BV1767" s="25"/>
      <c r="BW1767" s="25"/>
      <c r="BX1767" s="25"/>
      <c r="BY1767" s="25"/>
      <c r="BZ1767" s="25"/>
      <c r="CA1767" s="25"/>
      <c r="CB1767" s="25"/>
    </row>
    <row r="1768" spans="1:80" ht="12.75" customHeight="1">
      <c r="A1768" s="10">
        <f ca="1">IFERROR(__xludf.DUMMYFUNCTION("""COMPUTED_VALUE"""),2025)</f>
        <v>2025</v>
      </c>
      <c r="B1768" s="50"/>
      <c r="C1768" s="41"/>
      <c r="D1768" s="42" t="str">
        <f ca="1">IFERROR(__xludf.DUMMYFUNCTION("""COMPUTED_VALUE"""),"Goshawk")</f>
        <v>Goshawk</v>
      </c>
      <c r="E1768" s="53">
        <f ca="1">IFERROR(__xludf.DUMMYFUNCTION("""COMPUTED_VALUE"""),1)</f>
        <v>1</v>
      </c>
      <c r="F1768" s="15"/>
      <c r="G1768" s="44" t="str">
        <f ca="1">IFERROR(__xludf.DUMMYFUNCTION("""COMPUTED_VALUE"""),"Acre Nook Sand Quarry")</f>
        <v>Acre Nook Sand Quarry</v>
      </c>
      <c r="H1768" s="12">
        <f ca="1">IFERROR(__xludf.DUMMYFUNCTION("""COMPUTED_VALUE"""),45924)</f>
        <v>45924</v>
      </c>
      <c r="I1768" s="13"/>
      <c r="J1768" s="14"/>
      <c r="K1768" s="15"/>
      <c r="L1768" s="17" t="str">
        <f ca="1">IFERROR(__xludf.DUMMYFUNCTION("""COMPUTED_VALUE"""),"limbo")</f>
        <v>limbo</v>
      </c>
      <c r="M1768" s="17"/>
      <c r="N1768" s="15" t="str">
        <f ca="1">IFERROR(__xludf.DUMMYFUNCTION("""COMPUTED_VALUE"""),"not submitted")</f>
        <v>not submitted</v>
      </c>
      <c r="O1768" s="18"/>
      <c r="P1768" s="15"/>
      <c r="Q1768" s="15"/>
      <c r="R1768" s="15"/>
      <c r="S1768" s="15"/>
      <c r="T1768" s="15"/>
      <c r="U1768" s="15"/>
      <c r="V1768" s="15"/>
      <c r="W1768" s="15"/>
      <c r="X1768" s="15"/>
      <c r="Y1768" s="15"/>
      <c r="Z1768" s="15"/>
      <c r="AA1768" s="15"/>
      <c r="AB1768" s="15"/>
      <c r="AC1768" s="15"/>
      <c r="AD1768" s="15"/>
      <c r="AE1768" s="15"/>
      <c r="AF1768" s="15"/>
      <c r="AG1768" s="15"/>
      <c r="AH1768" s="15"/>
      <c r="AI1768" s="15"/>
      <c r="AJ1768" s="15"/>
      <c r="AK1768" s="15"/>
      <c r="AL1768" s="15"/>
      <c r="AM1768" s="15"/>
      <c r="AN1768" s="15"/>
      <c r="AO1768" s="15"/>
      <c r="AP1768" s="15"/>
      <c r="AQ1768" s="15"/>
      <c r="AR1768" s="15"/>
      <c r="AS1768" s="15"/>
      <c r="AT1768" s="15"/>
      <c r="AU1768" s="15"/>
      <c r="AV1768" s="15"/>
      <c r="AW1768" s="15"/>
      <c r="AX1768" s="15"/>
      <c r="AY1768" s="15"/>
      <c r="AZ1768" s="15"/>
      <c r="BA1768" s="15"/>
      <c r="BB1768" s="15"/>
      <c r="BC1768" s="15"/>
      <c r="BD1768" s="15"/>
      <c r="BE1768" s="15"/>
      <c r="BF1768" s="15"/>
      <c r="BG1768" s="15"/>
      <c r="BH1768" s="15"/>
      <c r="BI1768" s="15"/>
      <c r="BJ1768" s="15"/>
      <c r="BK1768" s="15"/>
      <c r="BL1768" s="15"/>
      <c r="BM1768" s="15"/>
      <c r="BN1768" s="15"/>
      <c r="BO1768" s="15"/>
      <c r="BP1768" s="15"/>
      <c r="BQ1768" s="15"/>
      <c r="BR1768" s="15"/>
      <c r="BS1768" s="15"/>
      <c r="BT1768" s="15"/>
      <c r="BU1768" s="15"/>
      <c r="BV1768" s="15"/>
      <c r="BW1768" s="15"/>
      <c r="BX1768" s="15"/>
      <c r="BY1768" s="15"/>
      <c r="BZ1768" s="15"/>
      <c r="CA1768" s="15"/>
      <c r="CB1768" s="15"/>
    </row>
    <row r="1769" spans="1:80" ht="12.75" customHeight="1">
      <c r="A1769" s="20">
        <f ca="1">IFERROR(__xludf.DUMMYFUNCTION("""COMPUTED_VALUE"""),2024)</f>
        <v>2024</v>
      </c>
      <c r="B1769" s="45"/>
      <c r="C1769" s="46"/>
      <c r="D1769" s="47" t="str">
        <f ca="1">IFERROR(__xludf.DUMMYFUNCTION("""COMPUTED_VALUE"""),"Goshawk")</f>
        <v>Goshawk</v>
      </c>
      <c r="E1769" s="52">
        <f ca="1">IFERROR(__xludf.DUMMYFUNCTION("""COMPUTED_VALUE"""),1)</f>
        <v>1</v>
      </c>
      <c r="F1769" s="25" t="str">
        <f ca="1">IFERROR(__xludf.DUMMYFUNCTION("""COMPUTED_VALUE"""),"juv")</f>
        <v>juv</v>
      </c>
      <c r="G1769" s="48" t="str">
        <f ca="1">IFERROR(__xludf.DUMMYFUNCTION("""COMPUTED_VALUE"""),"Hale Head Lighthouse")</f>
        <v>Hale Head Lighthouse</v>
      </c>
      <c r="H1769" s="22">
        <f ca="1">IFERROR(__xludf.DUMMYFUNCTION("""COMPUTED_VALUE"""),45649)</f>
        <v>45649</v>
      </c>
      <c r="I1769" s="23"/>
      <c r="J1769" s="24"/>
      <c r="K1769" s="25"/>
      <c r="L1769" s="27" t="str">
        <f ca="1">IFERROR(__xludf.DUMMYFUNCTION("""COMPUTED_VALUE"""),"limbo")</f>
        <v>limbo</v>
      </c>
      <c r="M1769" s="27"/>
      <c r="N1769" s="25" t="str">
        <f ca="1">IFERROR(__xludf.DUMMYFUNCTION("""COMPUTED_VALUE"""),"not submitted")</f>
        <v>not submitted</v>
      </c>
      <c r="O1769" s="28"/>
      <c r="P1769" s="25"/>
      <c r="Q1769" s="25"/>
      <c r="R1769" s="25"/>
      <c r="S1769" s="25"/>
      <c r="T1769" s="25"/>
      <c r="U1769" s="25"/>
      <c r="V1769" s="25"/>
      <c r="W1769" s="25"/>
      <c r="X1769" s="25"/>
      <c r="Y1769" s="25"/>
      <c r="Z1769" s="25"/>
      <c r="AA1769" s="25"/>
      <c r="AB1769" s="25"/>
      <c r="AC1769" s="25"/>
      <c r="AD1769" s="25"/>
      <c r="AE1769" s="25"/>
      <c r="AF1769" s="25"/>
      <c r="AG1769" s="25"/>
      <c r="AH1769" s="25"/>
      <c r="AI1769" s="25"/>
      <c r="AJ1769" s="25"/>
      <c r="AK1769" s="25"/>
      <c r="AL1769" s="25"/>
      <c r="AM1769" s="25"/>
      <c r="AN1769" s="25"/>
      <c r="AO1769" s="25"/>
      <c r="AP1769" s="25"/>
      <c r="AQ1769" s="25"/>
      <c r="AR1769" s="25"/>
      <c r="AS1769" s="25"/>
      <c r="AT1769" s="25"/>
      <c r="AU1769" s="25"/>
      <c r="AV1769" s="25"/>
      <c r="AW1769" s="25"/>
      <c r="AX1769" s="25"/>
      <c r="AY1769" s="25"/>
      <c r="AZ1769" s="25"/>
      <c r="BA1769" s="25"/>
      <c r="BB1769" s="25"/>
      <c r="BC1769" s="25"/>
      <c r="BD1769" s="25"/>
      <c r="BE1769" s="25"/>
      <c r="BF1769" s="25"/>
      <c r="BG1769" s="25"/>
      <c r="BH1769" s="25"/>
      <c r="BI1769" s="25"/>
      <c r="BJ1769" s="25"/>
      <c r="BK1769" s="25"/>
      <c r="BL1769" s="25"/>
      <c r="BM1769" s="25"/>
      <c r="BN1769" s="25"/>
      <c r="BO1769" s="25"/>
      <c r="BP1769" s="25"/>
      <c r="BQ1769" s="25"/>
      <c r="BR1769" s="25"/>
      <c r="BS1769" s="25"/>
      <c r="BT1769" s="25"/>
      <c r="BU1769" s="25"/>
      <c r="BV1769" s="25"/>
      <c r="BW1769" s="25"/>
      <c r="BX1769" s="25"/>
      <c r="BY1769" s="25"/>
      <c r="BZ1769" s="25"/>
      <c r="CA1769" s="25"/>
      <c r="CB1769" s="25"/>
    </row>
    <row r="1770" spans="1:80" ht="12.75" customHeight="1">
      <c r="A1770" s="10">
        <f ca="1">IFERROR(__xludf.DUMMYFUNCTION("""COMPUTED_VALUE"""),2024)</f>
        <v>2024</v>
      </c>
      <c r="B1770" s="50"/>
      <c r="C1770" s="41"/>
      <c r="D1770" s="42" t="str">
        <f ca="1">IFERROR(__xludf.DUMMYFUNCTION("""COMPUTED_VALUE"""),"Crane")</f>
        <v>Crane</v>
      </c>
      <c r="E1770" s="53">
        <f ca="1">IFERROR(__xludf.DUMMYFUNCTION("""COMPUTED_VALUE"""),4)</f>
        <v>4</v>
      </c>
      <c r="F1770" s="15"/>
      <c r="G1770" s="44" t="str">
        <f ca="1">IFERROR(__xludf.DUMMYFUNCTION("""COMPUTED_VALUE"""),"Burton Mere Wetlands, then various Wirral Locations ")</f>
        <v xml:space="preserve">Burton Mere Wetlands, then various Wirral Locations </v>
      </c>
      <c r="H1770" s="12">
        <f ca="1">IFERROR(__xludf.DUMMYFUNCTION("""COMPUTED_VALUE"""),45396)</f>
        <v>45396</v>
      </c>
      <c r="I1770" s="13"/>
      <c r="J1770" s="14"/>
      <c r="K1770" s="15"/>
      <c r="L1770" s="17" t="str">
        <f ca="1">IFERROR(__xludf.DUMMYFUNCTION("""COMPUTED_VALUE"""),"closed")</f>
        <v>closed</v>
      </c>
      <c r="M1770" s="17"/>
      <c r="N1770" s="15" t="str">
        <f ca="1">IFERROR(__xludf.DUMMYFUNCTION("""COMPUTED_VALUE"""),"Accepted w/o circ")</f>
        <v>Accepted w/o circ</v>
      </c>
      <c r="O1770" s="18" t="str">
        <f ca="1">IFERROR(__xludf.DUMMYFUNCTION("""COMPUTED_VALUE"""),"Presumed family party. Landed briefly wet grassland 12.35, before flying W towards marsh. Picked up again over fields adjaecent to office, circling over Burton Manor, before heading west and out of sight.")</f>
        <v>Presumed family party. Landed briefly wet grassland 12.35, before flying W towards marsh. Picked up again over fields adjaecent to office, circling over Burton Manor, before heading west and out of sight.</v>
      </c>
      <c r="P1770" s="15"/>
      <c r="Q1770" s="15"/>
      <c r="R1770" s="15"/>
      <c r="S1770" s="15"/>
      <c r="T1770" s="15"/>
      <c r="U1770" s="15"/>
      <c r="V1770" s="15"/>
      <c r="W1770" s="15"/>
      <c r="X1770" s="15"/>
      <c r="Y1770" s="15"/>
      <c r="Z1770" s="15"/>
      <c r="AA1770" s="15"/>
      <c r="AB1770" s="15"/>
      <c r="AC1770" s="15"/>
      <c r="AD1770" s="15"/>
      <c r="AE1770" s="15"/>
      <c r="AF1770" s="15"/>
      <c r="AG1770" s="15"/>
      <c r="AH1770" s="15"/>
      <c r="AI1770" s="15"/>
      <c r="AJ1770" s="15"/>
      <c r="AK1770" s="15"/>
      <c r="AL1770" s="15"/>
      <c r="AM1770" s="15"/>
      <c r="AN1770" s="15"/>
      <c r="AO1770" s="15"/>
      <c r="AP1770" s="15"/>
      <c r="AQ1770" s="15"/>
      <c r="AR1770" s="15"/>
      <c r="AS1770" s="15"/>
      <c r="AT1770" s="15"/>
      <c r="AU1770" s="15"/>
      <c r="AV1770" s="15"/>
      <c r="AW1770" s="15"/>
      <c r="AX1770" s="15"/>
      <c r="AY1770" s="15"/>
      <c r="AZ1770" s="15"/>
      <c r="BA1770" s="15"/>
      <c r="BB1770" s="15"/>
      <c r="BC1770" s="15"/>
      <c r="BD1770" s="15"/>
      <c r="BE1770" s="15"/>
      <c r="BF1770" s="15"/>
      <c r="BG1770" s="15"/>
      <c r="BH1770" s="15"/>
      <c r="BI1770" s="15"/>
      <c r="BJ1770" s="15"/>
      <c r="BK1770" s="15"/>
      <c r="BL1770" s="15"/>
      <c r="BM1770" s="15"/>
      <c r="BN1770" s="15"/>
      <c r="BO1770" s="15"/>
      <c r="BP1770" s="15"/>
      <c r="BQ1770" s="15"/>
      <c r="BR1770" s="15"/>
      <c r="BS1770" s="15"/>
      <c r="BT1770" s="15"/>
      <c r="BU1770" s="15"/>
      <c r="BV1770" s="15"/>
      <c r="BW1770" s="15"/>
      <c r="BX1770" s="15"/>
      <c r="BY1770" s="15"/>
      <c r="BZ1770" s="15"/>
      <c r="CA1770" s="15"/>
      <c r="CB1770" s="15"/>
    </row>
    <row r="1771" spans="1:80" ht="12.75" customHeight="1">
      <c r="A1771" s="20">
        <f ca="1">IFERROR(__xludf.DUMMYFUNCTION("""COMPUTED_VALUE"""),2024)</f>
        <v>2024</v>
      </c>
      <c r="B1771" s="45"/>
      <c r="C1771" s="46"/>
      <c r="D1771" s="47" t="str">
        <f ca="1">IFERROR(__xludf.DUMMYFUNCTION("""COMPUTED_VALUE"""),"Crane")</f>
        <v>Crane</v>
      </c>
      <c r="E1771" s="52">
        <f ca="1">IFERROR(__xludf.DUMMYFUNCTION("""COMPUTED_VALUE"""),2)</f>
        <v>2</v>
      </c>
      <c r="F1771" s="25"/>
      <c r="G1771" s="48" t="str">
        <f ca="1">IFERROR(__xludf.DUMMYFUNCTION("""COMPUTED_VALUE"""),"Frodsham")</f>
        <v>Frodsham</v>
      </c>
      <c r="H1771" s="22">
        <f ca="1">IFERROR(__xludf.DUMMYFUNCTION("""COMPUTED_VALUE"""),45396)</f>
        <v>45396</v>
      </c>
      <c r="I1771" s="23"/>
      <c r="J1771" s="24"/>
      <c r="K1771" s="25"/>
      <c r="L1771" s="27" t="str">
        <f ca="1">IFERROR(__xludf.DUMMYFUNCTION("""COMPUTED_VALUE"""),"limbo")</f>
        <v>limbo</v>
      </c>
      <c r="M1771" s="27"/>
      <c r="N1771" s="25" t="str">
        <f ca="1">IFERROR(__xludf.DUMMYFUNCTION("""COMPUTED_VALUE"""),"not submitted")</f>
        <v>not submitted</v>
      </c>
      <c r="O1771" s="28" t="str">
        <f ca="1">IFERROR(__xludf.DUMMYFUNCTION("""COMPUTED_VALUE"""),"Birdguides")</f>
        <v>Birdguides</v>
      </c>
      <c r="P1771" s="25"/>
      <c r="Q1771" s="25"/>
      <c r="R1771" s="25"/>
      <c r="S1771" s="25"/>
      <c r="T1771" s="25"/>
      <c r="U1771" s="25"/>
      <c r="V1771" s="25"/>
      <c r="W1771" s="25"/>
      <c r="X1771" s="25"/>
      <c r="Y1771" s="25"/>
      <c r="Z1771" s="25"/>
      <c r="AA1771" s="25"/>
      <c r="AB1771" s="25"/>
      <c r="AC1771" s="25"/>
      <c r="AD1771" s="25"/>
      <c r="AE1771" s="25"/>
      <c r="AF1771" s="25"/>
      <c r="AG1771" s="25"/>
      <c r="AH1771" s="25"/>
      <c r="AI1771" s="25"/>
      <c r="AJ1771" s="25"/>
      <c r="AK1771" s="25"/>
      <c r="AL1771" s="25"/>
      <c r="AM1771" s="25"/>
      <c r="AN1771" s="25"/>
      <c r="AO1771" s="25"/>
      <c r="AP1771" s="25"/>
      <c r="AQ1771" s="25"/>
      <c r="AR1771" s="25"/>
      <c r="AS1771" s="25"/>
      <c r="AT1771" s="25"/>
      <c r="AU1771" s="25"/>
      <c r="AV1771" s="25"/>
      <c r="AW1771" s="25"/>
      <c r="AX1771" s="25"/>
      <c r="AY1771" s="25"/>
      <c r="AZ1771" s="25"/>
      <c r="BA1771" s="25"/>
      <c r="BB1771" s="25"/>
      <c r="BC1771" s="25"/>
      <c r="BD1771" s="25"/>
      <c r="BE1771" s="25"/>
      <c r="BF1771" s="25"/>
      <c r="BG1771" s="25"/>
      <c r="BH1771" s="25"/>
      <c r="BI1771" s="25"/>
      <c r="BJ1771" s="25"/>
      <c r="BK1771" s="25"/>
      <c r="BL1771" s="25"/>
      <c r="BM1771" s="25"/>
      <c r="BN1771" s="25"/>
      <c r="BO1771" s="25"/>
      <c r="BP1771" s="25"/>
      <c r="BQ1771" s="25"/>
      <c r="BR1771" s="25"/>
      <c r="BS1771" s="25"/>
      <c r="BT1771" s="25"/>
      <c r="BU1771" s="25"/>
      <c r="BV1771" s="25"/>
      <c r="BW1771" s="25"/>
      <c r="BX1771" s="25"/>
      <c r="BY1771" s="25"/>
      <c r="BZ1771" s="25"/>
      <c r="CA1771" s="25"/>
      <c r="CB1771" s="25"/>
    </row>
    <row r="1772" spans="1:80" ht="12.75" customHeight="1">
      <c r="A1772" s="10">
        <f ca="1">IFERROR(__xludf.DUMMYFUNCTION("""COMPUTED_VALUE"""),2024)</f>
        <v>2024</v>
      </c>
      <c r="B1772" s="50"/>
      <c r="C1772" s="41"/>
      <c r="D1772" s="42" t="str">
        <f ca="1">IFERROR(__xludf.DUMMYFUNCTION("""COMPUTED_VALUE"""),"Crane")</f>
        <v>Crane</v>
      </c>
      <c r="E1772" s="53">
        <f ca="1">IFERROR(__xludf.DUMMYFUNCTION("""COMPUTED_VALUE"""),1)</f>
        <v>1</v>
      </c>
      <c r="F1772" s="15"/>
      <c r="G1772" s="44" t="str">
        <f ca="1">IFERROR(__xludf.DUMMYFUNCTION("""COMPUTED_VALUE"""),"Frodsham Marsh")</f>
        <v>Frodsham Marsh</v>
      </c>
      <c r="H1772" s="12">
        <f ca="1">IFERROR(__xludf.DUMMYFUNCTION("""COMPUTED_VALUE"""),45396)</f>
        <v>45396</v>
      </c>
      <c r="I1772" s="13"/>
      <c r="J1772" s="14"/>
      <c r="K1772" s="15"/>
      <c r="L1772" s="17" t="str">
        <f ca="1">IFERROR(__xludf.DUMMYFUNCTION("""COMPUTED_VALUE"""),"limbo")</f>
        <v>limbo</v>
      </c>
      <c r="M1772" s="17"/>
      <c r="N1772" s="15" t="str">
        <f ca="1">IFERROR(__xludf.DUMMYFUNCTION("""COMPUTED_VALUE"""),"not submitted")</f>
        <v>not submitted</v>
      </c>
      <c r="O1772" s="18" t="str">
        <f ca="1">IFERROR(__xludf.DUMMYFUNCTION("""COMPUTED_VALUE"""),"Birdguides")</f>
        <v>Birdguides</v>
      </c>
      <c r="P1772" s="15"/>
      <c r="Q1772" s="15"/>
      <c r="R1772" s="15"/>
      <c r="S1772" s="15"/>
      <c r="T1772" s="15"/>
      <c r="U1772" s="15"/>
      <c r="V1772" s="15"/>
      <c r="W1772" s="15"/>
      <c r="X1772" s="15"/>
      <c r="Y1772" s="15"/>
      <c r="Z1772" s="15"/>
      <c r="AA1772" s="15"/>
      <c r="AB1772" s="15"/>
      <c r="AC1772" s="15"/>
      <c r="AD1772" s="15"/>
      <c r="AE1772" s="15"/>
      <c r="AF1772" s="15"/>
      <c r="AG1772" s="15"/>
      <c r="AH1772" s="15"/>
      <c r="AI1772" s="15"/>
      <c r="AJ1772" s="15"/>
      <c r="AK1772" s="15"/>
      <c r="AL1772" s="15"/>
      <c r="AM1772" s="15"/>
      <c r="AN1772" s="15"/>
      <c r="AO1772" s="15"/>
      <c r="AP1772" s="15"/>
      <c r="AQ1772" s="15"/>
      <c r="AR1772" s="15"/>
      <c r="AS1772" s="15"/>
      <c r="AT1772" s="15"/>
      <c r="AU1772" s="15"/>
      <c r="AV1772" s="15"/>
      <c r="AW1772" s="15"/>
      <c r="AX1772" s="15"/>
      <c r="AY1772" s="15"/>
      <c r="AZ1772" s="15"/>
      <c r="BA1772" s="15"/>
      <c r="BB1772" s="15"/>
      <c r="BC1772" s="15"/>
      <c r="BD1772" s="15"/>
      <c r="BE1772" s="15"/>
      <c r="BF1772" s="15"/>
      <c r="BG1772" s="15"/>
      <c r="BH1772" s="15"/>
      <c r="BI1772" s="15"/>
      <c r="BJ1772" s="15"/>
      <c r="BK1772" s="15"/>
      <c r="BL1772" s="15"/>
      <c r="BM1772" s="15"/>
      <c r="BN1772" s="15"/>
      <c r="BO1772" s="15"/>
      <c r="BP1772" s="15"/>
      <c r="BQ1772" s="15"/>
      <c r="BR1772" s="15"/>
      <c r="BS1772" s="15"/>
      <c r="BT1772" s="15"/>
      <c r="BU1772" s="15"/>
      <c r="BV1772" s="15"/>
      <c r="BW1772" s="15"/>
      <c r="BX1772" s="15"/>
      <c r="BY1772" s="15"/>
      <c r="BZ1772" s="15"/>
      <c r="CA1772" s="15"/>
      <c r="CB1772" s="15"/>
    </row>
    <row r="1773" spans="1:80" ht="12.75" customHeight="1">
      <c r="A1773" s="20">
        <f ca="1">IFERROR(__xludf.DUMMYFUNCTION("""COMPUTED_VALUE"""),2024)</f>
        <v>2024</v>
      </c>
      <c r="B1773" s="45"/>
      <c r="C1773" s="46"/>
      <c r="D1773" s="47" t="str">
        <f ca="1">IFERROR(__xludf.DUMMYFUNCTION("""COMPUTED_VALUE"""),"Crane")</f>
        <v>Crane</v>
      </c>
      <c r="E1773" s="52">
        <f ca="1">IFERROR(__xludf.DUMMYFUNCTION("""COMPUTED_VALUE"""),2)</f>
        <v>2</v>
      </c>
      <c r="F1773" s="25"/>
      <c r="G1773" s="48" t="str">
        <f ca="1">IFERROR(__xludf.DUMMYFUNCTION("""COMPUTED_VALUE"""),"Marbury, Whitchurch")</f>
        <v>Marbury, Whitchurch</v>
      </c>
      <c r="H1773" s="22">
        <f ca="1">IFERROR(__xludf.DUMMYFUNCTION("""COMPUTED_VALUE"""),45420)</f>
        <v>45420</v>
      </c>
      <c r="I1773" s="23"/>
      <c r="J1773" s="24"/>
      <c r="K1773" s="25"/>
      <c r="L1773" s="27" t="str">
        <f ca="1">IFERROR(__xludf.DUMMYFUNCTION("""COMPUTED_VALUE"""),"limbo")</f>
        <v>limbo</v>
      </c>
      <c r="M1773" s="27"/>
      <c r="N1773" s="25" t="str">
        <f ca="1">IFERROR(__xludf.DUMMYFUNCTION("""COMPUTED_VALUE"""),"not submitted")</f>
        <v>not submitted</v>
      </c>
      <c r="O1773" s="28"/>
      <c r="P1773" s="25"/>
      <c r="Q1773" s="25"/>
      <c r="R1773" s="25"/>
      <c r="S1773" s="25"/>
      <c r="T1773" s="25"/>
      <c r="U1773" s="25"/>
      <c r="V1773" s="25"/>
      <c r="W1773" s="25"/>
      <c r="X1773" s="25"/>
      <c r="Y1773" s="25"/>
      <c r="Z1773" s="25"/>
      <c r="AA1773" s="25"/>
      <c r="AB1773" s="25"/>
      <c r="AC1773" s="25"/>
      <c r="AD1773" s="25"/>
      <c r="AE1773" s="25"/>
      <c r="AF1773" s="25"/>
      <c r="AG1773" s="25"/>
      <c r="AH1773" s="25"/>
      <c r="AI1773" s="25"/>
      <c r="AJ1773" s="25"/>
      <c r="AK1773" s="25"/>
      <c r="AL1773" s="25"/>
      <c r="AM1773" s="25"/>
      <c r="AN1773" s="25"/>
      <c r="AO1773" s="25"/>
      <c r="AP1773" s="25"/>
      <c r="AQ1773" s="25"/>
      <c r="AR1773" s="25"/>
      <c r="AS1773" s="25"/>
      <c r="AT1773" s="25"/>
      <c r="AU1773" s="25"/>
      <c r="AV1773" s="25"/>
      <c r="AW1773" s="25"/>
      <c r="AX1773" s="25"/>
      <c r="AY1773" s="25"/>
      <c r="AZ1773" s="25"/>
      <c r="BA1773" s="25"/>
      <c r="BB1773" s="25"/>
      <c r="BC1773" s="25"/>
      <c r="BD1773" s="25"/>
      <c r="BE1773" s="25"/>
      <c r="BF1773" s="25"/>
      <c r="BG1773" s="25"/>
      <c r="BH1773" s="25"/>
      <c r="BI1773" s="25"/>
      <c r="BJ1773" s="25"/>
      <c r="BK1773" s="25"/>
      <c r="BL1773" s="25"/>
      <c r="BM1773" s="25"/>
      <c r="BN1773" s="25"/>
      <c r="BO1773" s="25"/>
      <c r="BP1773" s="25"/>
      <c r="BQ1773" s="25"/>
      <c r="BR1773" s="25"/>
      <c r="BS1773" s="25"/>
      <c r="BT1773" s="25"/>
      <c r="BU1773" s="25"/>
      <c r="BV1773" s="25"/>
      <c r="BW1773" s="25"/>
      <c r="BX1773" s="25"/>
      <c r="BY1773" s="25"/>
      <c r="BZ1773" s="25"/>
      <c r="CA1773" s="25"/>
      <c r="CB1773" s="25"/>
    </row>
    <row r="1774" spans="1:80" ht="12.75" customHeight="1">
      <c r="A1774" s="10">
        <f ca="1">IFERROR(__xludf.DUMMYFUNCTION("""COMPUTED_VALUE"""),2024)</f>
        <v>2024</v>
      </c>
      <c r="B1774" s="50"/>
      <c r="C1774" s="41"/>
      <c r="D1774" s="42" t="str">
        <f ca="1">IFERROR(__xludf.DUMMYFUNCTION("""COMPUTED_VALUE"""),"Crane")</f>
        <v>Crane</v>
      </c>
      <c r="E1774" s="53">
        <f ca="1">IFERROR(__xludf.DUMMYFUNCTION("""COMPUTED_VALUE"""),1)</f>
        <v>1</v>
      </c>
      <c r="F1774" s="15"/>
      <c r="G1774" s="44" t="str">
        <f ca="1">IFERROR(__xludf.DUMMYFUNCTION("""COMPUTED_VALUE"""),"Sutton Weaver")</f>
        <v>Sutton Weaver</v>
      </c>
      <c r="H1774" s="12">
        <f ca="1">IFERROR(__xludf.DUMMYFUNCTION("""COMPUTED_VALUE"""),45425)</f>
        <v>45425</v>
      </c>
      <c r="I1774" s="13"/>
      <c r="J1774" s="14"/>
      <c r="K1774" s="15"/>
      <c r="L1774" s="17" t="str">
        <f ca="1">IFERROR(__xludf.DUMMYFUNCTION("""COMPUTED_VALUE"""),"limbo")</f>
        <v>limbo</v>
      </c>
      <c r="M1774" s="17"/>
      <c r="N1774" s="15" t="str">
        <f ca="1">IFERROR(__xludf.DUMMYFUNCTION("""COMPUTED_VALUE"""),"not submitted")</f>
        <v>not submitted</v>
      </c>
      <c r="O1774" s="18" t="str">
        <f ca="1">IFERROR(__xludf.DUMMYFUNCTION("""COMPUTED_VALUE"""),"Birdguides")</f>
        <v>Birdguides</v>
      </c>
      <c r="P1774" s="15"/>
      <c r="Q1774" s="15"/>
      <c r="R1774" s="15"/>
      <c r="S1774" s="15"/>
      <c r="T1774" s="15"/>
      <c r="U1774" s="15"/>
      <c r="V1774" s="15"/>
      <c r="W1774" s="15"/>
      <c r="X1774" s="15"/>
      <c r="Y1774" s="15"/>
      <c r="Z1774" s="15"/>
      <c r="AA1774" s="15"/>
      <c r="AB1774" s="15"/>
      <c r="AC1774" s="15"/>
      <c r="AD1774" s="15"/>
      <c r="AE1774" s="15"/>
      <c r="AF1774" s="15"/>
      <c r="AG1774" s="15"/>
      <c r="AH1774" s="15"/>
      <c r="AI1774" s="15"/>
      <c r="AJ1774" s="15"/>
      <c r="AK1774" s="15"/>
      <c r="AL1774" s="15"/>
      <c r="AM1774" s="15"/>
      <c r="AN1774" s="15"/>
      <c r="AO1774" s="15"/>
      <c r="AP1774" s="15"/>
      <c r="AQ1774" s="15"/>
      <c r="AR1774" s="15"/>
      <c r="AS1774" s="15"/>
      <c r="AT1774" s="15"/>
      <c r="AU1774" s="15"/>
      <c r="AV1774" s="15"/>
      <c r="AW1774" s="15"/>
      <c r="AX1774" s="15"/>
      <c r="AY1774" s="15"/>
      <c r="AZ1774" s="15"/>
      <c r="BA1774" s="15"/>
      <c r="BB1774" s="15"/>
      <c r="BC1774" s="15"/>
      <c r="BD1774" s="15"/>
      <c r="BE1774" s="15"/>
      <c r="BF1774" s="15"/>
      <c r="BG1774" s="15"/>
      <c r="BH1774" s="15"/>
      <c r="BI1774" s="15"/>
      <c r="BJ1774" s="15"/>
      <c r="BK1774" s="15"/>
      <c r="BL1774" s="15"/>
      <c r="BM1774" s="15"/>
      <c r="BN1774" s="15"/>
      <c r="BO1774" s="15"/>
      <c r="BP1774" s="15"/>
      <c r="BQ1774" s="15"/>
      <c r="BR1774" s="15"/>
      <c r="BS1774" s="15"/>
      <c r="BT1774" s="15"/>
      <c r="BU1774" s="15"/>
      <c r="BV1774" s="15"/>
      <c r="BW1774" s="15"/>
      <c r="BX1774" s="15"/>
      <c r="BY1774" s="15"/>
      <c r="BZ1774" s="15"/>
      <c r="CA1774" s="15"/>
      <c r="CB1774" s="15"/>
    </row>
    <row r="1775" spans="1:80" ht="12.75" customHeight="1">
      <c r="A1775" s="20">
        <f ca="1">IFERROR(__xludf.DUMMYFUNCTION("""COMPUTED_VALUE"""),2024)</f>
        <v>2024</v>
      </c>
      <c r="B1775" s="45"/>
      <c r="C1775" s="46"/>
      <c r="D1775" s="47" t="str">
        <f ca="1">IFERROR(__xludf.DUMMYFUNCTION("""COMPUTED_VALUE"""),"Crane")</f>
        <v>Crane</v>
      </c>
      <c r="E1775" s="52">
        <f ca="1">IFERROR(__xludf.DUMMYFUNCTION("""COMPUTED_VALUE"""),6)</f>
        <v>6</v>
      </c>
      <c r="F1775" s="25"/>
      <c r="G1775" s="48" t="str">
        <f ca="1">IFERROR(__xludf.DUMMYFUNCTION("""COMPUTED_VALUE"""),"Redesmere")</f>
        <v>Redesmere</v>
      </c>
      <c r="H1775" s="22">
        <f ca="1">IFERROR(__xludf.DUMMYFUNCTION("""COMPUTED_VALUE"""),45503)</f>
        <v>45503</v>
      </c>
      <c r="I1775" s="23"/>
      <c r="J1775" s="24"/>
      <c r="K1775" s="25"/>
      <c r="L1775" s="27" t="str">
        <f ca="1">IFERROR(__xludf.DUMMYFUNCTION("""COMPUTED_VALUE"""),"limbo")</f>
        <v>limbo</v>
      </c>
      <c r="M1775" s="27"/>
      <c r="N1775" s="25" t="str">
        <f ca="1">IFERROR(__xludf.DUMMYFUNCTION("""COMPUTED_VALUE"""),"not submitted")</f>
        <v>not submitted</v>
      </c>
      <c r="O1775" s="28" t="str">
        <f ca="1">IFERROR(__xludf.DUMMYFUNCTION("""COMPUTED_VALUE"""),"Birdguides")</f>
        <v>Birdguides</v>
      </c>
      <c r="P1775" s="25"/>
      <c r="Q1775" s="25"/>
      <c r="R1775" s="25"/>
      <c r="S1775" s="25"/>
      <c r="T1775" s="25"/>
      <c r="U1775" s="25"/>
      <c r="V1775" s="25"/>
      <c r="W1775" s="25"/>
      <c r="X1775" s="25"/>
      <c r="Y1775" s="25"/>
      <c r="Z1775" s="25"/>
      <c r="AA1775" s="25"/>
      <c r="AB1775" s="25"/>
      <c r="AC1775" s="25"/>
      <c r="AD1775" s="25"/>
      <c r="AE1775" s="25"/>
      <c r="AF1775" s="25"/>
      <c r="AG1775" s="25"/>
      <c r="AH1775" s="25"/>
      <c r="AI1775" s="25"/>
      <c r="AJ1775" s="25"/>
      <c r="AK1775" s="25"/>
      <c r="AL1775" s="25"/>
      <c r="AM1775" s="25"/>
      <c r="AN1775" s="25"/>
      <c r="AO1775" s="25"/>
      <c r="AP1775" s="25"/>
      <c r="AQ1775" s="25"/>
      <c r="AR1775" s="25"/>
      <c r="AS1775" s="25"/>
      <c r="AT1775" s="25"/>
      <c r="AU1775" s="25"/>
      <c r="AV1775" s="25"/>
      <c r="AW1775" s="25"/>
      <c r="AX1775" s="25"/>
      <c r="AY1775" s="25"/>
      <c r="AZ1775" s="25"/>
      <c r="BA1775" s="25"/>
      <c r="BB1775" s="25"/>
      <c r="BC1775" s="25"/>
      <c r="BD1775" s="25"/>
      <c r="BE1775" s="25"/>
      <c r="BF1775" s="25"/>
      <c r="BG1775" s="25"/>
      <c r="BH1775" s="25"/>
      <c r="BI1775" s="25"/>
      <c r="BJ1775" s="25"/>
      <c r="BK1775" s="25"/>
      <c r="BL1775" s="25"/>
      <c r="BM1775" s="25"/>
      <c r="BN1775" s="25"/>
      <c r="BO1775" s="25"/>
      <c r="BP1775" s="25"/>
      <c r="BQ1775" s="25"/>
      <c r="BR1775" s="25"/>
      <c r="BS1775" s="25"/>
      <c r="BT1775" s="25"/>
      <c r="BU1775" s="25"/>
      <c r="BV1775" s="25"/>
      <c r="BW1775" s="25"/>
      <c r="BX1775" s="25"/>
      <c r="BY1775" s="25"/>
      <c r="BZ1775" s="25"/>
      <c r="CA1775" s="25"/>
      <c r="CB1775" s="25"/>
    </row>
    <row r="1776" spans="1:80" ht="12.75" customHeight="1">
      <c r="A1776" s="10">
        <f ca="1">IFERROR(__xludf.DUMMYFUNCTION("""COMPUTED_VALUE"""),2024)</f>
        <v>2024</v>
      </c>
      <c r="B1776" s="50"/>
      <c r="C1776" s="41"/>
      <c r="D1776" s="42" t="str">
        <f ca="1">IFERROR(__xludf.DUMMYFUNCTION("""COMPUTED_VALUE"""),"Crane")</f>
        <v>Crane</v>
      </c>
      <c r="E1776" s="53">
        <f ca="1">IFERROR(__xludf.DUMMYFUNCTION("""COMPUTED_VALUE"""),1)</f>
        <v>1</v>
      </c>
      <c r="F1776" s="15"/>
      <c r="G1776" s="44" t="str">
        <f ca="1">IFERROR(__xludf.DUMMYFUNCTION("""COMPUTED_VALUE"""),"Birchwood Park")</f>
        <v>Birchwood Park</v>
      </c>
      <c r="H1776" s="12">
        <f ca="1">IFERROR(__xludf.DUMMYFUNCTION("""COMPUTED_VALUE"""),45603)</f>
        <v>45603</v>
      </c>
      <c r="I1776" s="13"/>
      <c r="J1776" s="14"/>
      <c r="K1776" s="15"/>
      <c r="L1776" s="17" t="str">
        <f ca="1">IFERROR(__xludf.DUMMYFUNCTION("""COMPUTED_VALUE"""),"limbo")</f>
        <v>limbo</v>
      </c>
      <c r="M1776" s="17"/>
      <c r="N1776" s="15" t="str">
        <f ca="1">IFERROR(__xludf.DUMMYFUNCTION("""COMPUTED_VALUE"""),"not submitted")</f>
        <v>not submitted</v>
      </c>
      <c r="O1776" s="18"/>
      <c r="P1776" s="15"/>
      <c r="Q1776" s="15"/>
      <c r="R1776" s="15"/>
      <c r="S1776" s="15"/>
      <c r="T1776" s="15"/>
      <c r="U1776" s="15"/>
      <c r="V1776" s="15"/>
      <c r="W1776" s="15"/>
      <c r="X1776" s="15"/>
      <c r="Y1776" s="15"/>
      <c r="Z1776" s="15"/>
      <c r="AA1776" s="15"/>
      <c r="AB1776" s="15"/>
      <c r="AC1776" s="15"/>
      <c r="AD1776" s="15"/>
      <c r="AE1776" s="15"/>
      <c r="AF1776" s="15"/>
      <c r="AG1776" s="15"/>
      <c r="AH1776" s="15"/>
      <c r="AI1776" s="15"/>
      <c r="AJ1776" s="15"/>
      <c r="AK1776" s="15"/>
      <c r="AL1776" s="15"/>
      <c r="AM1776" s="15"/>
      <c r="AN1776" s="15"/>
      <c r="AO1776" s="15"/>
      <c r="AP1776" s="15"/>
      <c r="AQ1776" s="15"/>
      <c r="AR1776" s="15"/>
      <c r="AS1776" s="15"/>
      <c r="AT1776" s="15"/>
      <c r="AU1776" s="15"/>
      <c r="AV1776" s="15"/>
      <c r="AW1776" s="15"/>
      <c r="AX1776" s="15"/>
      <c r="AY1776" s="15"/>
      <c r="AZ1776" s="15"/>
      <c r="BA1776" s="15"/>
      <c r="BB1776" s="15"/>
      <c r="BC1776" s="15"/>
      <c r="BD1776" s="15"/>
      <c r="BE1776" s="15"/>
      <c r="BF1776" s="15"/>
      <c r="BG1776" s="15"/>
      <c r="BH1776" s="15"/>
      <c r="BI1776" s="15"/>
      <c r="BJ1776" s="15"/>
      <c r="BK1776" s="15"/>
      <c r="BL1776" s="15"/>
      <c r="BM1776" s="15"/>
      <c r="BN1776" s="15"/>
      <c r="BO1776" s="15"/>
      <c r="BP1776" s="15"/>
      <c r="BQ1776" s="15"/>
      <c r="BR1776" s="15"/>
      <c r="BS1776" s="15"/>
      <c r="BT1776" s="15"/>
      <c r="BU1776" s="15"/>
      <c r="BV1776" s="15"/>
      <c r="BW1776" s="15"/>
      <c r="BX1776" s="15"/>
      <c r="BY1776" s="15"/>
      <c r="BZ1776" s="15"/>
      <c r="CA1776" s="15"/>
      <c r="CB1776" s="15"/>
    </row>
    <row r="1777" spans="1:80" ht="12.75" customHeight="1">
      <c r="A1777" s="20">
        <f ca="1">IFERROR(__xludf.DUMMYFUNCTION("""COMPUTED_VALUE"""),2024)</f>
        <v>2024</v>
      </c>
      <c r="B1777" s="45"/>
      <c r="C1777" s="46"/>
      <c r="D1777" s="47" t="str">
        <f ca="1">IFERROR(__xludf.DUMMYFUNCTION("""COMPUTED_VALUE"""),"Slavonian Grebe")</f>
        <v>Slavonian Grebe</v>
      </c>
      <c r="E1777" s="52">
        <f ca="1">IFERROR(__xludf.DUMMYFUNCTION("""COMPUTED_VALUE"""),2)</f>
        <v>2</v>
      </c>
      <c r="F1777" s="25"/>
      <c r="G1777" s="48" t="str">
        <f ca="1">IFERROR(__xludf.DUMMYFUNCTION("""COMPUTED_VALUE"""),"Acre Nook SQ")</f>
        <v>Acre Nook SQ</v>
      </c>
      <c r="H1777" s="22">
        <f ca="1">IFERROR(__xludf.DUMMYFUNCTION("""COMPUTED_VALUE"""),45580)</f>
        <v>45580</v>
      </c>
      <c r="I1777" s="23"/>
      <c r="J1777" s="24"/>
      <c r="K1777" s="25"/>
      <c r="L1777" s="27" t="str">
        <f ca="1">IFERROR(__xludf.DUMMYFUNCTION("""COMPUTED_VALUE"""),"limbo")</f>
        <v>limbo</v>
      </c>
      <c r="M1777" s="27"/>
      <c r="N1777" s="25" t="str">
        <f ca="1">IFERROR(__xludf.DUMMYFUNCTION("""COMPUTED_VALUE"""),"not submitted")</f>
        <v>not submitted</v>
      </c>
      <c r="O1777" s="28" t="str">
        <f ca="1">IFERROR(__xludf.DUMMYFUNCTION("""COMPUTED_VALUE"""),"Birdguides")</f>
        <v>Birdguides</v>
      </c>
      <c r="P1777" s="25"/>
      <c r="Q1777" s="25"/>
      <c r="R1777" s="25"/>
      <c r="S1777" s="25"/>
      <c r="T1777" s="25"/>
      <c r="U1777" s="25"/>
      <c r="V1777" s="25"/>
      <c r="W1777" s="25"/>
      <c r="X1777" s="25"/>
      <c r="Y1777" s="25"/>
      <c r="Z1777" s="25"/>
      <c r="AA1777" s="25"/>
      <c r="AB1777" s="25"/>
      <c r="AC1777" s="25"/>
      <c r="AD1777" s="25"/>
      <c r="AE1777" s="25"/>
      <c r="AF1777" s="25"/>
      <c r="AG1777" s="25"/>
      <c r="AH1777" s="25"/>
      <c r="AI1777" s="25"/>
      <c r="AJ1777" s="25"/>
      <c r="AK1777" s="25"/>
      <c r="AL1777" s="25"/>
      <c r="AM1777" s="25"/>
      <c r="AN1777" s="25"/>
      <c r="AO1777" s="25"/>
      <c r="AP1777" s="25"/>
      <c r="AQ1777" s="25"/>
      <c r="AR1777" s="25"/>
      <c r="AS1777" s="25"/>
      <c r="AT1777" s="25"/>
      <c r="AU1777" s="25"/>
      <c r="AV1777" s="25"/>
      <c r="AW1777" s="25"/>
      <c r="AX1777" s="25"/>
      <c r="AY1777" s="25"/>
      <c r="AZ1777" s="25"/>
      <c r="BA1777" s="25"/>
      <c r="BB1777" s="25"/>
      <c r="BC1777" s="25"/>
      <c r="BD1777" s="25"/>
      <c r="BE1777" s="25"/>
      <c r="BF1777" s="25"/>
      <c r="BG1777" s="25"/>
      <c r="BH1777" s="25"/>
      <c r="BI1777" s="25"/>
      <c r="BJ1777" s="25"/>
      <c r="BK1777" s="25"/>
      <c r="BL1777" s="25"/>
      <c r="BM1777" s="25"/>
      <c r="BN1777" s="25"/>
      <c r="BO1777" s="25"/>
      <c r="BP1777" s="25"/>
      <c r="BQ1777" s="25"/>
      <c r="BR1777" s="25"/>
      <c r="BS1777" s="25"/>
      <c r="BT1777" s="25"/>
      <c r="BU1777" s="25"/>
      <c r="BV1777" s="25"/>
      <c r="BW1777" s="25"/>
      <c r="BX1777" s="25"/>
      <c r="BY1777" s="25"/>
      <c r="BZ1777" s="25"/>
      <c r="CA1777" s="25"/>
      <c r="CB1777" s="25"/>
    </row>
    <row r="1778" spans="1:80" ht="12.75" customHeight="1">
      <c r="A1778" s="10">
        <f ca="1">IFERROR(__xludf.DUMMYFUNCTION("""COMPUTED_VALUE"""),2024)</f>
        <v>2024</v>
      </c>
      <c r="B1778" s="50"/>
      <c r="C1778" s="41"/>
      <c r="D1778" s="42" t="str">
        <f ca="1">IFERROR(__xludf.DUMMYFUNCTION("""COMPUTED_VALUE"""),"Glossy Ibis")</f>
        <v>Glossy Ibis</v>
      </c>
      <c r="E1778" s="53">
        <f ca="1">IFERROR(__xludf.DUMMYFUNCTION("""COMPUTED_VALUE"""),1)</f>
        <v>1</v>
      </c>
      <c r="F1778" s="15"/>
      <c r="G1778" s="44" t="str">
        <f ca="1">IFERROR(__xludf.DUMMYFUNCTION("""COMPUTED_VALUE"""),"Bridge Trafford")</f>
        <v>Bridge Trafford</v>
      </c>
      <c r="H1778" s="12">
        <f ca="1">IFERROR(__xludf.DUMMYFUNCTION("""COMPUTED_VALUE"""),45431)</f>
        <v>45431</v>
      </c>
      <c r="I1778" s="13"/>
      <c r="J1778" s="14"/>
      <c r="K1778" s="15"/>
      <c r="L1778" s="17" t="str">
        <f ca="1">IFERROR(__xludf.DUMMYFUNCTION("""COMPUTED_VALUE"""),"limbo")</f>
        <v>limbo</v>
      </c>
      <c r="M1778" s="17"/>
      <c r="N1778" s="15" t="str">
        <f ca="1">IFERROR(__xludf.DUMMYFUNCTION("""COMPUTED_VALUE"""),"not submitted")</f>
        <v>not submitted</v>
      </c>
      <c r="O1778" s="18"/>
      <c r="P1778" s="15"/>
      <c r="Q1778" s="15"/>
      <c r="R1778" s="15"/>
      <c r="S1778" s="15"/>
      <c r="T1778" s="15"/>
      <c r="U1778" s="15"/>
      <c r="V1778" s="15"/>
      <c r="W1778" s="15"/>
      <c r="X1778" s="15"/>
      <c r="Y1778" s="15"/>
      <c r="Z1778" s="15"/>
      <c r="AA1778" s="15"/>
      <c r="AB1778" s="15"/>
      <c r="AC1778" s="15"/>
      <c r="AD1778" s="15"/>
      <c r="AE1778" s="15"/>
      <c r="AF1778" s="15"/>
      <c r="AG1778" s="15"/>
      <c r="AH1778" s="15"/>
      <c r="AI1778" s="15"/>
      <c r="AJ1778" s="15"/>
      <c r="AK1778" s="15"/>
      <c r="AL1778" s="15"/>
      <c r="AM1778" s="15"/>
      <c r="AN1778" s="15"/>
      <c r="AO1778" s="15"/>
      <c r="AP1778" s="15"/>
      <c r="AQ1778" s="15"/>
      <c r="AR1778" s="15"/>
      <c r="AS1778" s="15"/>
      <c r="AT1778" s="15"/>
      <c r="AU1778" s="15"/>
      <c r="AV1778" s="15"/>
      <c r="AW1778" s="15"/>
      <c r="AX1778" s="15"/>
      <c r="AY1778" s="15"/>
      <c r="AZ1778" s="15"/>
      <c r="BA1778" s="15"/>
      <c r="BB1778" s="15"/>
      <c r="BC1778" s="15"/>
      <c r="BD1778" s="15"/>
      <c r="BE1778" s="15"/>
      <c r="BF1778" s="15"/>
      <c r="BG1778" s="15"/>
      <c r="BH1778" s="15"/>
      <c r="BI1778" s="15"/>
      <c r="BJ1778" s="15"/>
      <c r="BK1778" s="15"/>
      <c r="BL1778" s="15"/>
      <c r="BM1778" s="15"/>
      <c r="BN1778" s="15"/>
      <c r="BO1778" s="15"/>
      <c r="BP1778" s="15"/>
      <c r="BQ1778" s="15"/>
      <c r="BR1778" s="15"/>
      <c r="BS1778" s="15"/>
      <c r="BT1778" s="15"/>
      <c r="BU1778" s="15"/>
      <c r="BV1778" s="15"/>
      <c r="BW1778" s="15"/>
      <c r="BX1778" s="15"/>
      <c r="BY1778" s="15"/>
      <c r="BZ1778" s="15"/>
      <c r="CA1778" s="15"/>
      <c r="CB1778" s="15"/>
    </row>
    <row r="1779" spans="1:80" ht="12.75" customHeight="1">
      <c r="A1779" s="20">
        <f ca="1">IFERROR(__xludf.DUMMYFUNCTION("""COMPUTED_VALUE"""),2024)</f>
        <v>2024</v>
      </c>
      <c r="B1779" s="45"/>
      <c r="C1779" s="46"/>
      <c r="D1779" s="47" t="str">
        <f ca="1">IFERROR(__xludf.DUMMYFUNCTION("""COMPUTED_VALUE"""),"Kumlien's Gull")</f>
        <v>Kumlien's Gull</v>
      </c>
      <c r="E1779" s="52">
        <f ca="1">IFERROR(__xludf.DUMMYFUNCTION("""COMPUTED_VALUE"""),1)</f>
        <v>1</v>
      </c>
      <c r="F1779" s="25" t="str">
        <f ca="1">IFERROR(__xludf.DUMMYFUNCTION("""COMPUTED_VALUE"""),"ad")</f>
        <v>ad</v>
      </c>
      <c r="G1779" s="48" t="str">
        <f ca="1">IFERROR(__xludf.DUMMYFUNCTION("""COMPUTED_VALUE"""),"Pickering's Pasture")</f>
        <v>Pickering's Pasture</v>
      </c>
      <c r="H1779" s="22">
        <f ca="1">IFERROR(__xludf.DUMMYFUNCTION("""COMPUTED_VALUE"""),45654)</f>
        <v>45654</v>
      </c>
      <c r="I1779" s="22">
        <f ca="1">IFERROR(__xludf.DUMMYFUNCTION("""COMPUTED_VALUE"""),45654)</f>
        <v>45654</v>
      </c>
      <c r="J1779" s="24"/>
      <c r="K1779" s="25"/>
      <c r="L1779" s="27" t="str">
        <f ca="1">IFERROR(__xludf.DUMMYFUNCTION("""COMPUTED_VALUE"""),"limbo")</f>
        <v>limbo</v>
      </c>
      <c r="M1779" s="27"/>
      <c r="N1779" s="25" t="str">
        <f ca="1">IFERROR(__xludf.DUMMYFUNCTION("""COMPUTED_VALUE"""),"not submitted")</f>
        <v>not submitted</v>
      </c>
      <c r="O1779" s="28" t="str">
        <f ca="1">IFERROR(__xludf.DUMMYFUNCTION("""COMPUTED_VALUE"""),"Birdguides")</f>
        <v>Birdguides</v>
      </c>
      <c r="P1779" s="25"/>
      <c r="Q1779" s="25"/>
      <c r="R1779" s="25"/>
      <c r="S1779" s="25"/>
      <c r="T1779" s="25"/>
      <c r="U1779" s="25"/>
      <c r="V1779" s="25"/>
      <c r="W1779" s="25"/>
      <c r="X1779" s="25"/>
      <c r="Y1779" s="25"/>
      <c r="Z1779" s="25"/>
      <c r="AA1779" s="25"/>
      <c r="AB1779" s="25"/>
      <c r="AC1779" s="25"/>
      <c r="AD1779" s="25"/>
      <c r="AE1779" s="25"/>
      <c r="AF1779" s="25"/>
      <c r="AG1779" s="25"/>
      <c r="AH1779" s="25"/>
      <c r="AI1779" s="25"/>
      <c r="AJ1779" s="25"/>
      <c r="AK1779" s="25"/>
      <c r="AL1779" s="25"/>
      <c r="AM1779" s="25"/>
      <c r="AN1779" s="25"/>
      <c r="AO1779" s="25"/>
      <c r="AP1779" s="25"/>
      <c r="AQ1779" s="25"/>
      <c r="AR1779" s="25"/>
      <c r="AS1779" s="25"/>
      <c r="AT1779" s="25"/>
      <c r="AU1779" s="25"/>
      <c r="AV1779" s="25"/>
      <c r="AW1779" s="25"/>
      <c r="AX1779" s="25"/>
      <c r="AY1779" s="25"/>
      <c r="AZ1779" s="25"/>
      <c r="BA1779" s="25"/>
      <c r="BB1779" s="25"/>
      <c r="BC1779" s="25"/>
      <c r="BD1779" s="25"/>
      <c r="BE1779" s="25"/>
      <c r="BF1779" s="25"/>
      <c r="BG1779" s="25"/>
      <c r="BH1779" s="25"/>
      <c r="BI1779" s="25"/>
      <c r="BJ1779" s="25"/>
      <c r="BK1779" s="25"/>
      <c r="BL1779" s="25"/>
      <c r="BM1779" s="25"/>
      <c r="BN1779" s="25"/>
      <c r="BO1779" s="25"/>
      <c r="BP1779" s="25"/>
      <c r="BQ1779" s="25"/>
      <c r="BR1779" s="25"/>
      <c r="BS1779" s="25"/>
      <c r="BT1779" s="25"/>
      <c r="BU1779" s="25"/>
      <c r="BV1779" s="25"/>
      <c r="BW1779" s="25"/>
      <c r="BX1779" s="25"/>
      <c r="BY1779" s="25"/>
      <c r="BZ1779" s="25"/>
      <c r="CA1779" s="25"/>
      <c r="CB1779" s="25"/>
    </row>
    <row r="1780" spans="1:80" ht="12.75" customHeight="1">
      <c r="A1780" s="10">
        <f ca="1">IFERROR(__xludf.DUMMYFUNCTION("""COMPUTED_VALUE"""),2024)</f>
        <v>2024</v>
      </c>
      <c r="B1780" s="50"/>
      <c r="C1780" s="41"/>
      <c r="D1780" s="42" t="str">
        <f ca="1">IFERROR(__xludf.DUMMYFUNCTION("""COMPUTED_VALUE"""),"Kumlien's Gull")</f>
        <v>Kumlien's Gull</v>
      </c>
      <c r="E1780" s="53">
        <f ca="1">IFERROR(__xludf.DUMMYFUNCTION("""COMPUTED_VALUE"""),1)</f>
        <v>1</v>
      </c>
      <c r="F1780" s="15" t="str">
        <f ca="1">IFERROR(__xludf.DUMMYFUNCTION("""COMPUTED_VALUE"""),"ad")</f>
        <v>ad</v>
      </c>
      <c r="G1780" s="44" t="str">
        <f ca="1">IFERROR(__xludf.DUMMYFUNCTION("""COMPUTED_VALUE"""),"Widnes, Runcorn Old Bridge")</f>
        <v>Widnes, Runcorn Old Bridge</v>
      </c>
      <c r="H1780" s="12">
        <f ca="1">IFERROR(__xludf.DUMMYFUNCTION("""COMPUTED_VALUE"""),45654)</f>
        <v>45654</v>
      </c>
      <c r="I1780" s="12">
        <f ca="1">IFERROR(__xludf.DUMMYFUNCTION("""COMPUTED_VALUE"""),45654)</f>
        <v>45654</v>
      </c>
      <c r="J1780" s="14"/>
      <c r="K1780" s="15"/>
      <c r="L1780" s="17" t="str">
        <f ca="1">IFERROR(__xludf.DUMMYFUNCTION("""COMPUTED_VALUE"""),"limbo")</f>
        <v>limbo</v>
      </c>
      <c r="M1780" s="17"/>
      <c r="N1780" s="15" t="str">
        <f ca="1">IFERROR(__xludf.DUMMYFUNCTION("""COMPUTED_VALUE"""),"not submitted")</f>
        <v>not submitted</v>
      </c>
      <c r="O1780" s="18" t="str">
        <f ca="1">IFERROR(__xludf.DUMMYFUNCTION("""COMPUTED_VALUE"""),"Birdguides")</f>
        <v>Birdguides</v>
      </c>
      <c r="P1780" s="15"/>
      <c r="Q1780" s="15"/>
      <c r="R1780" s="15"/>
      <c r="S1780" s="15"/>
      <c r="T1780" s="15"/>
      <c r="U1780" s="15"/>
      <c r="V1780" s="15"/>
      <c r="W1780" s="15"/>
      <c r="X1780" s="15"/>
      <c r="Y1780" s="15"/>
      <c r="Z1780" s="15"/>
      <c r="AA1780" s="15"/>
      <c r="AB1780" s="15"/>
      <c r="AC1780" s="15"/>
      <c r="AD1780" s="15"/>
      <c r="AE1780" s="15"/>
      <c r="AF1780" s="15"/>
      <c r="AG1780" s="15"/>
      <c r="AH1780" s="15"/>
      <c r="AI1780" s="15"/>
      <c r="AJ1780" s="15"/>
      <c r="AK1780" s="15"/>
      <c r="AL1780" s="15"/>
      <c r="AM1780" s="15"/>
      <c r="AN1780" s="15"/>
      <c r="AO1780" s="15"/>
      <c r="AP1780" s="15"/>
      <c r="AQ1780" s="15"/>
      <c r="AR1780" s="15"/>
      <c r="AS1780" s="15"/>
      <c r="AT1780" s="15"/>
      <c r="AU1780" s="15"/>
      <c r="AV1780" s="15"/>
      <c r="AW1780" s="15"/>
      <c r="AX1780" s="15"/>
      <c r="AY1780" s="15"/>
      <c r="AZ1780" s="15"/>
      <c r="BA1780" s="15"/>
      <c r="BB1780" s="15"/>
      <c r="BC1780" s="15"/>
      <c r="BD1780" s="15"/>
      <c r="BE1780" s="15"/>
      <c r="BF1780" s="15"/>
      <c r="BG1780" s="15"/>
      <c r="BH1780" s="15"/>
      <c r="BI1780" s="15"/>
      <c r="BJ1780" s="15"/>
      <c r="BK1780" s="15"/>
      <c r="BL1780" s="15"/>
      <c r="BM1780" s="15"/>
      <c r="BN1780" s="15"/>
      <c r="BO1780" s="15"/>
      <c r="BP1780" s="15"/>
      <c r="BQ1780" s="15"/>
      <c r="BR1780" s="15"/>
      <c r="BS1780" s="15"/>
      <c r="BT1780" s="15"/>
      <c r="BU1780" s="15"/>
      <c r="BV1780" s="15"/>
      <c r="BW1780" s="15"/>
      <c r="BX1780" s="15"/>
      <c r="BY1780" s="15"/>
      <c r="BZ1780" s="15"/>
      <c r="CA1780" s="15"/>
      <c r="CB1780" s="15"/>
    </row>
    <row r="1781" spans="1:80" ht="12.75" customHeight="1">
      <c r="A1781" s="20">
        <f ca="1">IFERROR(__xludf.DUMMYFUNCTION("""COMPUTED_VALUE"""),2024)</f>
        <v>2024</v>
      </c>
      <c r="B1781" s="45">
        <f ca="1">IFERROR(__xludf.DUMMYFUNCTION("""COMPUTED_VALUE"""),45788)</f>
        <v>45788</v>
      </c>
      <c r="C1781" s="46"/>
      <c r="D1781" s="47" t="str">
        <f ca="1">IFERROR(__xludf.DUMMYFUNCTION("""COMPUTED_VALUE"""),"Caspian Gull")</f>
        <v>Caspian Gull</v>
      </c>
      <c r="E1781" s="52">
        <f ca="1">IFERROR(__xludf.DUMMYFUNCTION("""COMPUTED_VALUE"""),1)</f>
        <v>1</v>
      </c>
      <c r="F1781" s="25" t="str">
        <f ca="1">IFERROR(__xludf.DUMMYFUNCTION("""COMPUTED_VALUE"""),"ad")</f>
        <v>ad</v>
      </c>
      <c r="G1781" s="48" t="str">
        <f ca="1">IFERROR(__xludf.DUMMYFUNCTION("""COMPUTED_VALUE"""),"On the Mersey between Hale and Runcorn old Bridge and Widenes Waste Recycling")</f>
        <v>On the Mersey between Hale and Runcorn old Bridge and Widenes Waste Recycling</v>
      </c>
      <c r="H1781" s="22">
        <f ca="1">IFERROR(__xludf.DUMMYFUNCTION("""COMPUTED_VALUE"""),45298)</f>
        <v>45298</v>
      </c>
      <c r="I1781" s="22">
        <f ca="1">IFERROR(__xludf.DUMMYFUNCTION("""COMPUTED_VALUE"""),45359)</f>
        <v>45359</v>
      </c>
      <c r="J1781" s="24"/>
      <c r="K1781" s="25"/>
      <c r="L1781" s="27" t="str">
        <f ca="1">IFERROR(__xludf.DUMMYFUNCTION("""COMPUTED_VALUE"""),"closed")</f>
        <v>closed</v>
      </c>
      <c r="M1781" s="27"/>
      <c r="N1781" s="25" t="str">
        <f ca="1">IFERROR(__xludf.DUMMYFUNCTION("""COMPUTED_VALUE"""),"Accepted w/o circ")</f>
        <v>Accepted w/o circ</v>
      </c>
      <c r="O1781" s="28" t="str">
        <f ca="1">IFERROR(__xludf.DUMMYFUNCTION("""COMPUTED_VALUE"""),"photographed and multi observed")</f>
        <v>photographed and multi observed</v>
      </c>
      <c r="P1781" s="25"/>
      <c r="Q1781" s="25"/>
      <c r="R1781" s="25"/>
      <c r="S1781" s="25"/>
      <c r="T1781" s="25"/>
      <c r="U1781" s="25"/>
      <c r="V1781" s="25"/>
      <c r="W1781" s="25"/>
      <c r="X1781" s="25"/>
      <c r="Y1781" s="25"/>
      <c r="Z1781" s="25"/>
      <c r="AA1781" s="25"/>
      <c r="AB1781" s="25"/>
      <c r="AC1781" s="25"/>
      <c r="AD1781" s="25"/>
      <c r="AE1781" s="25"/>
      <c r="AF1781" s="25"/>
      <c r="AG1781" s="25"/>
      <c r="AH1781" s="25"/>
      <c r="AI1781" s="25"/>
      <c r="AJ1781" s="25"/>
      <c r="AK1781" s="25"/>
      <c r="AL1781" s="25"/>
      <c r="AM1781" s="25"/>
      <c r="AN1781" s="25"/>
      <c r="AO1781" s="25"/>
      <c r="AP1781" s="25"/>
      <c r="AQ1781" s="25"/>
      <c r="AR1781" s="25"/>
      <c r="AS1781" s="25"/>
      <c r="AT1781" s="25"/>
      <c r="AU1781" s="25"/>
      <c r="AV1781" s="25"/>
      <c r="AW1781" s="25"/>
      <c r="AX1781" s="25"/>
      <c r="AY1781" s="25"/>
      <c r="AZ1781" s="25"/>
      <c r="BA1781" s="25"/>
      <c r="BB1781" s="25"/>
      <c r="BC1781" s="25"/>
      <c r="BD1781" s="25"/>
      <c r="BE1781" s="25"/>
      <c r="BF1781" s="25"/>
      <c r="BG1781" s="25"/>
      <c r="BH1781" s="25"/>
      <c r="BI1781" s="25"/>
      <c r="BJ1781" s="25"/>
      <c r="BK1781" s="25"/>
      <c r="BL1781" s="25"/>
      <c r="BM1781" s="25"/>
      <c r="BN1781" s="25"/>
      <c r="BO1781" s="25"/>
      <c r="BP1781" s="25"/>
      <c r="BQ1781" s="25"/>
      <c r="BR1781" s="25"/>
      <c r="BS1781" s="25"/>
      <c r="BT1781" s="25"/>
      <c r="BU1781" s="25"/>
      <c r="BV1781" s="25"/>
      <c r="BW1781" s="25"/>
      <c r="BX1781" s="25"/>
      <c r="BY1781" s="25"/>
      <c r="BZ1781" s="25"/>
      <c r="CA1781" s="25"/>
      <c r="CB1781" s="25"/>
    </row>
    <row r="1782" spans="1:80" ht="12.75" customHeight="1">
      <c r="A1782" s="10">
        <f ca="1">IFERROR(__xludf.DUMMYFUNCTION("""COMPUTED_VALUE"""),2024)</f>
        <v>2024</v>
      </c>
      <c r="B1782" s="50">
        <f ca="1">IFERROR(__xludf.DUMMYFUNCTION("""COMPUTED_VALUE"""),45788)</f>
        <v>45788</v>
      </c>
      <c r="C1782" s="41"/>
      <c r="D1782" s="42" t="str">
        <f ca="1">IFERROR(__xludf.DUMMYFUNCTION("""COMPUTED_VALUE"""),"Caspian Gull")</f>
        <v>Caspian Gull</v>
      </c>
      <c r="E1782" s="53">
        <f ca="1">IFERROR(__xludf.DUMMYFUNCTION("""COMPUTED_VALUE"""),1)</f>
        <v>1</v>
      </c>
      <c r="F1782" s="15" t="str">
        <f ca="1">IFERROR(__xludf.DUMMYFUNCTION("""COMPUTED_VALUE"""),"ad")</f>
        <v>ad</v>
      </c>
      <c r="G1782" s="44" t="str">
        <f ca="1">IFERROR(__xludf.DUMMYFUNCTION("""COMPUTED_VALUE"""),"Sandbach Flashes")</f>
        <v>Sandbach Flashes</v>
      </c>
      <c r="H1782" s="12">
        <f ca="1">IFERROR(__xludf.DUMMYFUNCTION("""COMPUTED_VALUE"""),45303)</f>
        <v>45303</v>
      </c>
      <c r="I1782" s="12">
        <f ca="1">IFERROR(__xludf.DUMMYFUNCTION("""COMPUTED_VALUE"""),45308)</f>
        <v>45308</v>
      </c>
      <c r="J1782" s="14"/>
      <c r="K1782" s="15"/>
      <c r="L1782" s="17" t="str">
        <f ca="1">IFERROR(__xludf.DUMMYFUNCTION("""COMPUTED_VALUE"""),"limbo")</f>
        <v>limbo</v>
      </c>
      <c r="M1782" s="17"/>
      <c r="N1782" s="15" t="str">
        <f ca="1">IFERROR(__xludf.DUMMYFUNCTION("""COMPUTED_VALUE"""),"not submitted")</f>
        <v>not submitted</v>
      </c>
      <c r="O1782" s="18" t="str">
        <f ca="1">IFERROR(__xludf.DUMMYFUNCTION("""COMPUTED_VALUE"""),"multi-observed, looking for photo")</f>
        <v>multi-observed, looking for photo</v>
      </c>
      <c r="P1782" s="15"/>
      <c r="Q1782" s="15"/>
      <c r="R1782" s="15"/>
      <c r="S1782" s="15"/>
      <c r="T1782" s="15"/>
      <c r="U1782" s="15"/>
      <c r="V1782" s="15"/>
      <c r="W1782" s="15"/>
      <c r="X1782" s="15"/>
      <c r="Y1782" s="15"/>
      <c r="Z1782" s="15"/>
      <c r="AA1782" s="15"/>
      <c r="AB1782" s="15"/>
      <c r="AC1782" s="15"/>
      <c r="AD1782" s="15"/>
      <c r="AE1782" s="15"/>
      <c r="AF1782" s="15"/>
      <c r="AG1782" s="15"/>
      <c r="AH1782" s="15"/>
      <c r="AI1782" s="15"/>
      <c r="AJ1782" s="15"/>
      <c r="AK1782" s="15"/>
      <c r="AL1782" s="15"/>
      <c r="AM1782" s="15"/>
      <c r="AN1782" s="15"/>
      <c r="AO1782" s="15"/>
      <c r="AP1782" s="15"/>
      <c r="AQ1782" s="15"/>
      <c r="AR1782" s="15"/>
      <c r="AS1782" s="15"/>
      <c r="AT1782" s="15"/>
      <c r="AU1782" s="15"/>
      <c r="AV1782" s="15"/>
      <c r="AW1782" s="15"/>
      <c r="AX1782" s="15"/>
      <c r="AY1782" s="15"/>
      <c r="AZ1782" s="15"/>
      <c r="BA1782" s="15"/>
      <c r="BB1782" s="15"/>
      <c r="BC1782" s="15"/>
      <c r="BD1782" s="15"/>
      <c r="BE1782" s="15"/>
      <c r="BF1782" s="15"/>
      <c r="BG1782" s="15"/>
      <c r="BH1782" s="15"/>
      <c r="BI1782" s="15"/>
      <c r="BJ1782" s="15"/>
      <c r="BK1782" s="15"/>
      <c r="BL1782" s="15"/>
      <c r="BM1782" s="15"/>
      <c r="BN1782" s="15"/>
      <c r="BO1782" s="15"/>
      <c r="BP1782" s="15"/>
      <c r="BQ1782" s="15"/>
      <c r="BR1782" s="15"/>
      <c r="BS1782" s="15"/>
      <c r="BT1782" s="15"/>
      <c r="BU1782" s="15"/>
      <c r="BV1782" s="15"/>
      <c r="BW1782" s="15"/>
      <c r="BX1782" s="15"/>
      <c r="BY1782" s="15"/>
      <c r="BZ1782" s="15"/>
      <c r="CA1782" s="15"/>
      <c r="CB1782" s="15"/>
    </row>
    <row r="1783" spans="1:80" ht="12.75" customHeight="1">
      <c r="A1783" s="20">
        <f ca="1">IFERROR(__xludf.DUMMYFUNCTION("""COMPUTED_VALUE"""),2024)</f>
        <v>2024</v>
      </c>
      <c r="B1783" s="45">
        <f ca="1">IFERROR(__xludf.DUMMYFUNCTION("""COMPUTED_VALUE"""),45788)</f>
        <v>45788</v>
      </c>
      <c r="C1783" s="46"/>
      <c r="D1783" s="47" t="str">
        <f ca="1">IFERROR(__xludf.DUMMYFUNCTION("""COMPUTED_VALUE"""),"Caspian Gull")</f>
        <v>Caspian Gull</v>
      </c>
      <c r="E1783" s="52">
        <f ca="1">IFERROR(__xludf.DUMMYFUNCTION("""COMPUTED_VALUE"""),1)</f>
        <v>1</v>
      </c>
      <c r="F1783" s="25" t="str">
        <f ca="1">IFERROR(__xludf.DUMMYFUNCTION("""COMPUTED_VALUE"""),"1st winter")</f>
        <v>1st winter</v>
      </c>
      <c r="G1783" s="48" t="str">
        <f ca="1">IFERROR(__xludf.DUMMYFUNCTION("""COMPUTED_VALUE"""),"On the Mersey between Hale and Runcorn old Bridge and Widenes Waste Recycling")</f>
        <v>On the Mersey between Hale and Runcorn old Bridge and Widenes Waste Recycling</v>
      </c>
      <c r="H1783" s="22">
        <f ca="1">IFERROR(__xludf.DUMMYFUNCTION("""COMPUTED_VALUE"""),45319)</f>
        <v>45319</v>
      </c>
      <c r="I1783" s="22">
        <f ca="1">IFERROR(__xludf.DUMMYFUNCTION("""COMPUTED_VALUE"""),45322)</f>
        <v>45322</v>
      </c>
      <c r="J1783" s="24"/>
      <c r="K1783" s="25"/>
      <c r="L1783" s="27" t="str">
        <f ca="1">IFERROR(__xludf.DUMMYFUNCTION("""COMPUTED_VALUE"""),"limbo")</f>
        <v>limbo</v>
      </c>
      <c r="M1783" s="27"/>
      <c r="N1783" s="25" t="str">
        <f ca="1">IFERROR(__xludf.DUMMYFUNCTION("""COMPUTED_VALUE"""),"not submitted")</f>
        <v>not submitted</v>
      </c>
      <c r="O1783" s="28" t="str">
        <f ca="1">IFERROR(__xludf.DUMMYFUNCTION("""COMPUTED_VALUE"""),"1st and last dates only")</f>
        <v>1st and last dates only</v>
      </c>
      <c r="P1783" s="25"/>
      <c r="Q1783" s="25"/>
      <c r="R1783" s="25"/>
      <c r="S1783" s="25"/>
      <c r="T1783" s="25"/>
      <c r="U1783" s="25"/>
      <c r="V1783" s="25"/>
      <c r="W1783" s="25"/>
      <c r="X1783" s="25"/>
      <c r="Y1783" s="25"/>
      <c r="Z1783" s="25"/>
      <c r="AA1783" s="25"/>
      <c r="AB1783" s="25"/>
      <c r="AC1783" s="25"/>
      <c r="AD1783" s="25"/>
      <c r="AE1783" s="25"/>
      <c r="AF1783" s="25"/>
      <c r="AG1783" s="25"/>
      <c r="AH1783" s="25"/>
      <c r="AI1783" s="25"/>
      <c r="AJ1783" s="25"/>
      <c r="AK1783" s="25"/>
      <c r="AL1783" s="25"/>
      <c r="AM1783" s="25"/>
      <c r="AN1783" s="25"/>
      <c r="AO1783" s="25"/>
      <c r="AP1783" s="25"/>
      <c r="AQ1783" s="25"/>
      <c r="AR1783" s="25"/>
      <c r="AS1783" s="25"/>
      <c r="AT1783" s="25"/>
      <c r="AU1783" s="25"/>
      <c r="AV1783" s="25"/>
      <c r="AW1783" s="25"/>
      <c r="AX1783" s="25"/>
      <c r="AY1783" s="25"/>
      <c r="AZ1783" s="25"/>
      <c r="BA1783" s="25"/>
      <c r="BB1783" s="25"/>
      <c r="BC1783" s="25"/>
      <c r="BD1783" s="25"/>
      <c r="BE1783" s="25"/>
      <c r="BF1783" s="25"/>
      <c r="BG1783" s="25"/>
      <c r="BH1783" s="25"/>
      <c r="BI1783" s="25"/>
      <c r="BJ1783" s="25"/>
      <c r="BK1783" s="25"/>
      <c r="BL1783" s="25"/>
      <c r="BM1783" s="25"/>
      <c r="BN1783" s="25"/>
      <c r="BO1783" s="25"/>
      <c r="BP1783" s="25"/>
      <c r="BQ1783" s="25"/>
      <c r="BR1783" s="25"/>
      <c r="BS1783" s="25"/>
      <c r="BT1783" s="25"/>
      <c r="BU1783" s="25"/>
      <c r="BV1783" s="25"/>
      <c r="BW1783" s="25"/>
      <c r="BX1783" s="25"/>
      <c r="BY1783" s="25"/>
      <c r="BZ1783" s="25"/>
      <c r="CA1783" s="25"/>
      <c r="CB1783" s="25"/>
    </row>
    <row r="1784" spans="1:80" ht="12.75" customHeight="1">
      <c r="A1784" s="10">
        <f ca="1">IFERROR(__xludf.DUMMYFUNCTION("""COMPUTED_VALUE"""),2024)</f>
        <v>2024</v>
      </c>
      <c r="B1784" s="50">
        <f ca="1">IFERROR(__xludf.DUMMYFUNCTION("""COMPUTED_VALUE"""),45788)</f>
        <v>45788</v>
      </c>
      <c r="C1784" s="41"/>
      <c r="D1784" s="42" t="str">
        <f ca="1">IFERROR(__xludf.DUMMYFUNCTION("""COMPUTED_VALUE"""),"Caspian Gull")</f>
        <v>Caspian Gull</v>
      </c>
      <c r="E1784" s="53">
        <f ca="1">IFERROR(__xludf.DUMMYFUNCTION("""COMPUTED_VALUE"""),1)</f>
        <v>1</v>
      </c>
      <c r="F1784" s="15" t="str">
        <f ca="1">IFERROR(__xludf.DUMMYFUNCTION("""COMPUTED_VALUE"""),"2nd Winter")</f>
        <v>2nd Winter</v>
      </c>
      <c r="G1784" s="44" t="str">
        <f ca="1">IFERROR(__xludf.DUMMYFUNCTION("""COMPUTED_VALUE"""),"On the Mersey between Hale and Runcorn old Bridge and Widenes Waste Recycling")</f>
        <v>On the Mersey between Hale and Runcorn old Bridge and Widenes Waste Recycling</v>
      </c>
      <c r="H1784" s="12">
        <f ca="1">IFERROR(__xludf.DUMMYFUNCTION("""COMPUTED_VALUE"""),45319)</f>
        <v>45319</v>
      </c>
      <c r="I1784" s="12">
        <f ca="1">IFERROR(__xludf.DUMMYFUNCTION("""COMPUTED_VALUE"""),45325)</f>
        <v>45325</v>
      </c>
      <c r="J1784" s="14"/>
      <c r="K1784" s="15"/>
      <c r="L1784" s="17" t="str">
        <f ca="1">IFERROR(__xludf.DUMMYFUNCTION("""COMPUTED_VALUE"""),"limbo")</f>
        <v>limbo</v>
      </c>
      <c r="M1784" s="17"/>
      <c r="N1784" s="15" t="str">
        <f ca="1">IFERROR(__xludf.DUMMYFUNCTION("""COMPUTED_VALUE"""),"not submitted")</f>
        <v>not submitted</v>
      </c>
      <c r="O1784" s="18" t="str">
        <f ca="1">IFERROR(__xludf.DUMMYFUNCTION("""COMPUTED_VALUE"""),"mul;ti-observed - checking for photos - some debate about age")</f>
        <v>mul;ti-observed - checking for photos - some debate about age</v>
      </c>
      <c r="P1784" s="15"/>
      <c r="Q1784" s="15"/>
      <c r="R1784" s="15"/>
      <c r="S1784" s="15"/>
      <c r="T1784" s="15"/>
      <c r="U1784" s="15"/>
      <c r="V1784" s="15"/>
      <c r="W1784" s="15"/>
      <c r="X1784" s="15"/>
      <c r="Y1784" s="15"/>
      <c r="Z1784" s="15"/>
      <c r="AA1784" s="15"/>
      <c r="AB1784" s="15"/>
      <c r="AC1784" s="15"/>
      <c r="AD1784" s="15"/>
      <c r="AE1784" s="15"/>
      <c r="AF1784" s="15"/>
      <c r="AG1784" s="15"/>
      <c r="AH1784" s="15"/>
      <c r="AI1784" s="15"/>
      <c r="AJ1784" s="15"/>
      <c r="AK1784" s="15"/>
      <c r="AL1784" s="15"/>
      <c r="AM1784" s="15"/>
      <c r="AN1784" s="15"/>
      <c r="AO1784" s="15"/>
      <c r="AP1784" s="15"/>
      <c r="AQ1784" s="15"/>
      <c r="AR1784" s="15"/>
      <c r="AS1784" s="15"/>
      <c r="AT1784" s="15"/>
      <c r="AU1784" s="15"/>
      <c r="AV1784" s="15"/>
      <c r="AW1784" s="15"/>
      <c r="AX1784" s="15"/>
      <c r="AY1784" s="15"/>
      <c r="AZ1784" s="15"/>
      <c r="BA1784" s="15"/>
      <c r="BB1784" s="15"/>
      <c r="BC1784" s="15"/>
      <c r="BD1784" s="15"/>
      <c r="BE1784" s="15"/>
      <c r="BF1784" s="15"/>
      <c r="BG1784" s="15"/>
      <c r="BH1784" s="15"/>
      <c r="BI1784" s="15"/>
      <c r="BJ1784" s="15"/>
      <c r="BK1784" s="15"/>
      <c r="BL1784" s="15"/>
      <c r="BM1784" s="15"/>
      <c r="BN1784" s="15"/>
      <c r="BO1784" s="15"/>
      <c r="BP1784" s="15"/>
      <c r="BQ1784" s="15"/>
      <c r="BR1784" s="15"/>
      <c r="BS1784" s="15"/>
      <c r="BT1784" s="15"/>
      <c r="BU1784" s="15"/>
      <c r="BV1784" s="15"/>
      <c r="BW1784" s="15"/>
      <c r="BX1784" s="15"/>
      <c r="BY1784" s="15"/>
      <c r="BZ1784" s="15"/>
      <c r="CA1784" s="15"/>
      <c r="CB1784" s="15"/>
    </row>
    <row r="1785" spans="1:80" ht="12.75" customHeight="1">
      <c r="A1785" s="20">
        <f ca="1">IFERROR(__xludf.DUMMYFUNCTION("""COMPUTED_VALUE"""),2024)</f>
        <v>2024</v>
      </c>
      <c r="B1785" s="45">
        <f ca="1">IFERROR(__xludf.DUMMYFUNCTION("""COMPUTED_VALUE"""),45788)</f>
        <v>45788</v>
      </c>
      <c r="C1785" s="46"/>
      <c r="D1785" s="47" t="str">
        <f ca="1">IFERROR(__xludf.DUMMYFUNCTION("""COMPUTED_VALUE"""),"Caspian Gull")</f>
        <v>Caspian Gull</v>
      </c>
      <c r="E1785" s="52">
        <f ca="1">IFERROR(__xludf.DUMMYFUNCTION("""COMPUTED_VALUE"""),1)</f>
        <v>1</v>
      </c>
      <c r="F1785" s="25" t="str">
        <f ca="1">IFERROR(__xludf.DUMMYFUNCTION("""COMPUTED_VALUE"""),"ad")</f>
        <v>ad</v>
      </c>
      <c r="G1785" s="48" t="str">
        <f ca="1">IFERROR(__xludf.DUMMYFUNCTION("""COMPUTED_VALUE"""),"Sandbach Flashes")</f>
        <v>Sandbach Flashes</v>
      </c>
      <c r="H1785" s="22">
        <f ca="1">IFERROR(__xludf.DUMMYFUNCTION("""COMPUTED_VALUE"""),45536)</f>
        <v>45536</v>
      </c>
      <c r="I1785" s="22">
        <f ca="1">IFERROR(__xludf.DUMMYFUNCTION("""COMPUTED_VALUE"""),45626)</f>
        <v>45626</v>
      </c>
      <c r="J1785" s="24"/>
      <c r="K1785" s="25"/>
      <c r="L1785" s="27"/>
      <c r="M1785" s="27"/>
      <c r="N1785" s="25" t="str">
        <f ca="1">IFERROR(__xludf.DUMMYFUNCTION("""COMPUTED_VALUE"""),"not submitted")</f>
        <v>not submitted</v>
      </c>
      <c r="O1785" s="28" t="str">
        <f ca="1">IFERROR(__xludf.DUMMYFUNCTION("""COMPUTED_VALUE"""),"multi-observed, looking for photo")</f>
        <v>multi-observed, looking for photo</v>
      </c>
      <c r="P1785" s="25"/>
      <c r="Q1785" s="25"/>
      <c r="R1785" s="25"/>
      <c r="S1785" s="25"/>
      <c r="T1785" s="25"/>
      <c r="U1785" s="25"/>
      <c r="V1785" s="25"/>
      <c r="W1785" s="25"/>
      <c r="X1785" s="25"/>
      <c r="Y1785" s="25"/>
      <c r="Z1785" s="25"/>
      <c r="AA1785" s="25"/>
      <c r="AB1785" s="25"/>
      <c r="AC1785" s="25"/>
      <c r="AD1785" s="25"/>
      <c r="AE1785" s="25"/>
      <c r="AF1785" s="25"/>
      <c r="AG1785" s="25"/>
      <c r="AH1785" s="25"/>
      <c r="AI1785" s="25"/>
      <c r="AJ1785" s="25"/>
      <c r="AK1785" s="25"/>
      <c r="AL1785" s="25"/>
      <c r="AM1785" s="25"/>
      <c r="AN1785" s="25"/>
      <c r="AO1785" s="25"/>
      <c r="AP1785" s="25"/>
      <c r="AQ1785" s="25"/>
      <c r="AR1785" s="25"/>
      <c r="AS1785" s="25"/>
      <c r="AT1785" s="25"/>
      <c r="AU1785" s="25"/>
      <c r="AV1785" s="25"/>
      <c r="AW1785" s="25"/>
      <c r="AX1785" s="25"/>
      <c r="AY1785" s="25"/>
      <c r="AZ1785" s="25"/>
      <c r="BA1785" s="25"/>
      <c r="BB1785" s="25"/>
      <c r="BC1785" s="25"/>
      <c r="BD1785" s="25"/>
      <c r="BE1785" s="25"/>
      <c r="BF1785" s="25"/>
      <c r="BG1785" s="25"/>
      <c r="BH1785" s="25"/>
      <c r="BI1785" s="25"/>
      <c r="BJ1785" s="25"/>
      <c r="BK1785" s="25"/>
      <c r="BL1785" s="25"/>
      <c r="BM1785" s="25"/>
      <c r="BN1785" s="25"/>
      <c r="BO1785" s="25"/>
      <c r="BP1785" s="25"/>
      <c r="BQ1785" s="25"/>
      <c r="BR1785" s="25"/>
      <c r="BS1785" s="25"/>
      <c r="BT1785" s="25"/>
      <c r="BU1785" s="25"/>
      <c r="BV1785" s="25"/>
      <c r="BW1785" s="25"/>
      <c r="BX1785" s="25"/>
      <c r="BY1785" s="25"/>
      <c r="BZ1785" s="25"/>
      <c r="CA1785" s="25"/>
      <c r="CB1785" s="25"/>
    </row>
    <row r="1786" spans="1:80" ht="12.75" customHeight="1">
      <c r="A1786" s="10">
        <f ca="1">IFERROR(__xludf.DUMMYFUNCTION("""COMPUTED_VALUE"""),2024)</f>
        <v>2024</v>
      </c>
      <c r="B1786" s="50">
        <f ca="1">IFERROR(__xludf.DUMMYFUNCTION("""COMPUTED_VALUE"""),45788)</f>
        <v>45788</v>
      </c>
      <c r="C1786" s="41"/>
      <c r="D1786" s="42" t="str">
        <f ca="1">IFERROR(__xludf.DUMMYFUNCTION("""COMPUTED_VALUE"""),"Caspian gull")</f>
        <v>Caspian gull</v>
      </c>
      <c r="E1786" s="53">
        <f ca="1">IFERROR(__xludf.DUMMYFUNCTION("""COMPUTED_VALUE"""),1)</f>
        <v>1</v>
      </c>
      <c r="F1786" s="15" t="str">
        <f ca="1">IFERROR(__xludf.DUMMYFUNCTION("""COMPUTED_VALUE"""),"1st winter")</f>
        <v>1st winter</v>
      </c>
      <c r="G1786" s="44" t="str">
        <f ca="1">IFERROR(__xludf.DUMMYFUNCTION("""COMPUTED_VALUE"""),"Waste recyling centre, widnes")</f>
        <v>Waste recyling centre, widnes</v>
      </c>
      <c r="H1786" s="12">
        <f ca="1">IFERROR(__xludf.DUMMYFUNCTION("""COMPUTED_VALUE"""),45618)</f>
        <v>45618</v>
      </c>
      <c r="I1786" s="12">
        <f ca="1">IFERROR(__xludf.DUMMYFUNCTION("""COMPUTED_VALUE"""),45656)</f>
        <v>45656</v>
      </c>
      <c r="J1786" s="14"/>
      <c r="K1786" s="15"/>
      <c r="L1786" s="17" t="str">
        <f ca="1">IFERROR(__xludf.DUMMYFUNCTION("""COMPUTED_VALUE"""),"limbo")</f>
        <v>limbo</v>
      </c>
      <c r="M1786" s="17"/>
      <c r="N1786" s="15" t="str">
        <f ca="1">IFERROR(__xludf.DUMMYFUNCTION("""COMPUTED_VALUE"""),"not submitted")</f>
        <v>not submitted</v>
      </c>
      <c r="O1786" s="18" t="str">
        <f ca="1">IFERROR(__xludf.DUMMYFUNCTION("""COMPUTED_VALUE"""),"intermittently")</f>
        <v>intermittently</v>
      </c>
      <c r="P1786" s="15"/>
      <c r="Q1786" s="15"/>
      <c r="R1786" s="15"/>
      <c r="S1786" s="15"/>
      <c r="T1786" s="15"/>
      <c r="U1786" s="15"/>
      <c r="V1786" s="15"/>
      <c r="W1786" s="15"/>
      <c r="X1786" s="15"/>
      <c r="Y1786" s="15"/>
      <c r="Z1786" s="15"/>
      <c r="AA1786" s="15"/>
      <c r="AB1786" s="15"/>
      <c r="AC1786" s="15"/>
      <c r="AD1786" s="15"/>
      <c r="AE1786" s="15"/>
      <c r="AF1786" s="15"/>
      <c r="AG1786" s="15"/>
      <c r="AH1786" s="15"/>
      <c r="AI1786" s="15"/>
      <c r="AJ1786" s="15"/>
      <c r="AK1786" s="15"/>
      <c r="AL1786" s="15"/>
      <c r="AM1786" s="15"/>
      <c r="AN1786" s="15"/>
      <c r="AO1786" s="15"/>
      <c r="AP1786" s="15"/>
      <c r="AQ1786" s="15"/>
      <c r="AR1786" s="15"/>
      <c r="AS1786" s="15"/>
      <c r="AT1786" s="15"/>
      <c r="AU1786" s="15"/>
      <c r="AV1786" s="15"/>
      <c r="AW1786" s="15"/>
      <c r="AX1786" s="15"/>
      <c r="AY1786" s="15"/>
      <c r="AZ1786" s="15"/>
      <c r="BA1786" s="15"/>
      <c r="BB1786" s="15"/>
      <c r="BC1786" s="15"/>
      <c r="BD1786" s="15"/>
      <c r="BE1786" s="15"/>
      <c r="BF1786" s="15"/>
      <c r="BG1786" s="15"/>
      <c r="BH1786" s="15"/>
      <c r="BI1786" s="15"/>
      <c r="BJ1786" s="15"/>
      <c r="BK1786" s="15"/>
      <c r="BL1786" s="15"/>
      <c r="BM1786" s="15"/>
      <c r="BN1786" s="15"/>
      <c r="BO1786" s="15"/>
      <c r="BP1786" s="15"/>
      <c r="BQ1786" s="15"/>
      <c r="BR1786" s="15"/>
      <c r="BS1786" s="15"/>
      <c r="BT1786" s="15"/>
      <c r="BU1786" s="15"/>
      <c r="BV1786" s="15"/>
      <c r="BW1786" s="15"/>
      <c r="BX1786" s="15"/>
      <c r="BY1786" s="15"/>
      <c r="BZ1786" s="15"/>
      <c r="CA1786" s="15"/>
      <c r="CB1786" s="15"/>
    </row>
    <row r="1787" spans="1:80" ht="12.75" customHeight="1">
      <c r="A1787" s="20">
        <f ca="1">IFERROR(__xludf.DUMMYFUNCTION("""COMPUTED_VALUE"""),2024)</f>
        <v>2024</v>
      </c>
      <c r="B1787" s="45">
        <f ca="1">IFERROR(__xludf.DUMMYFUNCTION("""COMPUTED_VALUE"""),45788)</f>
        <v>45788</v>
      </c>
      <c r="C1787" s="46"/>
      <c r="D1787" s="47" t="str">
        <f ca="1">IFERROR(__xludf.DUMMYFUNCTION("""COMPUTED_VALUE"""),"Caspian Gull")</f>
        <v>Caspian Gull</v>
      </c>
      <c r="E1787" s="52">
        <f ca="1">IFERROR(__xludf.DUMMYFUNCTION("""COMPUTED_VALUE"""),1)</f>
        <v>1</v>
      </c>
      <c r="F1787" s="25" t="str">
        <f ca="1">IFERROR(__xludf.DUMMYFUNCTION("""COMPUTED_VALUE"""),"2d")</f>
        <v>2d</v>
      </c>
      <c r="G1787" s="48" t="str">
        <f ca="1">IFERROR(__xludf.DUMMYFUNCTION("""COMPUTED_VALUE"""),"Waste recyling centre, widnes")</f>
        <v>Waste recyling centre, widnes</v>
      </c>
      <c r="H1787" s="22">
        <f ca="1">IFERROR(__xludf.DUMMYFUNCTION("""COMPUTED_VALUE"""),45654)</f>
        <v>45654</v>
      </c>
      <c r="I1787" s="22">
        <f ca="1">IFERROR(__xludf.DUMMYFUNCTION("""COMPUTED_VALUE"""),45656)</f>
        <v>45656</v>
      </c>
      <c r="J1787" s="24"/>
      <c r="K1787" s="25"/>
      <c r="L1787" s="27" t="str">
        <f ca="1">IFERROR(__xludf.DUMMYFUNCTION("""COMPUTED_VALUE"""),"limbo")</f>
        <v>limbo</v>
      </c>
      <c r="M1787" s="27"/>
      <c r="N1787" s="25" t="str">
        <f ca="1">IFERROR(__xludf.DUMMYFUNCTION("""COMPUTED_VALUE"""),"not submitted")</f>
        <v>not submitted</v>
      </c>
      <c r="O1787" s="28"/>
      <c r="P1787" s="25"/>
      <c r="Q1787" s="25"/>
      <c r="R1787" s="25"/>
      <c r="S1787" s="25"/>
      <c r="T1787" s="25"/>
      <c r="U1787" s="25"/>
      <c r="V1787" s="25"/>
      <c r="W1787" s="25"/>
      <c r="X1787" s="25"/>
      <c r="Y1787" s="25"/>
      <c r="Z1787" s="25"/>
      <c r="AA1787" s="25"/>
      <c r="AB1787" s="25"/>
      <c r="AC1787" s="25"/>
      <c r="AD1787" s="25"/>
      <c r="AE1787" s="25"/>
      <c r="AF1787" s="25"/>
      <c r="AG1787" s="25"/>
      <c r="AH1787" s="25"/>
      <c r="AI1787" s="25"/>
      <c r="AJ1787" s="25"/>
      <c r="AK1787" s="25"/>
      <c r="AL1787" s="25"/>
      <c r="AM1787" s="25"/>
      <c r="AN1787" s="25"/>
      <c r="AO1787" s="25"/>
      <c r="AP1787" s="25"/>
      <c r="AQ1787" s="25"/>
      <c r="AR1787" s="25"/>
      <c r="AS1787" s="25"/>
      <c r="AT1787" s="25"/>
      <c r="AU1787" s="25"/>
      <c r="AV1787" s="25"/>
      <c r="AW1787" s="25"/>
      <c r="AX1787" s="25"/>
      <c r="AY1787" s="25"/>
      <c r="AZ1787" s="25"/>
      <c r="BA1787" s="25"/>
      <c r="BB1787" s="25"/>
      <c r="BC1787" s="25"/>
      <c r="BD1787" s="25"/>
      <c r="BE1787" s="25"/>
      <c r="BF1787" s="25"/>
      <c r="BG1787" s="25"/>
      <c r="BH1787" s="25"/>
      <c r="BI1787" s="25"/>
      <c r="BJ1787" s="25"/>
      <c r="BK1787" s="25"/>
      <c r="BL1787" s="25"/>
      <c r="BM1787" s="25"/>
      <c r="BN1787" s="25"/>
      <c r="BO1787" s="25"/>
      <c r="BP1787" s="25"/>
      <c r="BQ1787" s="25"/>
      <c r="BR1787" s="25"/>
      <c r="BS1787" s="25"/>
      <c r="BT1787" s="25"/>
      <c r="BU1787" s="25"/>
      <c r="BV1787" s="25"/>
      <c r="BW1787" s="25"/>
      <c r="BX1787" s="25"/>
      <c r="BY1787" s="25"/>
      <c r="BZ1787" s="25"/>
      <c r="CA1787" s="25"/>
      <c r="CB1787" s="25"/>
    </row>
    <row r="1788" spans="1:80" ht="12.75" customHeight="1">
      <c r="A1788" s="10">
        <f ca="1">IFERROR(__xludf.DUMMYFUNCTION("""COMPUTED_VALUE"""),2023)</f>
        <v>2023</v>
      </c>
      <c r="B1788" s="50"/>
      <c r="C1788" s="41"/>
      <c r="D1788" s="42" t="str">
        <f ca="1">IFERROR(__xludf.DUMMYFUNCTION("""COMPUTED_VALUE"""),"Kumlien's Gull")</f>
        <v>Kumlien's Gull</v>
      </c>
      <c r="E1788" s="53">
        <f ca="1">IFERROR(__xludf.DUMMYFUNCTION("""COMPUTED_VALUE"""),1)</f>
        <v>1</v>
      </c>
      <c r="F1788" s="15" t="str">
        <f ca="1">IFERROR(__xludf.DUMMYFUNCTION("""COMPUTED_VALUE"""),"3rd W")</f>
        <v>3rd W</v>
      </c>
      <c r="G1788" s="44" t="str">
        <f ca="1">IFERROR(__xludf.DUMMYFUNCTION("""COMPUTED_VALUE"""),"Widnes, Runcorn area")</f>
        <v>Widnes, Runcorn area</v>
      </c>
      <c r="H1788" s="12">
        <f ca="1">IFERROR(__xludf.DUMMYFUNCTION("""COMPUTED_VALUE"""),44953)</f>
        <v>44953</v>
      </c>
      <c r="I1788" s="12">
        <f ca="1">IFERROR(__xludf.DUMMYFUNCTION("""COMPUTED_VALUE"""),45373)</f>
        <v>45373</v>
      </c>
      <c r="J1788" s="14" t="str">
        <f ca="1">IFERROR(__xludf.DUMMYFUNCTION("""COMPUTED_VALUE"""),"County recorder")</f>
        <v>County recorder</v>
      </c>
      <c r="K1788" s="15"/>
      <c r="L1788" s="17" t="str">
        <f ca="1">IFERROR(__xludf.DUMMYFUNCTION("""COMPUTED_VALUE"""),"closed")</f>
        <v>closed</v>
      </c>
      <c r="M1788" s="17"/>
      <c r="N1788" s="15" t="str">
        <f ca="1">IFERROR(__xludf.DUMMYFUNCTION("""COMPUTED_VALUE"""),"accepted without circulation")</f>
        <v>accepted without circulation</v>
      </c>
      <c r="O1788" s="18" t="str">
        <f ca="1">IFERROR(__xludf.DUMMYFUNCTION("""COMPUTED_VALUE"""),"multi-observed, photos, returning bird")</f>
        <v>multi-observed, photos, returning bird</v>
      </c>
      <c r="P1788" s="15"/>
      <c r="Q1788" s="15"/>
      <c r="R1788" s="15"/>
      <c r="S1788" s="15"/>
      <c r="T1788" s="15"/>
      <c r="U1788" s="15"/>
      <c r="V1788" s="15"/>
      <c r="W1788" s="15"/>
      <c r="X1788" s="15"/>
      <c r="Y1788" s="15"/>
      <c r="Z1788" s="15"/>
      <c r="AA1788" s="15"/>
      <c r="AB1788" s="15"/>
      <c r="AC1788" s="15"/>
      <c r="AD1788" s="15"/>
      <c r="AE1788" s="15"/>
      <c r="AF1788" s="15"/>
      <c r="AG1788" s="15"/>
      <c r="AH1788" s="15"/>
      <c r="AI1788" s="15"/>
      <c r="AJ1788" s="15"/>
      <c r="AK1788" s="15"/>
      <c r="AL1788" s="15"/>
      <c r="AM1788" s="15"/>
      <c r="AN1788" s="15"/>
      <c r="AO1788" s="15"/>
      <c r="AP1788" s="15"/>
      <c r="AQ1788" s="15"/>
      <c r="AR1788" s="15"/>
      <c r="AS1788" s="15"/>
      <c r="AT1788" s="15"/>
      <c r="AU1788" s="15"/>
      <c r="AV1788" s="15"/>
      <c r="AW1788" s="15"/>
      <c r="AX1788" s="15"/>
      <c r="AY1788" s="15"/>
      <c r="AZ1788" s="15"/>
      <c r="BA1788" s="15"/>
      <c r="BB1788" s="15"/>
      <c r="BC1788" s="15"/>
      <c r="BD1788" s="15"/>
      <c r="BE1788" s="15"/>
      <c r="BF1788" s="15"/>
      <c r="BG1788" s="15"/>
      <c r="BH1788" s="15"/>
      <c r="BI1788" s="15"/>
      <c r="BJ1788" s="15"/>
      <c r="BK1788" s="15"/>
      <c r="BL1788" s="15"/>
      <c r="BM1788" s="15"/>
      <c r="BN1788" s="15"/>
      <c r="BO1788" s="15"/>
      <c r="BP1788" s="15"/>
      <c r="BQ1788" s="15"/>
      <c r="BR1788" s="15"/>
      <c r="BS1788" s="15"/>
      <c r="BT1788" s="15"/>
      <c r="BU1788" s="15"/>
      <c r="BV1788" s="15"/>
      <c r="BW1788" s="15"/>
      <c r="BX1788" s="15"/>
      <c r="BY1788" s="15"/>
      <c r="BZ1788" s="15"/>
      <c r="CA1788" s="15"/>
      <c r="CB1788" s="15"/>
    </row>
    <row r="1789" spans="1:80" ht="12.75" customHeight="1">
      <c r="A1789" s="20">
        <f ca="1">IFERROR(__xludf.DUMMYFUNCTION("""COMPUTED_VALUE"""),2024)</f>
        <v>2024</v>
      </c>
      <c r="B1789" s="45">
        <f ca="1">IFERROR(__xludf.DUMMYFUNCTION("""COMPUTED_VALUE"""),45786)</f>
        <v>45786</v>
      </c>
      <c r="C1789" s="46"/>
      <c r="D1789" s="47" t="str">
        <f ca="1">IFERROR(__xludf.DUMMYFUNCTION("""COMPUTED_VALUE"""),"Black Guillemot")</f>
        <v>Black Guillemot</v>
      </c>
      <c r="E1789" s="52">
        <f ca="1">IFERROR(__xludf.DUMMYFUNCTION("""COMPUTED_VALUE"""),1)</f>
        <v>1</v>
      </c>
      <c r="F1789" s="25"/>
      <c r="G1789" s="48" t="str">
        <f ca="1">IFERROR(__xludf.DUMMYFUNCTION("""COMPUTED_VALUE"""),"Hilbre")</f>
        <v>Hilbre</v>
      </c>
      <c r="H1789" s="22">
        <f ca="1">IFERROR(__xludf.DUMMYFUNCTION("""COMPUTED_VALUE"""),45418)</f>
        <v>45418</v>
      </c>
      <c r="I1789" s="23"/>
      <c r="J1789" s="24"/>
      <c r="K1789" s="25"/>
      <c r="L1789" s="27" t="str">
        <f ca="1">IFERROR(__xludf.DUMMYFUNCTION("""COMPUTED_VALUE"""),"limbo")</f>
        <v>limbo</v>
      </c>
      <c r="M1789" s="27"/>
      <c r="N1789" s="25" t="str">
        <f ca="1">IFERROR(__xludf.DUMMYFUNCTION("""COMPUTED_VALUE"""),"not submitted")</f>
        <v>not submitted</v>
      </c>
      <c r="O1789" s="28" t="str">
        <f ca="1">IFERROR(__xludf.DUMMYFUNCTION("""COMPUTED_VALUE"""),"Birdguides")</f>
        <v>Birdguides</v>
      </c>
      <c r="P1789" s="25"/>
      <c r="Q1789" s="25"/>
      <c r="R1789" s="25"/>
      <c r="S1789" s="25"/>
      <c r="T1789" s="25"/>
      <c r="U1789" s="25"/>
      <c r="V1789" s="25"/>
      <c r="W1789" s="25"/>
      <c r="X1789" s="25"/>
      <c r="Y1789" s="25"/>
      <c r="Z1789" s="25"/>
      <c r="AA1789" s="25"/>
      <c r="AB1789" s="25"/>
      <c r="AC1789" s="25"/>
      <c r="AD1789" s="25"/>
      <c r="AE1789" s="25"/>
      <c r="AF1789" s="25"/>
      <c r="AG1789" s="25"/>
      <c r="AH1789" s="25"/>
      <c r="AI1789" s="25"/>
      <c r="AJ1789" s="25"/>
      <c r="AK1789" s="25"/>
      <c r="AL1789" s="25"/>
      <c r="AM1789" s="25"/>
      <c r="AN1789" s="25"/>
      <c r="AO1789" s="25"/>
      <c r="AP1789" s="25"/>
      <c r="AQ1789" s="25"/>
      <c r="AR1789" s="25"/>
      <c r="AS1789" s="25"/>
      <c r="AT1789" s="25"/>
      <c r="AU1789" s="25"/>
      <c r="AV1789" s="25"/>
      <c r="AW1789" s="25"/>
      <c r="AX1789" s="25"/>
      <c r="AY1789" s="25"/>
      <c r="AZ1789" s="25"/>
      <c r="BA1789" s="25"/>
      <c r="BB1789" s="25"/>
      <c r="BC1789" s="25"/>
      <c r="BD1789" s="25"/>
      <c r="BE1789" s="25"/>
      <c r="BF1789" s="25"/>
      <c r="BG1789" s="25"/>
      <c r="BH1789" s="25"/>
      <c r="BI1789" s="25"/>
      <c r="BJ1789" s="25"/>
      <c r="BK1789" s="25"/>
      <c r="BL1789" s="25"/>
      <c r="BM1789" s="25"/>
      <c r="BN1789" s="25"/>
      <c r="BO1789" s="25"/>
      <c r="BP1789" s="25"/>
      <c r="BQ1789" s="25"/>
      <c r="BR1789" s="25"/>
      <c r="BS1789" s="25"/>
      <c r="BT1789" s="25"/>
      <c r="BU1789" s="25"/>
      <c r="BV1789" s="25"/>
      <c r="BW1789" s="25"/>
      <c r="BX1789" s="25"/>
      <c r="BY1789" s="25"/>
      <c r="BZ1789" s="25"/>
      <c r="CA1789" s="25"/>
      <c r="CB1789" s="25"/>
    </row>
    <row r="1790" spans="1:80" ht="12.75" customHeight="1">
      <c r="A1790" s="10">
        <f ca="1">IFERROR(__xludf.DUMMYFUNCTION("""COMPUTED_VALUE"""),2024)</f>
        <v>2024</v>
      </c>
      <c r="B1790" s="50">
        <f ca="1">IFERROR(__xludf.DUMMYFUNCTION("""COMPUTED_VALUE"""),45525)</f>
        <v>45525</v>
      </c>
      <c r="C1790" s="41"/>
      <c r="D1790" s="42" t="str">
        <f ca="1">IFERROR(__xludf.DUMMYFUNCTION("""COMPUTED_VALUE"""),"Little Bittern")</f>
        <v>Little Bittern</v>
      </c>
      <c r="E1790" s="53">
        <f ca="1">IFERROR(__xludf.DUMMYFUNCTION("""COMPUTED_VALUE"""),1)</f>
        <v>1</v>
      </c>
      <c r="F1790" s="15" t="str">
        <f ca="1">IFERROR(__xludf.DUMMYFUNCTION("""COMPUTED_VALUE"""),"5f")</f>
        <v>5f</v>
      </c>
      <c r="G1790" s="44" t="str">
        <f ca="1">IFERROR(__xludf.DUMMYFUNCTION("""COMPUTED_VALUE"""),"Woolston Eyes")</f>
        <v>Woolston Eyes</v>
      </c>
      <c r="H1790" s="12">
        <f ca="1">IFERROR(__xludf.DUMMYFUNCTION("""COMPUTED_VALUE"""),45401)</f>
        <v>45401</v>
      </c>
      <c r="I1790" s="13"/>
      <c r="J1790" s="14"/>
      <c r="K1790" s="15"/>
      <c r="L1790" s="17" t="str">
        <f ca="1">IFERROR(__xludf.DUMMYFUNCTION("""COMPUTED_VALUE"""),"closed")</f>
        <v>closed</v>
      </c>
      <c r="M1790" s="17"/>
      <c r="N1790" s="15" t="str">
        <f ca="1">IFERROR(__xludf.DUMMYFUNCTION("""COMPUTED_VALUE"""),"BBRC-in circ")</f>
        <v>BBRC-in circ</v>
      </c>
      <c r="O1790" s="18"/>
      <c r="P1790" s="15"/>
      <c r="Q1790" s="15"/>
      <c r="R1790" s="15"/>
      <c r="S1790" s="15"/>
      <c r="T1790" s="15"/>
      <c r="U1790" s="15"/>
      <c r="V1790" s="15"/>
      <c r="W1790" s="15"/>
      <c r="X1790" s="15"/>
      <c r="Y1790" s="15"/>
      <c r="Z1790" s="15"/>
      <c r="AA1790" s="15"/>
      <c r="AB1790" s="15"/>
      <c r="AC1790" s="15"/>
      <c r="AD1790" s="15"/>
      <c r="AE1790" s="15"/>
      <c r="AF1790" s="15"/>
      <c r="AG1790" s="15"/>
      <c r="AH1790" s="15"/>
      <c r="AI1790" s="15"/>
      <c r="AJ1790" s="15"/>
      <c r="AK1790" s="15"/>
      <c r="AL1790" s="15"/>
      <c r="AM1790" s="15"/>
      <c r="AN1790" s="15"/>
      <c r="AO1790" s="15"/>
      <c r="AP1790" s="15"/>
      <c r="AQ1790" s="15"/>
      <c r="AR1790" s="15"/>
      <c r="AS1790" s="15"/>
      <c r="AT1790" s="15"/>
      <c r="AU1790" s="15"/>
      <c r="AV1790" s="15"/>
      <c r="AW1790" s="15"/>
      <c r="AX1790" s="15"/>
      <c r="AY1790" s="15"/>
      <c r="AZ1790" s="15"/>
      <c r="BA1790" s="15"/>
      <c r="BB1790" s="15"/>
      <c r="BC1790" s="15"/>
      <c r="BD1790" s="15"/>
      <c r="BE1790" s="15"/>
      <c r="BF1790" s="15"/>
      <c r="BG1790" s="15"/>
      <c r="BH1790" s="15"/>
      <c r="BI1790" s="15"/>
      <c r="BJ1790" s="15"/>
      <c r="BK1790" s="15"/>
      <c r="BL1790" s="15"/>
      <c r="BM1790" s="15"/>
      <c r="BN1790" s="15"/>
      <c r="BO1790" s="15"/>
      <c r="BP1790" s="15"/>
      <c r="BQ1790" s="15"/>
      <c r="BR1790" s="15"/>
      <c r="BS1790" s="15"/>
      <c r="BT1790" s="15"/>
      <c r="BU1790" s="15"/>
      <c r="BV1790" s="15"/>
      <c r="BW1790" s="15"/>
      <c r="BX1790" s="15"/>
      <c r="BY1790" s="15"/>
      <c r="BZ1790" s="15"/>
      <c r="CA1790" s="15"/>
      <c r="CB1790" s="15"/>
    </row>
    <row r="1791" spans="1:80" ht="12.75" customHeight="1">
      <c r="A1791" s="20">
        <f ca="1">IFERROR(__xludf.DUMMYFUNCTION("""COMPUTED_VALUE"""),2024)</f>
        <v>2024</v>
      </c>
      <c r="B1791" s="45"/>
      <c r="C1791" s="46"/>
      <c r="D1791" s="47" t="str">
        <f ca="1">IFERROR(__xludf.DUMMYFUNCTION("""COMPUTED_VALUE"""),"Nightjar")</f>
        <v>Nightjar</v>
      </c>
      <c r="E1791" s="52">
        <f ca="1">IFERROR(__xludf.DUMMYFUNCTION("""COMPUTED_VALUE"""),1)</f>
        <v>1</v>
      </c>
      <c r="F1791" s="25"/>
      <c r="G1791" s="48" t="str">
        <f ca="1">IFERROR(__xludf.DUMMYFUNCTION("""COMPUTED_VALUE"""),"Bickerton Hill")</f>
        <v>Bickerton Hill</v>
      </c>
      <c r="H1791" s="22">
        <f ca="1">IFERROR(__xludf.DUMMYFUNCTION("""COMPUTED_VALUE"""),45422)</f>
        <v>45422</v>
      </c>
      <c r="I1791" s="22">
        <f ca="1">IFERROR(__xludf.DUMMYFUNCTION("""COMPUTED_VALUE"""),45458)</f>
        <v>45458</v>
      </c>
      <c r="J1791" s="24"/>
      <c r="K1791" s="25"/>
      <c r="L1791" s="27" t="str">
        <f ca="1">IFERROR(__xludf.DUMMYFUNCTION("""COMPUTED_VALUE"""),"limbo")</f>
        <v>limbo</v>
      </c>
      <c r="M1791" s="27"/>
      <c r="N1791" s="25" t="str">
        <f ca="1">IFERROR(__xludf.DUMMYFUNCTION("""COMPUTED_VALUE"""),"not submitted")</f>
        <v>not submitted</v>
      </c>
      <c r="O1791" s="28"/>
      <c r="P1791" s="25"/>
      <c r="Q1791" s="25"/>
      <c r="R1791" s="25"/>
      <c r="S1791" s="25"/>
      <c r="T1791" s="25"/>
      <c r="U1791" s="25"/>
      <c r="V1791" s="25"/>
      <c r="W1791" s="25"/>
      <c r="X1791" s="25"/>
      <c r="Y1791" s="25"/>
      <c r="Z1791" s="25"/>
      <c r="AA1791" s="25"/>
      <c r="AB1791" s="25"/>
      <c r="AC1791" s="25"/>
      <c r="AD1791" s="25"/>
      <c r="AE1791" s="25"/>
      <c r="AF1791" s="25"/>
      <c r="AG1791" s="25"/>
      <c r="AH1791" s="25"/>
      <c r="AI1791" s="25"/>
      <c r="AJ1791" s="25"/>
      <c r="AK1791" s="25"/>
      <c r="AL1791" s="25"/>
      <c r="AM1791" s="25"/>
      <c r="AN1791" s="25"/>
      <c r="AO1791" s="25"/>
      <c r="AP1791" s="25"/>
      <c r="AQ1791" s="25"/>
      <c r="AR1791" s="25"/>
      <c r="AS1791" s="25"/>
      <c r="AT1791" s="25"/>
      <c r="AU1791" s="25"/>
      <c r="AV1791" s="25"/>
      <c r="AW1791" s="25"/>
      <c r="AX1791" s="25"/>
      <c r="AY1791" s="25"/>
      <c r="AZ1791" s="25"/>
      <c r="BA1791" s="25"/>
      <c r="BB1791" s="25"/>
      <c r="BC1791" s="25"/>
      <c r="BD1791" s="25"/>
      <c r="BE1791" s="25"/>
      <c r="BF1791" s="25"/>
      <c r="BG1791" s="25"/>
      <c r="BH1791" s="25"/>
      <c r="BI1791" s="25"/>
      <c r="BJ1791" s="25"/>
      <c r="BK1791" s="25"/>
      <c r="BL1791" s="25"/>
      <c r="BM1791" s="25"/>
      <c r="BN1791" s="25"/>
      <c r="BO1791" s="25"/>
      <c r="BP1791" s="25"/>
      <c r="BQ1791" s="25"/>
      <c r="BR1791" s="25"/>
      <c r="BS1791" s="25"/>
      <c r="BT1791" s="25"/>
      <c r="BU1791" s="25"/>
      <c r="BV1791" s="25"/>
      <c r="BW1791" s="25"/>
      <c r="BX1791" s="25"/>
      <c r="BY1791" s="25"/>
      <c r="BZ1791" s="25"/>
      <c r="CA1791" s="25"/>
      <c r="CB1791" s="25"/>
    </row>
    <row r="1792" spans="1:80" ht="12.75" customHeight="1">
      <c r="A1792" s="10">
        <f ca="1">IFERROR(__xludf.DUMMYFUNCTION("""COMPUTED_VALUE"""),2024)</f>
        <v>2024</v>
      </c>
      <c r="B1792" s="50"/>
      <c r="C1792" s="41"/>
      <c r="D1792" s="42" t="str">
        <f ca="1">IFERROR(__xludf.DUMMYFUNCTION("""COMPUTED_VALUE"""),"Nightjar")</f>
        <v>Nightjar</v>
      </c>
      <c r="E1792" s="53">
        <f ca="1">IFERROR(__xludf.DUMMYFUNCTION("""COMPUTED_VALUE"""),1)</f>
        <v>1</v>
      </c>
      <c r="F1792" s="15"/>
      <c r="G1792" s="44" t="str">
        <f ca="1">IFERROR(__xludf.DUMMYFUNCTION("""COMPUTED_VALUE"""),"Macclesfield Forest")</f>
        <v>Macclesfield Forest</v>
      </c>
      <c r="H1792" s="12">
        <f ca="1">IFERROR(__xludf.DUMMYFUNCTION("""COMPUTED_VALUE"""),45445)</f>
        <v>45445</v>
      </c>
      <c r="I1792" s="12">
        <f ca="1">IFERROR(__xludf.DUMMYFUNCTION("""COMPUTED_VALUE"""),45467)</f>
        <v>45467</v>
      </c>
      <c r="J1792" s="14"/>
      <c r="K1792" s="15"/>
      <c r="L1792" s="17" t="str">
        <f ca="1">IFERROR(__xludf.DUMMYFUNCTION("""COMPUTED_VALUE"""),"limbo")</f>
        <v>limbo</v>
      </c>
      <c r="M1792" s="17"/>
      <c r="N1792" s="15" t="str">
        <f ca="1">IFERROR(__xludf.DUMMYFUNCTION("""COMPUTED_VALUE"""),"not submitted")</f>
        <v>not submitted</v>
      </c>
      <c r="O1792" s="18"/>
      <c r="P1792" s="15"/>
      <c r="Q1792" s="15"/>
      <c r="R1792" s="15"/>
      <c r="S1792" s="15"/>
      <c r="T1792" s="15"/>
      <c r="U1792" s="15"/>
      <c r="V1792" s="15"/>
      <c r="W1792" s="15"/>
      <c r="X1792" s="15"/>
      <c r="Y1792" s="15"/>
      <c r="Z1792" s="15"/>
      <c r="AA1792" s="15"/>
      <c r="AB1792" s="15"/>
      <c r="AC1792" s="15"/>
      <c r="AD1792" s="15"/>
      <c r="AE1792" s="15"/>
      <c r="AF1792" s="15"/>
      <c r="AG1792" s="15"/>
      <c r="AH1792" s="15"/>
      <c r="AI1792" s="15"/>
      <c r="AJ1792" s="15"/>
      <c r="AK1792" s="15"/>
      <c r="AL1792" s="15"/>
      <c r="AM1792" s="15"/>
      <c r="AN1792" s="15"/>
      <c r="AO1792" s="15"/>
      <c r="AP1792" s="15"/>
      <c r="AQ1792" s="15"/>
      <c r="AR1792" s="15"/>
      <c r="AS1792" s="15"/>
      <c r="AT1792" s="15"/>
      <c r="AU1792" s="15"/>
      <c r="AV1792" s="15"/>
      <c r="AW1792" s="15"/>
      <c r="AX1792" s="15"/>
      <c r="AY1792" s="15"/>
      <c r="AZ1792" s="15"/>
      <c r="BA1792" s="15"/>
      <c r="BB1792" s="15"/>
      <c r="BC1792" s="15"/>
      <c r="BD1792" s="15"/>
      <c r="BE1792" s="15"/>
      <c r="BF1792" s="15"/>
      <c r="BG1792" s="15"/>
      <c r="BH1792" s="15"/>
      <c r="BI1792" s="15"/>
      <c r="BJ1792" s="15"/>
      <c r="BK1792" s="15"/>
      <c r="BL1792" s="15"/>
      <c r="BM1792" s="15"/>
      <c r="BN1792" s="15"/>
      <c r="BO1792" s="15"/>
      <c r="BP1792" s="15"/>
      <c r="BQ1792" s="15"/>
      <c r="BR1792" s="15"/>
      <c r="BS1792" s="15"/>
      <c r="BT1792" s="15"/>
      <c r="BU1792" s="15"/>
      <c r="BV1792" s="15"/>
      <c r="BW1792" s="15"/>
      <c r="BX1792" s="15"/>
      <c r="BY1792" s="15"/>
      <c r="BZ1792" s="15"/>
      <c r="CA1792" s="15"/>
      <c r="CB1792" s="15"/>
    </row>
    <row r="1793" spans="1:80" ht="12.75" customHeight="1">
      <c r="A1793" s="20">
        <f ca="1">IFERROR(__xludf.DUMMYFUNCTION("""COMPUTED_VALUE"""),2024)</f>
        <v>2024</v>
      </c>
      <c r="B1793" s="45"/>
      <c r="C1793" s="46"/>
      <c r="D1793" s="47" t="str">
        <f ca="1">IFERROR(__xludf.DUMMYFUNCTION("""COMPUTED_VALUE"""),"Nightjar")</f>
        <v>Nightjar</v>
      </c>
      <c r="E1793" s="52">
        <f ca="1">IFERROR(__xludf.DUMMYFUNCTION("""COMPUTED_VALUE"""),1)</f>
        <v>1</v>
      </c>
      <c r="F1793" s="25"/>
      <c r="G1793" s="48" t="str">
        <f ca="1">IFERROR(__xludf.DUMMYFUNCTION("""COMPUTED_VALUE"""),"Chester - Hoole SJ46I ")</f>
        <v xml:space="preserve">Chester - Hoole SJ46I </v>
      </c>
      <c r="H1793" s="22">
        <f ca="1">IFERROR(__xludf.DUMMYFUNCTION("""COMPUTED_VALUE"""),45433)</f>
        <v>45433</v>
      </c>
      <c r="I1793" s="23"/>
      <c r="J1793" s="24"/>
      <c r="K1793" s="25"/>
      <c r="L1793" s="27" t="str">
        <f ca="1">IFERROR(__xludf.DUMMYFUNCTION("""COMPUTED_VALUE"""),"limbo")</f>
        <v>limbo</v>
      </c>
      <c r="M1793" s="27"/>
      <c r="N1793" s="25" t="str">
        <f ca="1">IFERROR(__xludf.DUMMYFUNCTION("""COMPUTED_VALUE"""),"not submitted")</f>
        <v>not submitted</v>
      </c>
      <c r="O1793" s="28" t="str">
        <f ca="1">IFERROR(__xludf.DUMMYFUNCTION("""COMPUTED_VALUE"""),"nocmig")</f>
        <v>nocmig</v>
      </c>
      <c r="P1793" s="25"/>
      <c r="Q1793" s="25"/>
      <c r="R1793" s="25"/>
      <c r="S1793" s="25"/>
      <c r="T1793" s="25"/>
      <c r="U1793" s="25"/>
      <c r="V1793" s="25"/>
      <c r="W1793" s="25"/>
      <c r="X1793" s="25"/>
      <c r="Y1793" s="25"/>
      <c r="Z1793" s="25"/>
      <c r="AA1793" s="25"/>
      <c r="AB1793" s="25"/>
      <c r="AC1793" s="25"/>
      <c r="AD1793" s="25"/>
      <c r="AE1793" s="25"/>
      <c r="AF1793" s="25"/>
      <c r="AG1793" s="25"/>
      <c r="AH1793" s="25"/>
      <c r="AI1793" s="25"/>
      <c r="AJ1793" s="25"/>
      <c r="AK1793" s="25"/>
      <c r="AL1793" s="25"/>
      <c r="AM1793" s="25"/>
      <c r="AN1793" s="25"/>
      <c r="AO1793" s="25"/>
      <c r="AP1793" s="25"/>
      <c r="AQ1793" s="25"/>
      <c r="AR1793" s="25"/>
      <c r="AS1793" s="25"/>
      <c r="AT1793" s="25"/>
      <c r="AU1793" s="25"/>
      <c r="AV1793" s="25"/>
      <c r="AW1793" s="25"/>
      <c r="AX1793" s="25"/>
      <c r="AY1793" s="25"/>
      <c r="AZ1793" s="25"/>
      <c r="BA1793" s="25"/>
      <c r="BB1793" s="25"/>
      <c r="BC1793" s="25"/>
      <c r="BD1793" s="25"/>
      <c r="BE1793" s="25"/>
      <c r="BF1793" s="25"/>
      <c r="BG1793" s="25"/>
      <c r="BH1793" s="25"/>
      <c r="BI1793" s="25"/>
      <c r="BJ1793" s="25"/>
      <c r="BK1793" s="25"/>
      <c r="BL1793" s="25"/>
      <c r="BM1793" s="25"/>
      <c r="BN1793" s="25"/>
      <c r="BO1793" s="25"/>
      <c r="BP1793" s="25"/>
      <c r="BQ1793" s="25"/>
      <c r="BR1793" s="25"/>
      <c r="BS1793" s="25"/>
      <c r="BT1793" s="25"/>
      <c r="BU1793" s="25"/>
      <c r="BV1793" s="25"/>
      <c r="BW1793" s="25"/>
      <c r="BX1793" s="25"/>
      <c r="BY1793" s="25"/>
      <c r="BZ1793" s="25"/>
      <c r="CA1793" s="25"/>
      <c r="CB1793" s="25"/>
    </row>
    <row r="1794" spans="1:80" ht="12.75" customHeight="1">
      <c r="A1794" s="10">
        <f ca="1">IFERROR(__xludf.DUMMYFUNCTION("""COMPUTED_VALUE"""),2024)</f>
        <v>2024</v>
      </c>
      <c r="B1794" s="50">
        <f ca="1">IFERROR(__xludf.DUMMYFUNCTION("""COMPUTED_VALUE"""),45657)</f>
        <v>45657</v>
      </c>
      <c r="C1794" s="41">
        <f ca="1">IFERROR(__xludf.DUMMYFUNCTION("""COMPUTED_VALUE"""),45657)</f>
        <v>45657</v>
      </c>
      <c r="D1794" s="42" t="str">
        <f ca="1">IFERROR(__xludf.DUMMYFUNCTION("""COMPUTED_VALUE"""),"Goshawk")</f>
        <v>Goshawk</v>
      </c>
      <c r="E1794" s="53">
        <f ca="1">IFERROR(__xludf.DUMMYFUNCTION("""COMPUTED_VALUE"""),1)</f>
        <v>1</v>
      </c>
      <c r="F1794" s="15" t="str">
        <f ca="1">IFERROR(__xludf.DUMMYFUNCTION("""COMPUTED_VALUE"""),"f")</f>
        <v>f</v>
      </c>
      <c r="G1794" s="44" t="str">
        <f ca="1">IFERROR(__xludf.DUMMYFUNCTION("""COMPUTED_VALUE"""),"Arley")</f>
        <v>Arley</v>
      </c>
      <c r="H1794" s="12">
        <f ca="1">IFERROR(__xludf.DUMMYFUNCTION("""COMPUTED_VALUE"""),45652)</f>
        <v>45652</v>
      </c>
      <c r="I1794" s="13"/>
      <c r="J1794" s="14"/>
      <c r="K1794" s="15"/>
      <c r="L1794" s="17" t="str">
        <f ca="1">IFERROR(__xludf.DUMMYFUNCTION("""COMPUTED_VALUE"""),"open")</f>
        <v>open</v>
      </c>
      <c r="M1794" s="17"/>
      <c r="N1794" s="15" t="str">
        <f ca="1">IFERROR(__xludf.DUMMYFUNCTION("""COMPUTED_VALUE"""),"in Circulation")</f>
        <v>in Circulation</v>
      </c>
      <c r="O1794" s="18"/>
      <c r="P1794" s="15"/>
      <c r="Q1794" s="15"/>
      <c r="R1794" s="15"/>
      <c r="S1794" s="15"/>
      <c r="T1794" s="15"/>
      <c r="U1794" s="15"/>
      <c r="V1794" s="15"/>
      <c r="W1794" s="15"/>
      <c r="X1794" s="15"/>
      <c r="Y1794" s="15"/>
      <c r="Z1794" s="15"/>
      <c r="AA1794" s="15"/>
      <c r="AB1794" s="15"/>
      <c r="AC1794" s="15"/>
      <c r="AD1794" s="15"/>
      <c r="AE1794" s="15"/>
      <c r="AF1794" s="15"/>
      <c r="AG1794" s="15"/>
      <c r="AH1794" s="15"/>
      <c r="AI1794" s="15"/>
      <c r="AJ1794" s="15"/>
      <c r="AK1794" s="15"/>
      <c r="AL1794" s="15"/>
      <c r="AM1794" s="15"/>
      <c r="AN1794" s="15"/>
      <c r="AO1794" s="15"/>
      <c r="AP1794" s="15"/>
      <c r="AQ1794" s="15"/>
      <c r="AR1794" s="15"/>
      <c r="AS1794" s="15"/>
      <c r="AT1794" s="15"/>
      <c r="AU1794" s="15"/>
      <c r="AV1794" s="15"/>
      <c r="AW1794" s="15"/>
      <c r="AX1794" s="15"/>
      <c r="AY1794" s="15"/>
      <c r="AZ1794" s="15"/>
      <c r="BA1794" s="15"/>
      <c r="BB1794" s="15"/>
      <c r="BC1794" s="15"/>
      <c r="BD1794" s="15"/>
      <c r="BE1794" s="15"/>
      <c r="BF1794" s="15"/>
      <c r="BG1794" s="15"/>
      <c r="BH1794" s="15"/>
      <c r="BI1794" s="15"/>
      <c r="BJ1794" s="15"/>
      <c r="BK1794" s="15"/>
      <c r="BL1794" s="15"/>
      <c r="BM1794" s="15"/>
      <c r="BN1794" s="15"/>
      <c r="BO1794" s="15"/>
      <c r="BP1794" s="15"/>
      <c r="BQ1794" s="15"/>
      <c r="BR1794" s="15"/>
      <c r="BS1794" s="15"/>
      <c r="BT1794" s="15"/>
      <c r="BU1794" s="15"/>
      <c r="BV1794" s="15"/>
      <c r="BW1794" s="15"/>
      <c r="BX1794" s="15"/>
      <c r="BY1794" s="15"/>
      <c r="BZ1794" s="15"/>
      <c r="CA1794" s="15"/>
      <c r="CB1794" s="15"/>
    </row>
    <row r="1795" spans="1:80" ht="12.75" customHeight="1">
      <c r="A1795" s="20">
        <f ca="1">IFERROR(__xludf.DUMMYFUNCTION("""COMPUTED_VALUE"""),2024)</f>
        <v>2024</v>
      </c>
      <c r="B1795" s="45">
        <f ca="1">IFERROR(__xludf.DUMMYFUNCTION("""COMPUTED_VALUE"""),45699)</f>
        <v>45699</v>
      </c>
      <c r="C1795" s="46">
        <f ca="1">IFERROR(__xludf.DUMMYFUNCTION("""COMPUTED_VALUE"""),45699)</f>
        <v>45699</v>
      </c>
      <c r="D1795" s="47" t="str">
        <f ca="1">IFERROR(__xludf.DUMMYFUNCTION("""COMPUTED_VALUE"""),"Montagu's Harrier")</f>
        <v>Montagu's Harrier</v>
      </c>
      <c r="E1795" s="52">
        <f ca="1">IFERROR(__xludf.DUMMYFUNCTION("""COMPUTED_VALUE"""),1)</f>
        <v>1</v>
      </c>
      <c r="F1795" s="25" t="str">
        <f ca="1">IFERROR(__xludf.DUMMYFUNCTION("""COMPUTED_VALUE"""),"2ndCY male")</f>
        <v>2ndCY male</v>
      </c>
      <c r="G1795" s="48" t="str">
        <f ca="1">IFERROR(__xludf.DUMMYFUNCTION("""COMPUTED_VALUE"""),"Leasowe Lighthouse")</f>
        <v>Leasowe Lighthouse</v>
      </c>
      <c r="H1795" s="22">
        <f ca="1">IFERROR(__xludf.DUMMYFUNCTION("""COMPUTED_VALUE"""),45421)</f>
        <v>45421</v>
      </c>
      <c r="I1795" s="23"/>
      <c r="J1795" s="24"/>
      <c r="K1795" s="25"/>
      <c r="L1795" s="27" t="str">
        <f ca="1">IFERROR(__xludf.DUMMYFUNCTION("""COMPUTED_VALUE"""),"open")</f>
        <v>open</v>
      </c>
      <c r="M1795" s="27"/>
      <c r="N1795" s="25" t="str">
        <f ca="1">IFERROR(__xludf.DUMMYFUNCTION("""COMPUTED_VALUE"""),"in Circulation")</f>
        <v>in Circulation</v>
      </c>
      <c r="O1795" s="28"/>
      <c r="P1795" s="25"/>
      <c r="Q1795" s="25"/>
      <c r="R1795" s="25"/>
      <c r="S1795" s="25"/>
      <c r="T1795" s="25"/>
      <c r="U1795" s="25"/>
      <c r="V1795" s="25"/>
      <c r="W1795" s="25"/>
      <c r="X1795" s="25"/>
      <c r="Y1795" s="25"/>
      <c r="Z1795" s="25"/>
      <c r="AA1795" s="25"/>
      <c r="AB1795" s="25"/>
      <c r="AC1795" s="25"/>
      <c r="AD1795" s="25"/>
      <c r="AE1795" s="25"/>
      <c r="AF1795" s="25"/>
      <c r="AG1795" s="25"/>
      <c r="AH1795" s="25"/>
      <c r="AI1795" s="25"/>
      <c r="AJ1795" s="25"/>
      <c r="AK1795" s="25"/>
      <c r="AL1795" s="25"/>
      <c r="AM1795" s="25"/>
      <c r="AN1795" s="25"/>
      <c r="AO1795" s="25"/>
      <c r="AP1795" s="25"/>
      <c r="AQ1795" s="25"/>
      <c r="AR1795" s="25"/>
      <c r="AS1795" s="25"/>
      <c r="AT1795" s="25"/>
      <c r="AU1795" s="25"/>
      <c r="AV1795" s="25"/>
      <c r="AW1795" s="25"/>
      <c r="AX1795" s="25"/>
      <c r="AY1795" s="25"/>
      <c r="AZ1795" s="25"/>
      <c r="BA1795" s="25"/>
      <c r="BB1795" s="25"/>
      <c r="BC1795" s="25"/>
      <c r="BD1795" s="25"/>
      <c r="BE1795" s="25"/>
      <c r="BF1795" s="25"/>
      <c r="BG1795" s="25"/>
      <c r="BH1795" s="25"/>
      <c r="BI1795" s="25"/>
      <c r="BJ1795" s="25"/>
      <c r="BK1795" s="25"/>
      <c r="BL1795" s="25"/>
      <c r="BM1795" s="25"/>
      <c r="BN1795" s="25"/>
      <c r="BO1795" s="25"/>
      <c r="BP1795" s="25"/>
      <c r="BQ1795" s="25"/>
      <c r="BR1795" s="25"/>
      <c r="BS1795" s="25"/>
      <c r="BT1795" s="25"/>
      <c r="BU1795" s="25"/>
      <c r="BV1795" s="25"/>
      <c r="BW1795" s="25"/>
      <c r="BX1795" s="25"/>
      <c r="BY1795" s="25"/>
      <c r="BZ1795" s="25"/>
      <c r="CA1795" s="25"/>
      <c r="CB1795" s="25"/>
    </row>
    <row r="1796" spans="1:80" ht="12.75" customHeight="1">
      <c r="A1796" s="10">
        <f ca="1">IFERROR(__xludf.DUMMYFUNCTION("""COMPUTED_VALUE"""),2024)</f>
        <v>2024</v>
      </c>
      <c r="B1796" s="50">
        <f ca="1">IFERROR(__xludf.DUMMYFUNCTION("""COMPUTED_VALUE"""),45524)</f>
        <v>45524</v>
      </c>
      <c r="C1796" s="41">
        <f ca="1">IFERROR(__xludf.DUMMYFUNCTION("""COMPUTED_VALUE"""),45524)</f>
        <v>45524</v>
      </c>
      <c r="D1796" s="42" t="str">
        <f ca="1">IFERROR(__xludf.DUMMYFUNCTION("""COMPUTED_VALUE"""),"Hoopoe")</f>
        <v>Hoopoe</v>
      </c>
      <c r="E1796" s="53">
        <f ca="1">IFERROR(__xludf.DUMMYFUNCTION("""COMPUTED_VALUE"""),1)</f>
        <v>1</v>
      </c>
      <c r="F1796" s="15"/>
      <c r="G1796" s="44" t="str">
        <f ca="1">IFERROR(__xludf.DUMMYFUNCTION("""COMPUTED_VALUE"""),"Huddleston Close Woodchurch, Upton")</f>
        <v>Huddleston Close Woodchurch, Upton</v>
      </c>
      <c r="H1796" s="12">
        <f ca="1">IFERROR(__xludf.DUMMYFUNCTION("""COMPUTED_VALUE"""),45450)</f>
        <v>45450</v>
      </c>
      <c r="I1796" s="13"/>
      <c r="J1796" s="14"/>
      <c r="K1796" s="15"/>
      <c r="L1796" s="17" t="str">
        <f ca="1">IFERROR(__xludf.DUMMYFUNCTION("""COMPUTED_VALUE"""),"open")</f>
        <v>open</v>
      </c>
      <c r="M1796" s="17"/>
      <c r="N1796" s="15" t="str">
        <f ca="1">IFERROR(__xludf.DUMMYFUNCTION("""COMPUTED_VALUE"""),"In Circulation")</f>
        <v>In Circulation</v>
      </c>
      <c r="O1796" s="18"/>
      <c r="P1796" s="15"/>
      <c r="Q1796" s="15"/>
      <c r="R1796" s="15"/>
      <c r="S1796" s="15"/>
      <c r="T1796" s="15"/>
      <c r="U1796" s="15"/>
      <c r="V1796" s="15"/>
      <c r="W1796" s="15"/>
      <c r="X1796" s="15"/>
      <c r="Y1796" s="15"/>
      <c r="Z1796" s="15"/>
      <c r="AA1796" s="15"/>
      <c r="AB1796" s="15"/>
      <c r="AC1796" s="15"/>
      <c r="AD1796" s="15"/>
      <c r="AE1796" s="15"/>
      <c r="AF1796" s="15"/>
      <c r="AG1796" s="15"/>
      <c r="AH1796" s="15"/>
      <c r="AI1796" s="15"/>
      <c r="AJ1796" s="15"/>
      <c r="AK1796" s="15"/>
      <c r="AL1796" s="15"/>
      <c r="AM1796" s="15"/>
      <c r="AN1796" s="15"/>
      <c r="AO1796" s="15"/>
      <c r="AP1796" s="15"/>
      <c r="AQ1796" s="15"/>
      <c r="AR1796" s="15"/>
      <c r="AS1796" s="15"/>
      <c r="AT1796" s="15"/>
      <c r="AU1796" s="15"/>
      <c r="AV1796" s="15"/>
      <c r="AW1796" s="15"/>
      <c r="AX1796" s="15"/>
      <c r="AY1796" s="15"/>
      <c r="AZ1796" s="15"/>
      <c r="BA1796" s="15"/>
      <c r="BB1796" s="15"/>
      <c r="BC1796" s="15"/>
      <c r="BD1796" s="15"/>
      <c r="BE1796" s="15"/>
      <c r="BF1796" s="15"/>
      <c r="BG1796" s="15"/>
      <c r="BH1796" s="15"/>
      <c r="BI1796" s="15"/>
      <c r="BJ1796" s="15"/>
      <c r="BK1796" s="15"/>
      <c r="BL1796" s="15"/>
      <c r="BM1796" s="15"/>
      <c r="BN1796" s="15"/>
      <c r="BO1796" s="15"/>
      <c r="BP1796" s="15"/>
      <c r="BQ1796" s="15"/>
      <c r="BR1796" s="15"/>
      <c r="BS1796" s="15"/>
      <c r="BT1796" s="15"/>
      <c r="BU1796" s="15"/>
      <c r="BV1796" s="15"/>
      <c r="BW1796" s="15"/>
      <c r="BX1796" s="15"/>
      <c r="BY1796" s="15"/>
      <c r="BZ1796" s="15"/>
      <c r="CA1796" s="15"/>
      <c r="CB1796" s="15"/>
    </row>
    <row r="1797" spans="1:80" ht="12.75" customHeight="1">
      <c r="A1797" s="20">
        <f ca="1">IFERROR(__xludf.DUMMYFUNCTION("""COMPUTED_VALUE"""),2024)</f>
        <v>2024</v>
      </c>
      <c r="B1797" s="45"/>
      <c r="C1797" s="46"/>
      <c r="D1797" s="47" t="str">
        <f ca="1">IFERROR(__xludf.DUMMYFUNCTION("""COMPUTED_VALUE"""),"Penduline Tit")</f>
        <v>Penduline Tit</v>
      </c>
      <c r="E1797" s="52">
        <f ca="1">IFERROR(__xludf.DUMMYFUNCTION("""COMPUTED_VALUE"""),1)</f>
        <v>1</v>
      </c>
      <c r="F1797" s="25" t="str">
        <f ca="1">IFERROR(__xludf.DUMMYFUNCTION("""COMPUTED_VALUE"""),"1st w")</f>
        <v>1st w</v>
      </c>
      <c r="G1797" s="48" t="str">
        <f ca="1">IFERROR(__xludf.DUMMYFUNCTION("""COMPUTED_VALUE"""),"Woolston Eyes , No 4 Bed")</f>
        <v>Woolston Eyes , No 4 Bed</v>
      </c>
      <c r="H1797" s="22">
        <f ca="1">IFERROR(__xludf.DUMMYFUNCTION("""COMPUTED_VALUE"""),45605)</f>
        <v>45605</v>
      </c>
      <c r="I1797" s="22">
        <f ca="1">IFERROR(__xludf.DUMMYFUNCTION("""COMPUTED_VALUE"""),45643)</f>
        <v>45643</v>
      </c>
      <c r="J1797" s="24"/>
      <c r="K1797" s="25"/>
      <c r="L1797" s="27" t="str">
        <f ca="1">IFERROR(__xludf.DUMMYFUNCTION("""COMPUTED_VALUE"""),"closed")</f>
        <v>closed</v>
      </c>
      <c r="M1797" s="27" t="str">
        <f ca="1">IFERROR(__xludf.DUMMYFUNCTION("""COMPUTED_VALUE"""),"Photo")</f>
        <v>Photo</v>
      </c>
      <c r="N1797" s="25" t="str">
        <f ca="1">IFERROR(__xludf.DUMMYFUNCTION("""COMPUTED_VALUE"""),"Accepted w/o circulation")</f>
        <v>Accepted w/o circulation</v>
      </c>
      <c r="O1797" s="28" t="str">
        <f ca="1">IFERROR(__xludf.DUMMYFUNCTION("""COMPUTED_VALUE"""),"Birdguides")</f>
        <v>Birdguides</v>
      </c>
      <c r="P1797" s="25"/>
      <c r="Q1797" s="25"/>
      <c r="R1797" s="25"/>
      <c r="S1797" s="25"/>
      <c r="T1797" s="25"/>
      <c r="U1797" s="25"/>
      <c r="V1797" s="25"/>
      <c r="W1797" s="25"/>
      <c r="X1797" s="25"/>
      <c r="Y1797" s="25"/>
      <c r="Z1797" s="25"/>
      <c r="AA1797" s="25"/>
      <c r="AB1797" s="25"/>
      <c r="AC1797" s="25"/>
      <c r="AD1797" s="25"/>
      <c r="AE1797" s="25"/>
      <c r="AF1797" s="25"/>
      <c r="AG1797" s="25"/>
      <c r="AH1797" s="25"/>
      <c r="AI1797" s="25"/>
      <c r="AJ1797" s="25"/>
      <c r="AK1797" s="25"/>
      <c r="AL1797" s="25"/>
      <c r="AM1797" s="25"/>
      <c r="AN1797" s="25"/>
      <c r="AO1797" s="25"/>
      <c r="AP1797" s="25"/>
      <c r="AQ1797" s="25"/>
      <c r="AR1797" s="25"/>
      <c r="AS1797" s="25"/>
      <c r="AT1797" s="25"/>
      <c r="AU1797" s="25"/>
      <c r="AV1797" s="25"/>
      <c r="AW1797" s="25"/>
      <c r="AX1797" s="25"/>
      <c r="AY1797" s="25"/>
      <c r="AZ1797" s="25"/>
      <c r="BA1797" s="25"/>
      <c r="BB1797" s="25"/>
      <c r="BC1797" s="25"/>
      <c r="BD1797" s="25"/>
      <c r="BE1797" s="25"/>
      <c r="BF1797" s="25"/>
      <c r="BG1797" s="25"/>
      <c r="BH1797" s="25"/>
      <c r="BI1797" s="25"/>
      <c r="BJ1797" s="25"/>
      <c r="BK1797" s="25"/>
      <c r="BL1797" s="25"/>
      <c r="BM1797" s="25"/>
      <c r="BN1797" s="25"/>
      <c r="BO1797" s="25"/>
      <c r="BP1797" s="25"/>
      <c r="BQ1797" s="25"/>
      <c r="BR1797" s="25"/>
      <c r="BS1797" s="25"/>
      <c r="BT1797" s="25"/>
      <c r="BU1797" s="25"/>
      <c r="BV1797" s="25"/>
      <c r="BW1797" s="25"/>
      <c r="BX1797" s="25"/>
      <c r="BY1797" s="25"/>
      <c r="BZ1797" s="25"/>
      <c r="CA1797" s="25"/>
      <c r="CB1797" s="25"/>
    </row>
    <row r="1798" spans="1:80" ht="12.75" customHeight="1">
      <c r="A1798" s="10">
        <f ca="1">IFERROR(__xludf.DUMMYFUNCTION("""COMPUTED_VALUE"""),2024)</f>
        <v>2024</v>
      </c>
      <c r="B1798" s="50"/>
      <c r="C1798" s="41"/>
      <c r="D1798" s="42" t="str">
        <f ca="1">IFERROR(__xludf.DUMMYFUNCTION("""COMPUTED_VALUE"""),"Woodlark")</f>
        <v>Woodlark</v>
      </c>
      <c r="E1798" s="53">
        <f ca="1">IFERROR(__xludf.DUMMYFUNCTION("""COMPUTED_VALUE"""),1)</f>
        <v>1</v>
      </c>
      <c r="F1798" s="15"/>
      <c r="G1798" s="44" t="str">
        <f ca="1">IFERROR(__xludf.DUMMYFUNCTION("""COMPUTED_VALUE"""),"Woolston Eyes")</f>
        <v>Woolston Eyes</v>
      </c>
      <c r="H1798" s="12">
        <f ca="1">IFERROR(__xludf.DUMMYFUNCTION("""COMPUTED_VALUE"""),45607)</f>
        <v>45607</v>
      </c>
      <c r="I1798" s="12">
        <f ca="1">IFERROR(__xludf.DUMMYFUNCTION("""COMPUTED_VALUE"""),45607)</f>
        <v>45607</v>
      </c>
      <c r="J1798" s="14"/>
      <c r="K1798" s="15"/>
      <c r="L1798" s="17" t="str">
        <f ca="1">IFERROR(__xludf.DUMMYFUNCTION("""COMPUTED_VALUE"""),"limbo")</f>
        <v>limbo</v>
      </c>
      <c r="M1798" s="17"/>
      <c r="N1798" s="15" t="str">
        <f ca="1">IFERROR(__xludf.DUMMYFUNCTION("""COMPUTED_VALUE"""),"not submitted")</f>
        <v>not submitted</v>
      </c>
      <c r="O1798" s="18" t="str">
        <f ca="1">IFERROR(__xludf.DUMMYFUNCTION("""COMPUTED_VALUE"""),"Birdguides")</f>
        <v>Birdguides</v>
      </c>
      <c r="P1798" s="15"/>
      <c r="Q1798" s="15"/>
      <c r="R1798" s="15"/>
      <c r="S1798" s="15"/>
      <c r="T1798" s="15"/>
      <c r="U1798" s="15"/>
      <c r="V1798" s="15"/>
      <c r="W1798" s="15"/>
      <c r="X1798" s="15"/>
      <c r="Y1798" s="15"/>
      <c r="Z1798" s="15"/>
      <c r="AA1798" s="15"/>
      <c r="AB1798" s="15"/>
      <c r="AC1798" s="15"/>
      <c r="AD1798" s="15"/>
      <c r="AE1798" s="15"/>
      <c r="AF1798" s="15"/>
      <c r="AG1798" s="15"/>
      <c r="AH1798" s="15"/>
      <c r="AI1798" s="15"/>
      <c r="AJ1798" s="15"/>
      <c r="AK1798" s="15"/>
      <c r="AL1798" s="15"/>
      <c r="AM1798" s="15"/>
      <c r="AN1798" s="15"/>
      <c r="AO1798" s="15"/>
      <c r="AP1798" s="15"/>
      <c r="AQ1798" s="15"/>
      <c r="AR1798" s="15"/>
      <c r="AS1798" s="15"/>
      <c r="AT1798" s="15"/>
      <c r="AU1798" s="15"/>
      <c r="AV1798" s="15"/>
      <c r="AW1798" s="15"/>
      <c r="AX1798" s="15"/>
      <c r="AY1798" s="15"/>
      <c r="AZ1798" s="15"/>
      <c r="BA1798" s="15"/>
      <c r="BB1798" s="15"/>
      <c r="BC1798" s="15"/>
      <c r="BD1798" s="15"/>
      <c r="BE1798" s="15"/>
      <c r="BF1798" s="15"/>
      <c r="BG1798" s="15"/>
      <c r="BH1798" s="15"/>
      <c r="BI1798" s="15"/>
      <c r="BJ1798" s="15"/>
      <c r="BK1798" s="15"/>
      <c r="BL1798" s="15"/>
      <c r="BM1798" s="15"/>
      <c r="BN1798" s="15"/>
      <c r="BO1798" s="15"/>
      <c r="BP1798" s="15"/>
      <c r="BQ1798" s="15"/>
      <c r="BR1798" s="15"/>
      <c r="BS1798" s="15"/>
      <c r="BT1798" s="15"/>
      <c r="BU1798" s="15"/>
      <c r="BV1798" s="15"/>
      <c r="BW1798" s="15"/>
      <c r="BX1798" s="15"/>
      <c r="BY1798" s="15"/>
      <c r="BZ1798" s="15"/>
      <c r="CA1798" s="15"/>
      <c r="CB1798" s="15"/>
    </row>
    <row r="1799" spans="1:80" ht="12.75" customHeight="1">
      <c r="A1799" s="20">
        <f ca="1">IFERROR(__xludf.DUMMYFUNCTION("""COMPUTED_VALUE"""),2024)</f>
        <v>2024</v>
      </c>
      <c r="B1799" s="45"/>
      <c r="C1799" s="46"/>
      <c r="D1799" s="47" t="str">
        <f ca="1">IFERROR(__xludf.DUMMYFUNCTION("""COMPUTED_VALUE"""),"Yellow-browed Warbler")</f>
        <v>Yellow-browed Warbler</v>
      </c>
      <c r="E1799" s="52">
        <f ca="1">IFERROR(__xludf.DUMMYFUNCTION("""COMPUTED_VALUE"""),1)</f>
        <v>1</v>
      </c>
      <c r="F1799" s="25"/>
      <c r="G1799" s="48" t="str">
        <f ca="1">IFERROR(__xludf.DUMMYFUNCTION("""COMPUTED_VALUE"""),"Runcorn")</f>
        <v>Runcorn</v>
      </c>
      <c r="H1799" s="22">
        <f ca="1">IFERROR(__xludf.DUMMYFUNCTION("""COMPUTED_VALUE"""),45567)</f>
        <v>45567</v>
      </c>
      <c r="I1799" s="23"/>
      <c r="J1799" s="24"/>
      <c r="K1799" s="25"/>
      <c r="L1799" s="27" t="str">
        <f ca="1">IFERROR(__xludf.DUMMYFUNCTION("""COMPUTED_VALUE"""),"closed")</f>
        <v>closed</v>
      </c>
      <c r="M1799" s="27"/>
      <c r="N1799" s="25" t="str">
        <f ca="1">IFERROR(__xludf.DUMMYFUNCTION("""COMPUTED_VALUE"""),"exemption")</f>
        <v>exemption</v>
      </c>
      <c r="O1799" s="28" t="str">
        <f ca="1">IFERROR(__xludf.DUMMYFUNCTION("""COMPUTED_VALUE"""),"Birdguides")</f>
        <v>Birdguides</v>
      </c>
      <c r="P1799" s="25"/>
      <c r="Q1799" s="25"/>
      <c r="R1799" s="25"/>
      <c r="S1799" s="25"/>
      <c r="T1799" s="25"/>
      <c r="U1799" s="25"/>
      <c r="V1799" s="25"/>
      <c r="W1799" s="25"/>
      <c r="X1799" s="25"/>
      <c r="Y1799" s="25"/>
      <c r="Z1799" s="25"/>
      <c r="AA1799" s="25"/>
      <c r="AB1799" s="25"/>
      <c r="AC1799" s="25"/>
      <c r="AD1799" s="25"/>
      <c r="AE1799" s="25"/>
      <c r="AF1799" s="25"/>
      <c r="AG1799" s="25"/>
      <c r="AH1799" s="25"/>
      <c r="AI1799" s="25"/>
      <c r="AJ1799" s="25"/>
      <c r="AK1799" s="25"/>
      <c r="AL1799" s="25"/>
      <c r="AM1799" s="25"/>
      <c r="AN1799" s="25"/>
      <c r="AO1799" s="25"/>
      <c r="AP1799" s="25"/>
      <c r="AQ1799" s="25"/>
      <c r="AR1799" s="25"/>
      <c r="AS1799" s="25"/>
      <c r="AT1799" s="25"/>
      <c r="AU1799" s="25"/>
      <c r="AV1799" s="25"/>
      <c r="AW1799" s="25"/>
      <c r="AX1799" s="25"/>
      <c r="AY1799" s="25"/>
      <c r="AZ1799" s="25"/>
      <c r="BA1799" s="25"/>
      <c r="BB1799" s="25"/>
      <c r="BC1799" s="25"/>
      <c r="BD1799" s="25"/>
      <c r="BE1799" s="25"/>
      <c r="BF1799" s="25"/>
      <c r="BG1799" s="25"/>
      <c r="BH1799" s="25"/>
      <c r="BI1799" s="25"/>
      <c r="BJ1799" s="25"/>
      <c r="BK1799" s="25"/>
      <c r="BL1799" s="25"/>
      <c r="BM1799" s="25"/>
      <c r="BN1799" s="25"/>
      <c r="BO1799" s="25"/>
      <c r="BP1799" s="25"/>
      <c r="BQ1799" s="25"/>
      <c r="BR1799" s="25"/>
      <c r="BS1799" s="25"/>
      <c r="BT1799" s="25"/>
      <c r="BU1799" s="25"/>
      <c r="BV1799" s="25"/>
      <c r="BW1799" s="25"/>
      <c r="BX1799" s="25"/>
      <c r="BY1799" s="25"/>
      <c r="BZ1799" s="25"/>
      <c r="CA1799" s="25"/>
      <c r="CB1799" s="25"/>
    </row>
    <row r="1800" spans="1:80" ht="12.75" customHeight="1">
      <c r="A1800" s="10">
        <f ca="1">IFERROR(__xludf.DUMMYFUNCTION("""COMPUTED_VALUE"""),2024)</f>
        <v>2024</v>
      </c>
      <c r="B1800" s="50"/>
      <c r="C1800" s="41"/>
      <c r="D1800" s="42" t="str">
        <f ca="1">IFERROR(__xludf.DUMMYFUNCTION("""COMPUTED_VALUE"""),"Yellow-browed Warbler")</f>
        <v>Yellow-browed Warbler</v>
      </c>
      <c r="E1800" s="53">
        <f ca="1">IFERROR(__xludf.DUMMYFUNCTION("""COMPUTED_VALUE"""),3)</f>
        <v>3</v>
      </c>
      <c r="F1800" s="15"/>
      <c r="G1800" s="44" t="str">
        <f ca="1">IFERROR(__xludf.DUMMYFUNCTION("""COMPUTED_VALUE"""),"Woolston Eyes")</f>
        <v>Woolston Eyes</v>
      </c>
      <c r="H1800" s="12">
        <f ca="1">IFERROR(__xludf.DUMMYFUNCTION("""COMPUTED_VALUE"""),45568)</f>
        <v>45568</v>
      </c>
      <c r="I1800" s="13"/>
      <c r="J1800" s="14"/>
      <c r="K1800" s="15"/>
      <c r="L1800" s="17" t="str">
        <f ca="1">IFERROR(__xludf.DUMMYFUNCTION("""COMPUTED_VALUE"""),"closed")</f>
        <v>closed</v>
      </c>
      <c r="M1800" s="17"/>
      <c r="N1800" s="15" t="str">
        <f ca="1">IFERROR(__xludf.DUMMYFUNCTION("""COMPUTED_VALUE"""),"exemption")</f>
        <v>exemption</v>
      </c>
      <c r="O1800" s="18" t="str">
        <f ca="1">IFERROR(__xludf.DUMMYFUNCTION("""COMPUTED_VALUE"""),"Birdguides")</f>
        <v>Birdguides</v>
      </c>
      <c r="P1800" s="15"/>
      <c r="Q1800" s="15"/>
      <c r="R1800" s="15"/>
      <c r="S1800" s="15"/>
      <c r="T1800" s="15"/>
      <c r="U1800" s="15"/>
      <c r="V1800" s="15"/>
      <c r="W1800" s="15"/>
      <c r="X1800" s="15"/>
      <c r="Y1800" s="15"/>
      <c r="Z1800" s="15"/>
      <c r="AA1800" s="15"/>
      <c r="AB1800" s="15"/>
      <c r="AC1800" s="15"/>
      <c r="AD1800" s="15"/>
      <c r="AE1800" s="15"/>
      <c r="AF1800" s="15"/>
      <c r="AG1800" s="15"/>
      <c r="AH1800" s="15"/>
      <c r="AI1800" s="15"/>
      <c r="AJ1800" s="15"/>
      <c r="AK1800" s="15"/>
      <c r="AL1800" s="15"/>
      <c r="AM1800" s="15"/>
      <c r="AN1800" s="15"/>
      <c r="AO1800" s="15"/>
      <c r="AP1800" s="15"/>
      <c r="AQ1800" s="15"/>
      <c r="AR1800" s="15"/>
      <c r="AS1800" s="15"/>
      <c r="AT1800" s="15"/>
      <c r="AU1800" s="15"/>
      <c r="AV1800" s="15"/>
      <c r="AW1800" s="15"/>
      <c r="AX1800" s="15"/>
      <c r="AY1800" s="15"/>
      <c r="AZ1800" s="15"/>
      <c r="BA1800" s="15"/>
      <c r="BB1800" s="15"/>
      <c r="BC1800" s="15"/>
      <c r="BD1800" s="15"/>
      <c r="BE1800" s="15"/>
      <c r="BF1800" s="15"/>
      <c r="BG1800" s="15"/>
      <c r="BH1800" s="15"/>
      <c r="BI1800" s="15"/>
      <c r="BJ1800" s="15"/>
      <c r="BK1800" s="15"/>
      <c r="BL1800" s="15"/>
      <c r="BM1800" s="15"/>
      <c r="BN1800" s="15"/>
      <c r="BO1800" s="15"/>
      <c r="BP1800" s="15"/>
      <c r="BQ1800" s="15"/>
      <c r="BR1800" s="15"/>
      <c r="BS1800" s="15"/>
      <c r="BT1800" s="15"/>
      <c r="BU1800" s="15"/>
      <c r="BV1800" s="15"/>
      <c r="BW1800" s="15"/>
      <c r="BX1800" s="15"/>
      <c r="BY1800" s="15"/>
      <c r="BZ1800" s="15"/>
      <c r="CA1800" s="15"/>
      <c r="CB1800" s="15"/>
    </row>
    <row r="1801" spans="1:80" ht="12.75" customHeight="1">
      <c r="A1801" s="20">
        <f ca="1">IFERROR(__xludf.DUMMYFUNCTION("""COMPUTED_VALUE"""),2024)</f>
        <v>2024</v>
      </c>
      <c r="B1801" s="45"/>
      <c r="C1801" s="46"/>
      <c r="D1801" s="47" t="str">
        <f ca="1">IFERROR(__xludf.DUMMYFUNCTION("""COMPUTED_VALUE"""),"Yellow-browed Warbler")</f>
        <v>Yellow-browed Warbler</v>
      </c>
      <c r="E1801" s="52">
        <f ca="1">IFERROR(__xludf.DUMMYFUNCTION("""COMPUTED_VALUE"""),1)</f>
        <v>1</v>
      </c>
      <c r="F1801" s="25"/>
      <c r="G1801" s="48" t="str">
        <f ca="1">IFERROR(__xludf.DUMMYFUNCTION("""COMPUTED_VALUE"""),"Bidston Hill")</f>
        <v>Bidston Hill</v>
      </c>
      <c r="H1801" s="22">
        <f ca="1">IFERROR(__xludf.DUMMYFUNCTION("""COMPUTED_VALUE"""),45569)</f>
        <v>45569</v>
      </c>
      <c r="I1801" s="23"/>
      <c r="J1801" s="24"/>
      <c r="K1801" s="25"/>
      <c r="L1801" s="27" t="str">
        <f ca="1">IFERROR(__xludf.DUMMYFUNCTION("""COMPUTED_VALUE"""),"closed")</f>
        <v>closed</v>
      </c>
      <c r="M1801" s="27"/>
      <c r="N1801" s="25" t="str">
        <f ca="1">IFERROR(__xludf.DUMMYFUNCTION("""COMPUTED_VALUE"""),"exemption")</f>
        <v>exemption</v>
      </c>
      <c r="O1801" s="28" t="str">
        <f ca="1">IFERROR(__xludf.DUMMYFUNCTION("""COMPUTED_VALUE"""),"trapped and ringed")</f>
        <v>trapped and ringed</v>
      </c>
      <c r="P1801" s="25"/>
      <c r="Q1801" s="25"/>
      <c r="R1801" s="25"/>
      <c r="S1801" s="25"/>
      <c r="T1801" s="25"/>
      <c r="U1801" s="25"/>
      <c r="V1801" s="25"/>
      <c r="W1801" s="25"/>
      <c r="X1801" s="25"/>
      <c r="Y1801" s="25"/>
      <c r="Z1801" s="25"/>
      <c r="AA1801" s="25"/>
      <c r="AB1801" s="25"/>
      <c r="AC1801" s="25"/>
      <c r="AD1801" s="25"/>
      <c r="AE1801" s="25"/>
      <c r="AF1801" s="25"/>
      <c r="AG1801" s="25"/>
      <c r="AH1801" s="25"/>
      <c r="AI1801" s="25"/>
      <c r="AJ1801" s="25"/>
      <c r="AK1801" s="25"/>
      <c r="AL1801" s="25"/>
      <c r="AM1801" s="25"/>
      <c r="AN1801" s="25"/>
      <c r="AO1801" s="25"/>
      <c r="AP1801" s="25"/>
      <c r="AQ1801" s="25"/>
      <c r="AR1801" s="25"/>
      <c r="AS1801" s="25"/>
      <c r="AT1801" s="25"/>
      <c r="AU1801" s="25"/>
      <c r="AV1801" s="25"/>
      <c r="AW1801" s="25"/>
      <c r="AX1801" s="25"/>
      <c r="AY1801" s="25"/>
      <c r="AZ1801" s="25"/>
      <c r="BA1801" s="25"/>
      <c r="BB1801" s="25"/>
      <c r="BC1801" s="25"/>
      <c r="BD1801" s="25"/>
      <c r="BE1801" s="25"/>
      <c r="BF1801" s="25"/>
      <c r="BG1801" s="25"/>
      <c r="BH1801" s="25"/>
      <c r="BI1801" s="25"/>
      <c r="BJ1801" s="25"/>
      <c r="BK1801" s="25"/>
      <c r="BL1801" s="25"/>
      <c r="BM1801" s="25"/>
      <c r="BN1801" s="25"/>
      <c r="BO1801" s="25"/>
      <c r="BP1801" s="25"/>
      <c r="BQ1801" s="25"/>
      <c r="BR1801" s="25"/>
      <c r="BS1801" s="25"/>
      <c r="BT1801" s="25"/>
      <c r="BU1801" s="25"/>
      <c r="BV1801" s="25"/>
      <c r="BW1801" s="25"/>
      <c r="BX1801" s="25"/>
      <c r="BY1801" s="25"/>
      <c r="BZ1801" s="25"/>
      <c r="CA1801" s="25"/>
      <c r="CB1801" s="25"/>
    </row>
    <row r="1802" spans="1:80" ht="12.75" customHeight="1">
      <c r="A1802" s="10">
        <f ca="1">IFERROR(__xludf.DUMMYFUNCTION("""COMPUTED_VALUE"""),2024)</f>
        <v>2024</v>
      </c>
      <c r="B1802" s="50"/>
      <c r="C1802" s="41"/>
      <c r="D1802" s="42" t="str">
        <f ca="1">IFERROR(__xludf.DUMMYFUNCTION("""COMPUTED_VALUE"""),"Yellow-browed Warbler")</f>
        <v>Yellow-browed Warbler</v>
      </c>
      <c r="E1802" s="53">
        <f ca="1">IFERROR(__xludf.DUMMYFUNCTION("""COMPUTED_VALUE"""),1)</f>
        <v>1</v>
      </c>
      <c r="F1802" s="15"/>
      <c r="G1802" s="44" t="str">
        <f ca="1">IFERROR(__xludf.DUMMYFUNCTION("""COMPUTED_VALUE"""),"Silver lane Ponds")</f>
        <v>Silver lane Ponds</v>
      </c>
      <c r="H1802" s="12">
        <f ca="1">IFERROR(__xludf.DUMMYFUNCTION("""COMPUTED_VALUE"""),45569)</f>
        <v>45569</v>
      </c>
      <c r="I1802" s="13"/>
      <c r="J1802" s="14"/>
      <c r="K1802" s="15"/>
      <c r="L1802" s="17" t="str">
        <f ca="1">IFERROR(__xludf.DUMMYFUNCTION("""COMPUTED_VALUE"""),"closed")</f>
        <v>closed</v>
      </c>
      <c r="M1802" s="17"/>
      <c r="N1802" s="15" t="str">
        <f ca="1">IFERROR(__xludf.DUMMYFUNCTION("""COMPUTED_VALUE"""),"exemption")</f>
        <v>exemption</v>
      </c>
      <c r="O1802" s="18" t="str">
        <f ca="1">IFERROR(__xludf.DUMMYFUNCTION("""COMPUTED_VALUE"""),"Birdguides")</f>
        <v>Birdguides</v>
      </c>
      <c r="P1802" s="15"/>
      <c r="Q1802" s="15"/>
      <c r="R1802" s="15"/>
      <c r="S1802" s="15"/>
      <c r="T1802" s="15"/>
      <c r="U1802" s="15"/>
      <c r="V1802" s="15"/>
      <c r="W1802" s="15"/>
      <c r="X1802" s="15"/>
      <c r="Y1802" s="15"/>
      <c r="Z1802" s="15"/>
      <c r="AA1802" s="15"/>
      <c r="AB1802" s="15"/>
      <c r="AC1802" s="15"/>
      <c r="AD1802" s="15"/>
      <c r="AE1802" s="15"/>
      <c r="AF1802" s="15"/>
      <c r="AG1802" s="15"/>
      <c r="AH1802" s="15"/>
      <c r="AI1802" s="15"/>
      <c r="AJ1802" s="15"/>
      <c r="AK1802" s="15"/>
      <c r="AL1802" s="15"/>
      <c r="AM1802" s="15"/>
      <c r="AN1802" s="15"/>
      <c r="AO1802" s="15"/>
      <c r="AP1802" s="15"/>
      <c r="AQ1802" s="15"/>
      <c r="AR1802" s="15"/>
      <c r="AS1802" s="15"/>
      <c r="AT1802" s="15"/>
      <c r="AU1802" s="15"/>
      <c r="AV1802" s="15"/>
      <c r="AW1802" s="15"/>
      <c r="AX1802" s="15"/>
      <c r="AY1802" s="15"/>
      <c r="AZ1802" s="15"/>
      <c r="BA1802" s="15"/>
      <c r="BB1802" s="15"/>
      <c r="BC1802" s="15"/>
      <c r="BD1802" s="15"/>
      <c r="BE1802" s="15"/>
      <c r="BF1802" s="15"/>
      <c r="BG1802" s="15"/>
      <c r="BH1802" s="15"/>
      <c r="BI1802" s="15"/>
      <c r="BJ1802" s="15"/>
      <c r="BK1802" s="15"/>
      <c r="BL1802" s="15"/>
      <c r="BM1802" s="15"/>
      <c r="BN1802" s="15"/>
      <c r="BO1802" s="15"/>
      <c r="BP1802" s="15"/>
      <c r="BQ1802" s="15"/>
      <c r="BR1802" s="15"/>
      <c r="BS1802" s="15"/>
      <c r="BT1802" s="15"/>
      <c r="BU1802" s="15"/>
      <c r="BV1802" s="15"/>
      <c r="BW1802" s="15"/>
      <c r="BX1802" s="15"/>
      <c r="BY1802" s="15"/>
      <c r="BZ1802" s="15"/>
      <c r="CA1802" s="15"/>
      <c r="CB1802" s="15"/>
    </row>
    <row r="1803" spans="1:80" ht="12.75" customHeight="1">
      <c r="A1803" s="20">
        <f ca="1">IFERROR(__xludf.DUMMYFUNCTION("""COMPUTED_VALUE"""),2024)</f>
        <v>2024</v>
      </c>
      <c r="B1803" s="45"/>
      <c r="C1803" s="46"/>
      <c r="D1803" s="47" t="str">
        <f ca="1">IFERROR(__xludf.DUMMYFUNCTION("""COMPUTED_VALUE"""),"Yellow-browed Warbler")</f>
        <v>Yellow-browed Warbler</v>
      </c>
      <c r="E1803" s="52">
        <f ca="1">IFERROR(__xludf.DUMMYFUNCTION("""COMPUTED_VALUE"""),1)</f>
        <v>1</v>
      </c>
      <c r="F1803" s="25"/>
      <c r="G1803" s="48" t="str">
        <f ca="1">IFERROR(__xludf.DUMMYFUNCTION("""COMPUTED_VALUE"""),"Woolston Eyes")</f>
        <v>Woolston Eyes</v>
      </c>
      <c r="H1803" s="22">
        <f ca="1">IFERROR(__xludf.DUMMYFUNCTION("""COMPUTED_VALUE"""),45570)</f>
        <v>45570</v>
      </c>
      <c r="I1803" s="22">
        <f ca="1">IFERROR(__xludf.DUMMYFUNCTION("""COMPUTED_VALUE"""),45572)</f>
        <v>45572</v>
      </c>
      <c r="J1803" s="24"/>
      <c r="K1803" s="25"/>
      <c r="L1803" s="27" t="str">
        <f ca="1">IFERROR(__xludf.DUMMYFUNCTION("""COMPUTED_VALUE"""),"closed")</f>
        <v>closed</v>
      </c>
      <c r="M1803" s="27"/>
      <c r="N1803" s="25" t="str">
        <f ca="1">IFERROR(__xludf.DUMMYFUNCTION("""COMPUTED_VALUE"""),"exemption")</f>
        <v>exemption</v>
      </c>
      <c r="O1803" s="28" t="str">
        <f ca="1">IFERROR(__xludf.DUMMYFUNCTION("""COMPUTED_VALUE"""),"Birdguides")</f>
        <v>Birdguides</v>
      </c>
      <c r="P1803" s="25"/>
      <c r="Q1803" s="25"/>
      <c r="R1803" s="25"/>
      <c r="S1803" s="25"/>
      <c r="T1803" s="25"/>
      <c r="U1803" s="25"/>
      <c r="V1803" s="25"/>
      <c r="W1803" s="25"/>
      <c r="X1803" s="25"/>
      <c r="Y1803" s="25"/>
      <c r="Z1803" s="25"/>
      <c r="AA1803" s="25"/>
      <c r="AB1803" s="25"/>
      <c r="AC1803" s="25"/>
      <c r="AD1803" s="25"/>
      <c r="AE1803" s="25"/>
      <c r="AF1803" s="25"/>
      <c r="AG1803" s="25"/>
      <c r="AH1803" s="25"/>
      <c r="AI1803" s="25"/>
      <c r="AJ1803" s="25"/>
      <c r="AK1803" s="25"/>
      <c r="AL1803" s="25"/>
      <c r="AM1803" s="25"/>
      <c r="AN1803" s="25"/>
      <c r="AO1803" s="25"/>
      <c r="AP1803" s="25"/>
      <c r="AQ1803" s="25"/>
      <c r="AR1803" s="25"/>
      <c r="AS1803" s="25"/>
      <c r="AT1803" s="25"/>
      <c r="AU1803" s="25"/>
      <c r="AV1803" s="25"/>
      <c r="AW1803" s="25"/>
      <c r="AX1803" s="25"/>
      <c r="AY1803" s="25"/>
      <c r="AZ1803" s="25"/>
      <c r="BA1803" s="25"/>
      <c r="BB1803" s="25"/>
      <c r="BC1803" s="25"/>
      <c r="BD1803" s="25"/>
      <c r="BE1803" s="25"/>
      <c r="BF1803" s="25"/>
      <c r="BG1803" s="25"/>
      <c r="BH1803" s="25"/>
      <c r="BI1803" s="25"/>
      <c r="BJ1803" s="25"/>
      <c r="BK1803" s="25"/>
      <c r="BL1803" s="25"/>
      <c r="BM1803" s="25"/>
      <c r="BN1803" s="25"/>
      <c r="BO1803" s="25"/>
      <c r="BP1803" s="25"/>
      <c r="BQ1803" s="25"/>
      <c r="BR1803" s="25"/>
      <c r="BS1803" s="25"/>
      <c r="BT1803" s="25"/>
      <c r="BU1803" s="25"/>
      <c r="BV1803" s="25"/>
      <c r="BW1803" s="25"/>
      <c r="BX1803" s="25"/>
      <c r="BY1803" s="25"/>
      <c r="BZ1803" s="25"/>
      <c r="CA1803" s="25"/>
      <c r="CB1803" s="25"/>
    </row>
    <row r="1804" spans="1:80" ht="12.75" customHeight="1">
      <c r="A1804" s="10">
        <f ca="1">IFERROR(__xludf.DUMMYFUNCTION("""COMPUTED_VALUE"""),2024)</f>
        <v>2024</v>
      </c>
      <c r="B1804" s="50"/>
      <c r="C1804" s="41"/>
      <c r="D1804" s="42" t="str">
        <f ca="1">IFERROR(__xludf.DUMMYFUNCTION("""COMPUTED_VALUE"""),"Yellow-browed Warbler")</f>
        <v>Yellow-browed Warbler</v>
      </c>
      <c r="E1804" s="53">
        <f ca="1">IFERROR(__xludf.DUMMYFUNCTION("""COMPUTED_VALUE"""),1)</f>
        <v>1</v>
      </c>
      <c r="F1804" s="15"/>
      <c r="G1804" s="44" t="str">
        <f ca="1">IFERROR(__xludf.DUMMYFUNCTION("""COMPUTED_VALUE"""),"Burton Mere Wetlands")</f>
        <v>Burton Mere Wetlands</v>
      </c>
      <c r="H1804" s="12">
        <f ca="1">IFERROR(__xludf.DUMMYFUNCTION("""COMPUTED_VALUE"""),45572)</f>
        <v>45572</v>
      </c>
      <c r="I1804" s="12">
        <f ca="1">IFERROR(__xludf.DUMMYFUNCTION("""COMPUTED_VALUE"""),45574)</f>
        <v>45574</v>
      </c>
      <c r="J1804" s="14"/>
      <c r="K1804" s="15"/>
      <c r="L1804" s="17" t="str">
        <f ca="1">IFERROR(__xludf.DUMMYFUNCTION("""COMPUTED_VALUE"""),"closed")</f>
        <v>closed</v>
      </c>
      <c r="M1804" s="17"/>
      <c r="N1804" s="15" t="str">
        <f ca="1">IFERROR(__xludf.DUMMYFUNCTION("""COMPUTED_VALUE"""),"exemption")</f>
        <v>exemption</v>
      </c>
      <c r="O1804" s="18" t="str">
        <f ca="1">IFERROR(__xludf.DUMMYFUNCTION("""COMPUTED_VALUE"""),"Birdguides")</f>
        <v>Birdguides</v>
      </c>
      <c r="P1804" s="15"/>
      <c r="Q1804" s="15"/>
      <c r="R1804" s="15"/>
      <c r="S1804" s="15"/>
      <c r="T1804" s="15"/>
      <c r="U1804" s="15"/>
      <c r="V1804" s="15"/>
      <c r="W1804" s="15"/>
      <c r="X1804" s="15"/>
      <c r="Y1804" s="15"/>
      <c r="Z1804" s="15"/>
      <c r="AA1804" s="15"/>
      <c r="AB1804" s="15"/>
      <c r="AC1804" s="15"/>
      <c r="AD1804" s="15"/>
      <c r="AE1804" s="15"/>
      <c r="AF1804" s="15"/>
      <c r="AG1804" s="15"/>
      <c r="AH1804" s="15"/>
      <c r="AI1804" s="15"/>
      <c r="AJ1804" s="15"/>
      <c r="AK1804" s="15"/>
      <c r="AL1804" s="15"/>
      <c r="AM1804" s="15"/>
      <c r="AN1804" s="15"/>
      <c r="AO1804" s="15"/>
      <c r="AP1804" s="15"/>
      <c r="AQ1804" s="15"/>
      <c r="AR1804" s="15"/>
      <c r="AS1804" s="15"/>
      <c r="AT1804" s="15"/>
      <c r="AU1804" s="15"/>
      <c r="AV1804" s="15"/>
      <c r="AW1804" s="15"/>
      <c r="AX1804" s="15"/>
      <c r="AY1804" s="15"/>
      <c r="AZ1804" s="15"/>
      <c r="BA1804" s="15"/>
      <c r="BB1804" s="15"/>
      <c r="BC1804" s="15"/>
      <c r="BD1804" s="15"/>
      <c r="BE1804" s="15"/>
      <c r="BF1804" s="15"/>
      <c r="BG1804" s="15"/>
      <c r="BH1804" s="15"/>
      <c r="BI1804" s="15"/>
      <c r="BJ1804" s="15"/>
      <c r="BK1804" s="15"/>
      <c r="BL1804" s="15"/>
      <c r="BM1804" s="15"/>
      <c r="BN1804" s="15"/>
      <c r="BO1804" s="15"/>
      <c r="BP1804" s="15"/>
      <c r="BQ1804" s="15"/>
      <c r="BR1804" s="15"/>
      <c r="BS1804" s="15"/>
      <c r="BT1804" s="15"/>
      <c r="BU1804" s="15"/>
      <c r="BV1804" s="15"/>
      <c r="BW1804" s="15"/>
      <c r="BX1804" s="15"/>
      <c r="BY1804" s="15"/>
      <c r="BZ1804" s="15"/>
      <c r="CA1804" s="15"/>
      <c r="CB1804" s="15"/>
    </row>
    <row r="1805" spans="1:80" ht="12.75" customHeight="1">
      <c r="A1805" s="20">
        <f ca="1">IFERROR(__xludf.DUMMYFUNCTION("""COMPUTED_VALUE"""),2024)</f>
        <v>2024</v>
      </c>
      <c r="B1805" s="45"/>
      <c r="C1805" s="46"/>
      <c r="D1805" s="47" t="str">
        <f ca="1">IFERROR(__xludf.DUMMYFUNCTION("""COMPUTED_VALUE"""),"Yellow-browed Warbler")</f>
        <v>Yellow-browed Warbler</v>
      </c>
      <c r="E1805" s="52">
        <f ca="1">IFERROR(__xludf.DUMMYFUNCTION("""COMPUTED_VALUE"""),1)</f>
        <v>1</v>
      </c>
      <c r="F1805" s="25"/>
      <c r="G1805" s="48" t="str">
        <f ca="1">IFERROR(__xludf.DUMMYFUNCTION("""COMPUTED_VALUE"""),"Hilbre Bird Observatory")</f>
        <v>Hilbre Bird Observatory</v>
      </c>
      <c r="H1805" s="22">
        <f ca="1">IFERROR(__xludf.DUMMYFUNCTION("""COMPUTED_VALUE"""),45572)</f>
        <v>45572</v>
      </c>
      <c r="I1805" s="23"/>
      <c r="J1805" s="24"/>
      <c r="K1805" s="25"/>
      <c r="L1805" s="27" t="str">
        <f ca="1">IFERROR(__xludf.DUMMYFUNCTION("""COMPUTED_VALUE"""),"closed")</f>
        <v>closed</v>
      </c>
      <c r="M1805" s="27"/>
      <c r="N1805" s="25" t="str">
        <f ca="1">IFERROR(__xludf.DUMMYFUNCTION("""COMPUTED_VALUE"""),"exemption")</f>
        <v>exemption</v>
      </c>
      <c r="O1805" s="28" t="str">
        <f ca="1">IFERROR(__xludf.DUMMYFUNCTION("""COMPUTED_VALUE"""),"Birdguides")</f>
        <v>Birdguides</v>
      </c>
      <c r="P1805" s="25"/>
      <c r="Q1805" s="25"/>
      <c r="R1805" s="25"/>
      <c r="S1805" s="25"/>
      <c r="T1805" s="25"/>
      <c r="U1805" s="25"/>
      <c r="V1805" s="25"/>
      <c r="W1805" s="25"/>
      <c r="X1805" s="25"/>
      <c r="Y1805" s="25"/>
      <c r="Z1805" s="25"/>
      <c r="AA1805" s="25"/>
      <c r="AB1805" s="25"/>
      <c r="AC1805" s="25"/>
      <c r="AD1805" s="25"/>
      <c r="AE1805" s="25"/>
      <c r="AF1805" s="25"/>
      <c r="AG1805" s="25"/>
      <c r="AH1805" s="25"/>
      <c r="AI1805" s="25"/>
      <c r="AJ1805" s="25"/>
      <c r="AK1805" s="25"/>
      <c r="AL1805" s="25"/>
      <c r="AM1805" s="25"/>
      <c r="AN1805" s="25"/>
      <c r="AO1805" s="25"/>
      <c r="AP1805" s="25"/>
      <c r="AQ1805" s="25"/>
      <c r="AR1805" s="25"/>
      <c r="AS1805" s="25"/>
      <c r="AT1805" s="25"/>
      <c r="AU1805" s="25"/>
      <c r="AV1805" s="25"/>
      <c r="AW1805" s="25"/>
      <c r="AX1805" s="25"/>
      <c r="AY1805" s="25"/>
      <c r="AZ1805" s="25"/>
      <c r="BA1805" s="25"/>
      <c r="BB1805" s="25"/>
      <c r="BC1805" s="25"/>
      <c r="BD1805" s="25"/>
      <c r="BE1805" s="25"/>
      <c r="BF1805" s="25"/>
      <c r="BG1805" s="25"/>
      <c r="BH1805" s="25"/>
      <c r="BI1805" s="25"/>
      <c r="BJ1805" s="25"/>
      <c r="BK1805" s="25"/>
      <c r="BL1805" s="25"/>
      <c r="BM1805" s="25"/>
      <c r="BN1805" s="25"/>
      <c r="BO1805" s="25"/>
      <c r="BP1805" s="25"/>
      <c r="BQ1805" s="25"/>
      <c r="BR1805" s="25"/>
      <c r="BS1805" s="25"/>
      <c r="BT1805" s="25"/>
      <c r="BU1805" s="25"/>
      <c r="BV1805" s="25"/>
      <c r="BW1805" s="25"/>
      <c r="BX1805" s="25"/>
      <c r="BY1805" s="25"/>
      <c r="BZ1805" s="25"/>
      <c r="CA1805" s="25"/>
      <c r="CB1805" s="25"/>
    </row>
    <row r="1806" spans="1:80" ht="12.75" customHeight="1">
      <c r="A1806" s="10">
        <f ca="1">IFERROR(__xludf.DUMMYFUNCTION("""COMPUTED_VALUE"""),2024)</f>
        <v>2024</v>
      </c>
      <c r="B1806" s="50"/>
      <c r="C1806" s="41"/>
      <c r="D1806" s="42" t="str">
        <f ca="1">IFERROR(__xludf.DUMMYFUNCTION("""COMPUTED_VALUE"""),"Yellow-browed Warbler")</f>
        <v>Yellow-browed Warbler</v>
      </c>
      <c r="E1806" s="53">
        <f ca="1">IFERROR(__xludf.DUMMYFUNCTION("""COMPUTED_VALUE"""),2)</f>
        <v>2</v>
      </c>
      <c r="F1806" s="15"/>
      <c r="G1806" s="44" t="str">
        <f ca="1">IFERROR(__xludf.DUMMYFUNCTION("""COMPUTED_VALUE"""),"Hoylake")</f>
        <v>Hoylake</v>
      </c>
      <c r="H1806" s="12">
        <f ca="1">IFERROR(__xludf.DUMMYFUNCTION("""COMPUTED_VALUE"""),45572)</f>
        <v>45572</v>
      </c>
      <c r="I1806" s="13"/>
      <c r="J1806" s="14"/>
      <c r="K1806" s="15" t="str">
        <f ca="1">IFERROR(__xludf.DUMMYFUNCTION("""COMPUTED_VALUE"""),"Turner, JE")</f>
        <v>Turner, JE</v>
      </c>
      <c r="L1806" s="17" t="str">
        <f ca="1">IFERROR(__xludf.DUMMYFUNCTION("""COMPUTED_VALUE"""),"closed")</f>
        <v>closed</v>
      </c>
      <c r="M1806" s="17"/>
      <c r="N1806" s="15" t="str">
        <f ca="1">IFERROR(__xludf.DUMMYFUNCTION("""COMPUTED_VALUE"""),"exemption")</f>
        <v>exemption</v>
      </c>
      <c r="O1806" s="18" t="str">
        <f ca="1">IFERROR(__xludf.DUMMYFUNCTION("""COMPUTED_VALUE"""),"Birdguides")</f>
        <v>Birdguides</v>
      </c>
      <c r="P1806" s="15"/>
      <c r="Q1806" s="15"/>
      <c r="R1806" s="15"/>
      <c r="S1806" s="15"/>
      <c r="T1806" s="15"/>
      <c r="U1806" s="15"/>
      <c r="V1806" s="15"/>
      <c r="W1806" s="15"/>
      <c r="X1806" s="15"/>
      <c r="Y1806" s="15"/>
      <c r="Z1806" s="15"/>
      <c r="AA1806" s="15"/>
      <c r="AB1806" s="15"/>
      <c r="AC1806" s="15"/>
      <c r="AD1806" s="15"/>
      <c r="AE1806" s="15"/>
      <c r="AF1806" s="15"/>
      <c r="AG1806" s="15"/>
      <c r="AH1806" s="15"/>
      <c r="AI1806" s="15"/>
      <c r="AJ1806" s="15"/>
      <c r="AK1806" s="15"/>
      <c r="AL1806" s="15"/>
      <c r="AM1806" s="15"/>
      <c r="AN1806" s="15"/>
      <c r="AO1806" s="15"/>
      <c r="AP1806" s="15"/>
      <c r="AQ1806" s="15"/>
      <c r="AR1806" s="15"/>
      <c r="AS1806" s="15"/>
      <c r="AT1806" s="15"/>
      <c r="AU1806" s="15"/>
      <c r="AV1806" s="15"/>
      <c r="AW1806" s="15"/>
      <c r="AX1806" s="15"/>
      <c r="AY1806" s="15"/>
      <c r="AZ1806" s="15"/>
      <c r="BA1806" s="15"/>
      <c r="BB1806" s="15"/>
      <c r="BC1806" s="15"/>
      <c r="BD1806" s="15"/>
      <c r="BE1806" s="15"/>
      <c r="BF1806" s="15"/>
      <c r="BG1806" s="15"/>
      <c r="BH1806" s="15"/>
      <c r="BI1806" s="15"/>
      <c r="BJ1806" s="15"/>
      <c r="BK1806" s="15"/>
      <c r="BL1806" s="15"/>
      <c r="BM1806" s="15"/>
      <c r="BN1806" s="15"/>
      <c r="BO1806" s="15"/>
      <c r="BP1806" s="15"/>
      <c r="BQ1806" s="15"/>
      <c r="BR1806" s="15"/>
      <c r="BS1806" s="15"/>
      <c r="BT1806" s="15"/>
      <c r="BU1806" s="15"/>
      <c r="BV1806" s="15"/>
      <c r="BW1806" s="15"/>
      <c r="BX1806" s="15"/>
      <c r="BY1806" s="15"/>
      <c r="BZ1806" s="15"/>
      <c r="CA1806" s="15"/>
      <c r="CB1806" s="15"/>
    </row>
    <row r="1807" spans="1:80" ht="12.75" customHeight="1">
      <c r="A1807" s="20">
        <f ca="1">IFERROR(__xludf.DUMMYFUNCTION("""COMPUTED_VALUE"""),2024)</f>
        <v>2024</v>
      </c>
      <c r="B1807" s="45"/>
      <c r="C1807" s="46"/>
      <c r="D1807" s="47" t="str">
        <f ca="1">IFERROR(__xludf.DUMMYFUNCTION("""COMPUTED_VALUE"""),"Yellow-browed Warbler")</f>
        <v>Yellow-browed Warbler</v>
      </c>
      <c r="E1807" s="52">
        <f ca="1">IFERROR(__xludf.DUMMYFUNCTION("""COMPUTED_VALUE"""),1)</f>
        <v>1</v>
      </c>
      <c r="F1807" s="25"/>
      <c r="G1807" s="48" t="str">
        <f ca="1">IFERROR(__xludf.DUMMYFUNCTION("""COMPUTED_VALUE"""),"Leasowe")</f>
        <v>Leasowe</v>
      </c>
      <c r="H1807" s="22">
        <f ca="1">IFERROR(__xludf.DUMMYFUNCTION("""COMPUTED_VALUE"""),45572)</f>
        <v>45572</v>
      </c>
      <c r="I1807" s="23"/>
      <c r="J1807" s="24"/>
      <c r="K1807" s="25"/>
      <c r="L1807" s="27" t="str">
        <f ca="1">IFERROR(__xludf.DUMMYFUNCTION("""COMPUTED_VALUE"""),"closed")</f>
        <v>closed</v>
      </c>
      <c r="M1807" s="27"/>
      <c r="N1807" s="25" t="str">
        <f ca="1">IFERROR(__xludf.DUMMYFUNCTION("""COMPUTED_VALUE"""),"exemption")</f>
        <v>exemption</v>
      </c>
      <c r="O1807" s="28" t="str">
        <f ca="1">IFERROR(__xludf.DUMMYFUNCTION("""COMPUTED_VALUE"""),"Birdguides")</f>
        <v>Birdguides</v>
      </c>
      <c r="P1807" s="25"/>
      <c r="Q1807" s="25"/>
      <c r="R1807" s="25"/>
      <c r="S1807" s="25"/>
      <c r="T1807" s="25"/>
      <c r="U1807" s="25"/>
      <c r="V1807" s="25"/>
      <c r="W1807" s="25"/>
      <c r="X1807" s="25"/>
      <c r="Y1807" s="25"/>
      <c r="Z1807" s="25"/>
      <c r="AA1807" s="25"/>
      <c r="AB1807" s="25"/>
      <c r="AC1807" s="25"/>
      <c r="AD1807" s="25"/>
      <c r="AE1807" s="25"/>
      <c r="AF1807" s="25"/>
      <c r="AG1807" s="25"/>
      <c r="AH1807" s="25"/>
      <c r="AI1807" s="25"/>
      <c r="AJ1807" s="25"/>
      <c r="AK1807" s="25"/>
      <c r="AL1807" s="25"/>
      <c r="AM1807" s="25"/>
      <c r="AN1807" s="25"/>
      <c r="AO1807" s="25"/>
      <c r="AP1807" s="25"/>
      <c r="AQ1807" s="25"/>
      <c r="AR1807" s="25"/>
      <c r="AS1807" s="25"/>
      <c r="AT1807" s="25"/>
      <c r="AU1807" s="25"/>
      <c r="AV1807" s="25"/>
      <c r="AW1807" s="25"/>
      <c r="AX1807" s="25"/>
      <c r="AY1807" s="25"/>
      <c r="AZ1807" s="25"/>
      <c r="BA1807" s="25"/>
      <c r="BB1807" s="25"/>
      <c r="BC1807" s="25"/>
      <c r="BD1807" s="25"/>
      <c r="BE1807" s="25"/>
      <c r="BF1807" s="25"/>
      <c r="BG1807" s="25"/>
      <c r="BH1807" s="25"/>
      <c r="BI1807" s="25"/>
      <c r="BJ1807" s="25"/>
      <c r="BK1807" s="25"/>
      <c r="BL1807" s="25"/>
      <c r="BM1807" s="25"/>
      <c r="BN1807" s="25"/>
      <c r="BO1807" s="25"/>
      <c r="BP1807" s="25"/>
      <c r="BQ1807" s="25"/>
      <c r="BR1807" s="25"/>
      <c r="BS1807" s="25"/>
      <c r="BT1807" s="25"/>
      <c r="BU1807" s="25"/>
      <c r="BV1807" s="25"/>
      <c r="BW1807" s="25"/>
      <c r="BX1807" s="25"/>
      <c r="BY1807" s="25"/>
      <c r="BZ1807" s="25"/>
      <c r="CA1807" s="25"/>
      <c r="CB1807" s="25"/>
    </row>
    <row r="1808" spans="1:80" ht="12.75" customHeight="1">
      <c r="A1808" s="10">
        <f ca="1">IFERROR(__xludf.DUMMYFUNCTION("""COMPUTED_VALUE"""),2024)</f>
        <v>2024</v>
      </c>
      <c r="B1808" s="50"/>
      <c r="C1808" s="41"/>
      <c r="D1808" s="42" t="str">
        <f ca="1">IFERROR(__xludf.DUMMYFUNCTION("""COMPUTED_VALUE"""),"Yellow-browed Warbler")</f>
        <v>Yellow-browed Warbler</v>
      </c>
      <c r="E1808" s="53">
        <f ca="1">IFERROR(__xludf.DUMMYFUNCTION("""COMPUTED_VALUE"""),1)</f>
        <v>1</v>
      </c>
      <c r="F1808" s="15"/>
      <c r="G1808" s="44" t="str">
        <f ca="1">IFERROR(__xludf.DUMMYFUNCTION("""COMPUTED_VALUE"""),"Great Sankey")</f>
        <v>Great Sankey</v>
      </c>
      <c r="H1808" s="12">
        <f ca="1">IFERROR(__xludf.DUMMYFUNCTION("""COMPUTED_VALUE"""),45573)</f>
        <v>45573</v>
      </c>
      <c r="I1808" s="13"/>
      <c r="J1808" s="14"/>
      <c r="K1808" s="15"/>
      <c r="L1808" s="17" t="str">
        <f ca="1">IFERROR(__xludf.DUMMYFUNCTION("""COMPUTED_VALUE"""),"closed")</f>
        <v>closed</v>
      </c>
      <c r="M1808" s="17"/>
      <c r="N1808" s="15" t="str">
        <f ca="1">IFERROR(__xludf.DUMMYFUNCTION("""COMPUTED_VALUE"""),"exemption")</f>
        <v>exemption</v>
      </c>
      <c r="O1808" s="18" t="str">
        <f ca="1">IFERROR(__xludf.DUMMYFUNCTION("""COMPUTED_VALUE"""),"Birdguides")</f>
        <v>Birdguides</v>
      </c>
      <c r="P1808" s="15"/>
      <c r="Q1808" s="15"/>
      <c r="R1808" s="15"/>
      <c r="S1808" s="15"/>
      <c r="T1808" s="15"/>
      <c r="U1808" s="15"/>
      <c r="V1808" s="15"/>
      <c r="W1808" s="15"/>
      <c r="X1808" s="15"/>
      <c r="Y1808" s="15"/>
      <c r="Z1808" s="15"/>
      <c r="AA1808" s="15"/>
      <c r="AB1808" s="15"/>
      <c r="AC1808" s="15"/>
      <c r="AD1808" s="15"/>
      <c r="AE1808" s="15"/>
      <c r="AF1808" s="15"/>
      <c r="AG1808" s="15"/>
      <c r="AH1808" s="15"/>
      <c r="AI1808" s="15"/>
      <c r="AJ1808" s="15"/>
      <c r="AK1808" s="15"/>
      <c r="AL1808" s="15"/>
      <c r="AM1808" s="15"/>
      <c r="AN1808" s="15"/>
      <c r="AO1808" s="15"/>
      <c r="AP1808" s="15"/>
      <c r="AQ1808" s="15"/>
      <c r="AR1808" s="15"/>
      <c r="AS1808" s="15"/>
      <c r="AT1808" s="15"/>
      <c r="AU1808" s="15"/>
      <c r="AV1808" s="15"/>
      <c r="AW1808" s="15"/>
      <c r="AX1808" s="15"/>
      <c r="AY1808" s="15"/>
      <c r="AZ1808" s="15"/>
      <c r="BA1808" s="15"/>
      <c r="BB1808" s="15"/>
      <c r="BC1808" s="15"/>
      <c r="BD1808" s="15"/>
      <c r="BE1808" s="15"/>
      <c r="BF1808" s="15"/>
      <c r="BG1808" s="15"/>
      <c r="BH1808" s="15"/>
      <c r="BI1808" s="15"/>
      <c r="BJ1808" s="15"/>
      <c r="BK1808" s="15"/>
      <c r="BL1808" s="15"/>
      <c r="BM1808" s="15"/>
      <c r="BN1808" s="15"/>
      <c r="BO1808" s="15"/>
      <c r="BP1808" s="15"/>
      <c r="BQ1808" s="15"/>
      <c r="BR1808" s="15"/>
      <c r="BS1808" s="15"/>
      <c r="BT1808" s="15"/>
      <c r="BU1808" s="15"/>
      <c r="BV1808" s="15"/>
      <c r="BW1808" s="15"/>
      <c r="BX1808" s="15"/>
      <c r="BY1808" s="15"/>
      <c r="BZ1808" s="15"/>
      <c r="CA1808" s="15"/>
      <c r="CB1808" s="15"/>
    </row>
    <row r="1809" spans="1:80" ht="12.75" customHeight="1">
      <c r="A1809" s="20">
        <f ca="1">IFERROR(__xludf.DUMMYFUNCTION("""COMPUTED_VALUE"""),2024)</f>
        <v>2024</v>
      </c>
      <c r="B1809" s="45"/>
      <c r="C1809" s="46"/>
      <c r="D1809" s="47" t="str">
        <f ca="1">IFERROR(__xludf.DUMMYFUNCTION("""COMPUTED_VALUE"""),"Yellow-browed Warbler")</f>
        <v>Yellow-browed Warbler</v>
      </c>
      <c r="E1809" s="52">
        <f ca="1">IFERROR(__xludf.DUMMYFUNCTION("""COMPUTED_VALUE"""),1)</f>
        <v>1</v>
      </c>
      <c r="F1809" s="25"/>
      <c r="G1809" s="48" t="str">
        <f ca="1">IFERROR(__xludf.DUMMYFUNCTION("""COMPUTED_VALUE"""),"Hale")</f>
        <v>Hale</v>
      </c>
      <c r="H1809" s="22">
        <f ca="1">IFERROR(__xludf.DUMMYFUNCTION("""COMPUTED_VALUE"""),45573)</f>
        <v>45573</v>
      </c>
      <c r="I1809" s="23"/>
      <c r="J1809" s="24"/>
      <c r="K1809" s="25"/>
      <c r="L1809" s="27" t="str">
        <f ca="1">IFERROR(__xludf.DUMMYFUNCTION("""COMPUTED_VALUE"""),"closed")</f>
        <v>closed</v>
      </c>
      <c r="M1809" s="27"/>
      <c r="N1809" s="25" t="str">
        <f ca="1">IFERROR(__xludf.DUMMYFUNCTION("""COMPUTED_VALUE"""),"exemption")</f>
        <v>exemption</v>
      </c>
      <c r="O1809" s="28" t="str">
        <f ca="1">IFERROR(__xludf.DUMMYFUNCTION("""COMPUTED_VALUE"""),"Birdguides")</f>
        <v>Birdguides</v>
      </c>
      <c r="P1809" s="25"/>
      <c r="Q1809" s="25"/>
      <c r="R1809" s="25"/>
      <c r="S1809" s="25"/>
      <c r="T1809" s="25"/>
      <c r="U1809" s="25"/>
      <c r="V1809" s="25"/>
      <c r="W1809" s="25"/>
      <c r="X1809" s="25"/>
      <c r="Y1809" s="25"/>
      <c r="Z1809" s="25"/>
      <c r="AA1809" s="25"/>
      <c r="AB1809" s="25"/>
      <c r="AC1809" s="25"/>
      <c r="AD1809" s="25"/>
      <c r="AE1809" s="25"/>
      <c r="AF1809" s="25"/>
      <c r="AG1809" s="25"/>
      <c r="AH1809" s="25"/>
      <c r="AI1809" s="25"/>
      <c r="AJ1809" s="25"/>
      <c r="AK1809" s="25"/>
      <c r="AL1809" s="25"/>
      <c r="AM1809" s="25"/>
      <c r="AN1809" s="25"/>
      <c r="AO1809" s="25"/>
      <c r="AP1809" s="25"/>
      <c r="AQ1809" s="25"/>
      <c r="AR1809" s="25"/>
      <c r="AS1809" s="25"/>
      <c r="AT1809" s="25"/>
      <c r="AU1809" s="25"/>
      <c r="AV1809" s="25"/>
      <c r="AW1809" s="25"/>
      <c r="AX1809" s="25"/>
      <c r="AY1809" s="25"/>
      <c r="AZ1809" s="25"/>
      <c r="BA1809" s="25"/>
      <c r="BB1809" s="25"/>
      <c r="BC1809" s="25"/>
      <c r="BD1809" s="25"/>
      <c r="BE1809" s="25"/>
      <c r="BF1809" s="25"/>
      <c r="BG1809" s="25"/>
      <c r="BH1809" s="25"/>
      <c r="BI1809" s="25"/>
      <c r="BJ1809" s="25"/>
      <c r="BK1809" s="25"/>
      <c r="BL1809" s="25"/>
      <c r="BM1809" s="25"/>
      <c r="BN1809" s="25"/>
      <c r="BO1809" s="25"/>
      <c r="BP1809" s="25"/>
      <c r="BQ1809" s="25"/>
      <c r="BR1809" s="25"/>
      <c r="BS1809" s="25"/>
      <c r="BT1809" s="25"/>
      <c r="BU1809" s="25"/>
      <c r="BV1809" s="25"/>
      <c r="BW1809" s="25"/>
      <c r="BX1809" s="25"/>
      <c r="BY1809" s="25"/>
      <c r="BZ1809" s="25"/>
      <c r="CA1809" s="25"/>
      <c r="CB1809" s="25"/>
    </row>
    <row r="1810" spans="1:80" ht="12.75" customHeight="1">
      <c r="A1810" s="10">
        <f ca="1">IFERROR(__xludf.DUMMYFUNCTION("""COMPUTED_VALUE"""),2024)</f>
        <v>2024</v>
      </c>
      <c r="B1810" s="50"/>
      <c r="C1810" s="41"/>
      <c r="D1810" s="42" t="str">
        <f ca="1">IFERROR(__xludf.DUMMYFUNCTION("""COMPUTED_VALUE"""),"Yellow-browed Warbler")</f>
        <v>Yellow-browed Warbler</v>
      </c>
      <c r="E1810" s="53">
        <f ca="1">IFERROR(__xludf.DUMMYFUNCTION("""COMPUTED_VALUE"""),3)</f>
        <v>3</v>
      </c>
      <c r="F1810" s="15"/>
      <c r="G1810" s="44" t="str">
        <f ca="1">IFERROR(__xludf.DUMMYFUNCTION("""COMPUTED_VALUE"""),"Hilbre Bird Observatory")</f>
        <v>Hilbre Bird Observatory</v>
      </c>
      <c r="H1810" s="12">
        <f ca="1">IFERROR(__xludf.DUMMYFUNCTION("""COMPUTED_VALUE"""),45573)</f>
        <v>45573</v>
      </c>
      <c r="I1810" s="13"/>
      <c r="J1810" s="14"/>
      <c r="K1810" s="15"/>
      <c r="L1810" s="17" t="str">
        <f ca="1">IFERROR(__xludf.DUMMYFUNCTION("""COMPUTED_VALUE"""),"closed")</f>
        <v>closed</v>
      </c>
      <c r="M1810" s="17"/>
      <c r="N1810" s="15" t="str">
        <f ca="1">IFERROR(__xludf.DUMMYFUNCTION("""COMPUTED_VALUE"""),"exemption")</f>
        <v>exemption</v>
      </c>
      <c r="O1810" s="18" t="str">
        <f ca="1">IFERROR(__xludf.DUMMYFUNCTION("""COMPUTED_VALUE"""),"Birdguides")</f>
        <v>Birdguides</v>
      </c>
      <c r="P1810" s="15"/>
      <c r="Q1810" s="15"/>
      <c r="R1810" s="15"/>
      <c r="S1810" s="15"/>
      <c r="T1810" s="15"/>
      <c r="U1810" s="15"/>
      <c r="V1810" s="15"/>
      <c r="W1810" s="15"/>
      <c r="X1810" s="15"/>
      <c r="Y1810" s="15"/>
      <c r="Z1810" s="15"/>
      <c r="AA1810" s="15"/>
      <c r="AB1810" s="15"/>
      <c r="AC1810" s="15"/>
      <c r="AD1810" s="15"/>
      <c r="AE1810" s="15"/>
      <c r="AF1810" s="15"/>
      <c r="AG1810" s="15"/>
      <c r="AH1810" s="15"/>
      <c r="AI1810" s="15"/>
      <c r="AJ1810" s="15"/>
      <c r="AK1810" s="15"/>
      <c r="AL1810" s="15"/>
      <c r="AM1810" s="15"/>
      <c r="AN1810" s="15"/>
      <c r="AO1810" s="15"/>
      <c r="AP1810" s="15"/>
      <c r="AQ1810" s="15"/>
      <c r="AR1810" s="15"/>
      <c r="AS1810" s="15"/>
      <c r="AT1810" s="15"/>
      <c r="AU1810" s="15"/>
      <c r="AV1810" s="15"/>
      <c r="AW1810" s="15"/>
      <c r="AX1810" s="15"/>
      <c r="AY1810" s="15"/>
      <c r="AZ1810" s="15"/>
      <c r="BA1810" s="15"/>
      <c r="BB1810" s="15"/>
      <c r="BC1810" s="15"/>
      <c r="BD1810" s="15"/>
      <c r="BE1810" s="15"/>
      <c r="BF1810" s="15"/>
      <c r="BG1810" s="15"/>
      <c r="BH1810" s="15"/>
      <c r="BI1810" s="15"/>
      <c r="BJ1810" s="15"/>
      <c r="BK1810" s="15"/>
      <c r="BL1810" s="15"/>
      <c r="BM1810" s="15"/>
      <c r="BN1810" s="15"/>
      <c r="BO1810" s="15"/>
      <c r="BP1810" s="15"/>
      <c r="BQ1810" s="15"/>
      <c r="BR1810" s="15"/>
      <c r="BS1810" s="15"/>
      <c r="BT1810" s="15"/>
      <c r="BU1810" s="15"/>
      <c r="BV1810" s="15"/>
      <c r="BW1810" s="15"/>
      <c r="BX1810" s="15"/>
      <c r="BY1810" s="15"/>
      <c r="BZ1810" s="15"/>
      <c r="CA1810" s="15"/>
      <c r="CB1810" s="15"/>
    </row>
    <row r="1811" spans="1:80" ht="12.75" customHeight="1">
      <c r="A1811" s="20">
        <f ca="1">IFERROR(__xludf.DUMMYFUNCTION("""COMPUTED_VALUE"""),2024)</f>
        <v>2024</v>
      </c>
      <c r="B1811" s="45"/>
      <c r="C1811" s="46"/>
      <c r="D1811" s="47" t="str">
        <f ca="1">IFERROR(__xludf.DUMMYFUNCTION("""COMPUTED_VALUE"""),"Yellow-browed Warbler")</f>
        <v>Yellow-browed Warbler</v>
      </c>
      <c r="E1811" s="52">
        <f ca="1">IFERROR(__xludf.DUMMYFUNCTION("""COMPUTED_VALUE"""),1)</f>
        <v>1</v>
      </c>
      <c r="F1811" s="25"/>
      <c r="G1811" s="48" t="str">
        <f ca="1">IFERROR(__xludf.DUMMYFUNCTION("""COMPUTED_VALUE"""),"Hoylake")</f>
        <v>Hoylake</v>
      </c>
      <c r="H1811" s="22">
        <f ca="1">IFERROR(__xludf.DUMMYFUNCTION("""COMPUTED_VALUE"""),45573)</f>
        <v>45573</v>
      </c>
      <c r="I1811" s="23"/>
      <c r="J1811" s="24"/>
      <c r="K1811" s="25" t="str">
        <f ca="1">IFERROR(__xludf.DUMMYFUNCTION("""COMPUTED_VALUE"""),"Turner, JE")</f>
        <v>Turner, JE</v>
      </c>
      <c r="L1811" s="27" t="str">
        <f ca="1">IFERROR(__xludf.DUMMYFUNCTION("""COMPUTED_VALUE"""),"closed")</f>
        <v>closed</v>
      </c>
      <c r="M1811" s="27"/>
      <c r="N1811" s="25" t="str">
        <f ca="1">IFERROR(__xludf.DUMMYFUNCTION("""COMPUTED_VALUE"""),"exemption")</f>
        <v>exemption</v>
      </c>
      <c r="O1811" s="28" t="str">
        <f ca="1">IFERROR(__xludf.DUMMYFUNCTION("""COMPUTED_VALUE"""),"trapped and ringed")</f>
        <v>trapped and ringed</v>
      </c>
      <c r="P1811" s="25"/>
      <c r="Q1811" s="25"/>
      <c r="R1811" s="25"/>
      <c r="S1811" s="25"/>
      <c r="T1811" s="25"/>
      <c r="U1811" s="25"/>
      <c r="V1811" s="25"/>
      <c r="W1811" s="25"/>
      <c r="X1811" s="25"/>
      <c r="Y1811" s="25"/>
      <c r="Z1811" s="25"/>
      <c r="AA1811" s="25"/>
      <c r="AB1811" s="25"/>
      <c r="AC1811" s="25"/>
      <c r="AD1811" s="25"/>
      <c r="AE1811" s="25"/>
      <c r="AF1811" s="25"/>
      <c r="AG1811" s="25"/>
      <c r="AH1811" s="25"/>
      <c r="AI1811" s="25"/>
      <c r="AJ1811" s="25"/>
      <c r="AK1811" s="25"/>
      <c r="AL1811" s="25"/>
      <c r="AM1811" s="25"/>
      <c r="AN1811" s="25"/>
      <c r="AO1811" s="25"/>
      <c r="AP1811" s="25"/>
      <c r="AQ1811" s="25"/>
      <c r="AR1811" s="25"/>
      <c r="AS1811" s="25"/>
      <c r="AT1811" s="25"/>
      <c r="AU1811" s="25"/>
      <c r="AV1811" s="25"/>
      <c r="AW1811" s="25"/>
      <c r="AX1811" s="25"/>
      <c r="AY1811" s="25"/>
      <c r="AZ1811" s="25"/>
      <c r="BA1811" s="25"/>
      <c r="BB1811" s="25"/>
      <c r="BC1811" s="25"/>
      <c r="BD1811" s="25"/>
      <c r="BE1811" s="25"/>
      <c r="BF1811" s="25"/>
      <c r="BG1811" s="25"/>
      <c r="BH1811" s="25"/>
      <c r="BI1811" s="25"/>
      <c r="BJ1811" s="25"/>
      <c r="BK1811" s="25"/>
      <c r="BL1811" s="25"/>
      <c r="BM1811" s="25"/>
      <c r="BN1811" s="25"/>
      <c r="BO1811" s="25"/>
      <c r="BP1811" s="25"/>
      <c r="BQ1811" s="25"/>
      <c r="BR1811" s="25"/>
      <c r="BS1811" s="25"/>
      <c r="BT1811" s="25"/>
      <c r="BU1811" s="25"/>
      <c r="BV1811" s="25"/>
      <c r="BW1811" s="25"/>
      <c r="BX1811" s="25"/>
      <c r="BY1811" s="25"/>
      <c r="BZ1811" s="25"/>
      <c r="CA1811" s="25"/>
      <c r="CB1811" s="25"/>
    </row>
    <row r="1812" spans="1:80" ht="12.75" customHeight="1">
      <c r="A1812" s="10">
        <f ca="1">IFERROR(__xludf.DUMMYFUNCTION("""COMPUTED_VALUE"""),2024)</f>
        <v>2024</v>
      </c>
      <c r="B1812" s="50"/>
      <c r="C1812" s="41"/>
      <c r="D1812" s="42" t="str">
        <f ca="1">IFERROR(__xludf.DUMMYFUNCTION("""COMPUTED_VALUE"""),"Yellow-browed Warbler")</f>
        <v>Yellow-browed Warbler</v>
      </c>
      <c r="E1812" s="53">
        <f ca="1">IFERROR(__xludf.DUMMYFUNCTION("""COMPUTED_VALUE"""),1)</f>
        <v>1</v>
      </c>
      <c r="F1812" s="15"/>
      <c r="G1812" s="44" t="str">
        <f ca="1">IFERROR(__xludf.DUMMYFUNCTION("""COMPUTED_VALUE"""),"Sankey Valley Park")</f>
        <v>Sankey Valley Park</v>
      </c>
      <c r="H1812" s="12">
        <f ca="1">IFERROR(__xludf.DUMMYFUNCTION("""COMPUTED_VALUE"""),45573)</f>
        <v>45573</v>
      </c>
      <c r="I1812" s="13"/>
      <c r="J1812" s="14"/>
      <c r="K1812" s="15"/>
      <c r="L1812" s="17" t="str">
        <f ca="1">IFERROR(__xludf.DUMMYFUNCTION("""COMPUTED_VALUE"""),"closed")</f>
        <v>closed</v>
      </c>
      <c r="M1812" s="17"/>
      <c r="N1812" s="15" t="str">
        <f ca="1">IFERROR(__xludf.DUMMYFUNCTION("""COMPUTED_VALUE"""),"exemption")</f>
        <v>exemption</v>
      </c>
      <c r="O1812" s="18" t="str">
        <f ca="1">IFERROR(__xludf.DUMMYFUNCTION("""COMPUTED_VALUE"""),"Birdguides")</f>
        <v>Birdguides</v>
      </c>
      <c r="P1812" s="15"/>
      <c r="Q1812" s="15"/>
      <c r="R1812" s="15"/>
      <c r="S1812" s="15"/>
      <c r="T1812" s="15"/>
      <c r="U1812" s="15"/>
      <c r="V1812" s="15"/>
      <c r="W1812" s="15"/>
      <c r="X1812" s="15"/>
      <c r="Y1812" s="15"/>
      <c r="Z1812" s="15"/>
      <c r="AA1812" s="15"/>
      <c r="AB1812" s="15"/>
      <c r="AC1812" s="15"/>
      <c r="AD1812" s="15"/>
      <c r="AE1812" s="15"/>
      <c r="AF1812" s="15"/>
      <c r="AG1812" s="15"/>
      <c r="AH1812" s="15"/>
      <c r="AI1812" s="15"/>
      <c r="AJ1812" s="15"/>
      <c r="AK1812" s="15"/>
      <c r="AL1812" s="15"/>
      <c r="AM1812" s="15"/>
      <c r="AN1812" s="15"/>
      <c r="AO1812" s="15"/>
      <c r="AP1812" s="15"/>
      <c r="AQ1812" s="15"/>
      <c r="AR1812" s="15"/>
      <c r="AS1812" s="15"/>
      <c r="AT1812" s="15"/>
      <c r="AU1812" s="15"/>
      <c r="AV1812" s="15"/>
      <c r="AW1812" s="15"/>
      <c r="AX1812" s="15"/>
      <c r="AY1812" s="15"/>
      <c r="AZ1812" s="15"/>
      <c r="BA1812" s="15"/>
      <c r="BB1812" s="15"/>
      <c r="BC1812" s="15"/>
      <c r="BD1812" s="15"/>
      <c r="BE1812" s="15"/>
      <c r="BF1812" s="15"/>
      <c r="BG1812" s="15"/>
      <c r="BH1812" s="15"/>
      <c r="BI1812" s="15"/>
      <c r="BJ1812" s="15"/>
      <c r="BK1812" s="15"/>
      <c r="BL1812" s="15"/>
      <c r="BM1812" s="15"/>
      <c r="BN1812" s="15"/>
      <c r="BO1812" s="15"/>
      <c r="BP1812" s="15"/>
      <c r="BQ1812" s="15"/>
      <c r="BR1812" s="15"/>
      <c r="BS1812" s="15"/>
      <c r="BT1812" s="15"/>
      <c r="BU1812" s="15"/>
      <c r="BV1812" s="15"/>
      <c r="BW1812" s="15"/>
      <c r="BX1812" s="15"/>
      <c r="BY1812" s="15"/>
      <c r="BZ1812" s="15"/>
      <c r="CA1812" s="15"/>
      <c r="CB1812" s="15"/>
    </row>
    <row r="1813" spans="1:80" ht="12.75" customHeight="1">
      <c r="A1813" s="20">
        <f ca="1">IFERROR(__xludf.DUMMYFUNCTION("""COMPUTED_VALUE"""),2024)</f>
        <v>2024</v>
      </c>
      <c r="B1813" s="45"/>
      <c r="C1813" s="46"/>
      <c r="D1813" s="47" t="str">
        <f ca="1">IFERROR(__xludf.DUMMYFUNCTION("""COMPUTED_VALUE"""),"Yellow-browed Warbler")</f>
        <v>Yellow-browed Warbler</v>
      </c>
      <c r="E1813" s="52">
        <f ca="1">IFERROR(__xludf.DUMMYFUNCTION("""COMPUTED_VALUE"""),1)</f>
        <v>1</v>
      </c>
      <c r="F1813" s="25"/>
      <c r="G1813" s="48" t="str">
        <f ca="1">IFERROR(__xludf.DUMMYFUNCTION("""COMPUTED_VALUE"""),"Warrington")</f>
        <v>Warrington</v>
      </c>
      <c r="H1813" s="22">
        <f ca="1">IFERROR(__xludf.DUMMYFUNCTION("""COMPUTED_VALUE"""),45573)</f>
        <v>45573</v>
      </c>
      <c r="I1813" s="23"/>
      <c r="J1813" s="24"/>
      <c r="K1813" s="25"/>
      <c r="L1813" s="27" t="str">
        <f ca="1">IFERROR(__xludf.DUMMYFUNCTION("""COMPUTED_VALUE"""),"closed")</f>
        <v>closed</v>
      </c>
      <c r="M1813" s="27"/>
      <c r="N1813" s="25" t="str">
        <f ca="1">IFERROR(__xludf.DUMMYFUNCTION("""COMPUTED_VALUE"""),"exemption")</f>
        <v>exemption</v>
      </c>
      <c r="O1813" s="28" t="str">
        <f ca="1">IFERROR(__xludf.DUMMYFUNCTION("""COMPUTED_VALUE"""),"Birdguides")</f>
        <v>Birdguides</v>
      </c>
      <c r="P1813" s="25"/>
      <c r="Q1813" s="25"/>
      <c r="R1813" s="25"/>
      <c r="S1813" s="25"/>
      <c r="T1813" s="25"/>
      <c r="U1813" s="25"/>
      <c r="V1813" s="25"/>
      <c r="W1813" s="25"/>
      <c r="X1813" s="25"/>
      <c r="Y1813" s="25"/>
      <c r="Z1813" s="25"/>
      <c r="AA1813" s="25"/>
      <c r="AB1813" s="25"/>
      <c r="AC1813" s="25"/>
      <c r="AD1813" s="25"/>
      <c r="AE1813" s="25"/>
      <c r="AF1813" s="25"/>
      <c r="AG1813" s="25"/>
      <c r="AH1813" s="25"/>
      <c r="AI1813" s="25"/>
      <c r="AJ1813" s="25"/>
      <c r="AK1813" s="25"/>
      <c r="AL1813" s="25"/>
      <c r="AM1813" s="25"/>
      <c r="AN1813" s="25"/>
      <c r="AO1813" s="25"/>
      <c r="AP1813" s="25"/>
      <c r="AQ1813" s="25"/>
      <c r="AR1813" s="25"/>
      <c r="AS1813" s="25"/>
      <c r="AT1813" s="25"/>
      <c r="AU1813" s="25"/>
      <c r="AV1813" s="25"/>
      <c r="AW1813" s="25"/>
      <c r="AX1813" s="25"/>
      <c r="AY1813" s="25"/>
      <c r="AZ1813" s="25"/>
      <c r="BA1813" s="25"/>
      <c r="BB1813" s="25"/>
      <c r="BC1813" s="25"/>
      <c r="BD1813" s="25"/>
      <c r="BE1813" s="25"/>
      <c r="BF1813" s="25"/>
      <c r="BG1813" s="25"/>
      <c r="BH1813" s="25"/>
      <c r="BI1813" s="25"/>
      <c r="BJ1813" s="25"/>
      <c r="BK1813" s="25"/>
      <c r="BL1813" s="25"/>
      <c r="BM1813" s="25"/>
      <c r="BN1813" s="25"/>
      <c r="BO1813" s="25"/>
      <c r="BP1813" s="25"/>
      <c r="BQ1813" s="25"/>
      <c r="BR1813" s="25"/>
      <c r="BS1813" s="25"/>
      <c r="BT1813" s="25"/>
      <c r="BU1813" s="25"/>
      <c r="BV1813" s="25"/>
      <c r="BW1813" s="25"/>
      <c r="BX1813" s="25"/>
      <c r="BY1813" s="25"/>
      <c r="BZ1813" s="25"/>
      <c r="CA1813" s="25"/>
      <c r="CB1813" s="25"/>
    </row>
    <row r="1814" spans="1:80" ht="12.75" customHeight="1">
      <c r="A1814" s="10">
        <f ca="1">IFERROR(__xludf.DUMMYFUNCTION("""COMPUTED_VALUE"""),2024)</f>
        <v>2024</v>
      </c>
      <c r="B1814" s="50"/>
      <c r="C1814" s="41"/>
      <c r="D1814" s="42" t="str">
        <f ca="1">IFERROR(__xludf.DUMMYFUNCTION("""COMPUTED_VALUE"""),"Yellow-browed Warbler")</f>
        <v>Yellow-browed Warbler</v>
      </c>
      <c r="E1814" s="53">
        <f ca="1">IFERROR(__xludf.DUMMYFUNCTION("""COMPUTED_VALUE"""),1)</f>
        <v>1</v>
      </c>
      <c r="F1814" s="15"/>
      <c r="G1814" s="44" t="str">
        <f ca="1">IFERROR(__xludf.DUMMYFUNCTION("""COMPUTED_VALUE"""),"Winwick")</f>
        <v>Winwick</v>
      </c>
      <c r="H1814" s="12">
        <f ca="1">IFERROR(__xludf.DUMMYFUNCTION("""COMPUTED_VALUE"""),45573)</f>
        <v>45573</v>
      </c>
      <c r="I1814" s="13"/>
      <c r="J1814" s="14"/>
      <c r="K1814" s="15"/>
      <c r="L1814" s="17" t="str">
        <f ca="1">IFERROR(__xludf.DUMMYFUNCTION("""COMPUTED_VALUE"""),"closed")</f>
        <v>closed</v>
      </c>
      <c r="M1814" s="17"/>
      <c r="N1814" s="15" t="str">
        <f ca="1">IFERROR(__xludf.DUMMYFUNCTION("""COMPUTED_VALUE"""),"exemption")</f>
        <v>exemption</v>
      </c>
      <c r="O1814" s="18" t="str">
        <f ca="1">IFERROR(__xludf.DUMMYFUNCTION("""COMPUTED_VALUE"""),"Birdguides")</f>
        <v>Birdguides</v>
      </c>
      <c r="P1814" s="15"/>
      <c r="Q1814" s="15"/>
      <c r="R1814" s="15"/>
      <c r="S1814" s="15"/>
      <c r="T1814" s="15"/>
      <c r="U1814" s="15"/>
      <c r="V1814" s="15"/>
      <c r="W1814" s="15"/>
      <c r="X1814" s="15"/>
      <c r="Y1814" s="15"/>
      <c r="Z1814" s="15"/>
      <c r="AA1814" s="15"/>
      <c r="AB1814" s="15"/>
      <c r="AC1814" s="15"/>
      <c r="AD1814" s="15"/>
      <c r="AE1814" s="15"/>
      <c r="AF1814" s="15"/>
      <c r="AG1814" s="15"/>
      <c r="AH1814" s="15"/>
      <c r="AI1814" s="15"/>
      <c r="AJ1814" s="15"/>
      <c r="AK1814" s="15"/>
      <c r="AL1814" s="15"/>
      <c r="AM1814" s="15"/>
      <c r="AN1814" s="15"/>
      <c r="AO1814" s="15"/>
      <c r="AP1814" s="15"/>
      <c r="AQ1814" s="15"/>
      <c r="AR1814" s="15"/>
      <c r="AS1814" s="15"/>
      <c r="AT1814" s="15"/>
      <c r="AU1814" s="15"/>
      <c r="AV1814" s="15"/>
      <c r="AW1814" s="15"/>
      <c r="AX1814" s="15"/>
      <c r="AY1814" s="15"/>
      <c r="AZ1814" s="15"/>
      <c r="BA1814" s="15"/>
      <c r="BB1814" s="15"/>
      <c r="BC1814" s="15"/>
      <c r="BD1814" s="15"/>
      <c r="BE1814" s="15"/>
      <c r="BF1814" s="15"/>
      <c r="BG1814" s="15"/>
      <c r="BH1814" s="15"/>
      <c r="BI1814" s="15"/>
      <c r="BJ1814" s="15"/>
      <c r="BK1814" s="15"/>
      <c r="BL1814" s="15"/>
      <c r="BM1814" s="15"/>
      <c r="BN1814" s="15"/>
      <c r="BO1814" s="15"/>
      <c r="BP1814" s="15"/>
      <c r="BQ1814" s="15"/>
      <c r="BR1814" s="15"/>
      <c r="BS1814" s="15"/>
      <c r="BT1814" s="15"/>
      <c r="BU1814" s="15"/>
      <c r="BV1814" s="15"/>
      <c r="BW1814" s="15"/>
      <c r="BX1814" s="15"/>
      <c r="BY1814" s="15"/>
      <c r="BZ1814" s="15"/>
      <c r="CA1814" s="15"/>
      <c r="CB1814" s="15"/>
    </row>
    <row r="1815" spans="1:80" ht="12.75" customHeight="1">
      <c r="A1815" s="20">
        <f ca="1">IFERROR(__xludf.DUMMYFUNCTION("""COMPUTED_VALUE"""),2024)</f>
        <v>2024</v>
      </c>
      <c r="B1815" s="45"/>
      <c r="C1815" s="46"/>
      <c r="D1815" s="47" t="str">
        <f ca="1">IFERROR(__xludf.DUMMYFUNCTION("""COMPUTED_VALUE"""),"Yellow-browed Warbler")</f>
        <v>Yellow-browed Warbler</v>
      </c>
      <c r="E1815" s="52">
        <f ca="1">IFERROR(__xludf.DUMMYFUNCTION("""COMPUTED_VALUE"""),6)</f>
        <v>6</v>
      </c>
      <c r="F1815" s="25"/>
      <c r="G1815" s="48" t="str">
        <f ca="1">IFERROR(__xludf.DUMMYFUNCTION("""COMPUTED_VALUE"""),"Woolston Eyes")</f>
        <v>Woolston Eyes</v>
      </c>
      <c r="H1815" s="22">
        <f ca="1">IFERROR(__xludf.DUMMYFUNCTION("""COMPUTED_VALUE"""),45573)</f>
        <v>45573</v>
      </c>
      <c r="I1815" s="23"/>
      <c r="J1815" s="24"/>
      <c r="K1815" s="25"/>
      <c r="L1815" s="27" t="str">
        <f ca="1">IFERROR(__xludf.DUMMYFUNCTION("""COMPUTED_VALUE"""),"closed")</f>
        <v>closed</v>
      </c>
      <c r="M1815" s="27"/>
      <c r="N1815" s="25" t="str">
        <f ca="1">IFERROR(__xludf.DUMMYFUNCTION("""COMPUTED_VALUE"""),"exemption")</f>
        <v>exemption</v>
      </c>
      <c r="O1815" s="28" t="str">
        <f ca="1">IFERROR(__xludf.DUMMYFUNCTION("""COMPUTED_VALUE"""),"Birdguides")</f>
        <v>Birdguides</v>
      </c>
      <c r="P1815" s="25"/>
      <c r="Q1815" s="25"/>
      <c r="R1815" s="25"/>
      <c r="S1815" s="25"/>
      <c r="T1815" s="25"/>
      <c r="U1815" s="25"/>
      <c r="V1815" s="25"/>
      <c r="W1815" s="25"/>
      <c r="X1815" s="25"/>
      <c r="Y1815" s="25"/>
      <c r="Z1815" s="25"/>
      <c r="AA1815" s="25"/>
      <c r="AB1815" s="25"/>
      <c r="AC1815" s="25"/>
      <c r="AD1815" s="25"/>
      <c r="AE1815" s="25"/>
      <c r="AF1815" s="25"/>
      <c r="AG1815" s="25"/>
      <c r="AH1815" s="25"/>
      <c r="AI1815" s="25"/>
      <c r="AJ1815" s="25"/>
      <c r="AK1815" s="25"/>
      <c r="AL1815" s="25"/>
      <c r="AM1815" s="25"/>
      <c r="AN1815" s="25"/>
      <c r="AO1815" s="25"/>
      <c r="AP1815" s="25"/>
      <c r="AQ1815" s="25"/>
      <c r="AR1815" s="25"/>
      <c r="AS1815" s="25"/>
      <c r="AT1815" s="25"/>
      <c r="AU1815" s="25"/>
      <c r="AV1815" s="25"/>
      <c r="AW1815" s="25"/>
      <c r="AX1815" s="25"/>
      <c r="AY1815" s="25"/>
      <c r="AZ1815" s="25"/>
      <c r="BA1815" s="25"/>
      <c r="BB1815" s="25"/>
      <c r="BC1815" s="25"/>
      <c r="BD1815" s="25"/>
      <c r="BE1815" s="25"/>
      <c r="BF1815" s="25"/>
      <c r="BG1815" s="25"/>
      <c r="BH1815" s="25"/>
      <c r="BI1815" s="25"/>
      <c r="BJ1815" s="25"/>
      <c r="BK1815" s="25"/>
      <c r="BL1815" s="25"/>
      <c r="BM1815" s="25"/>
      <c r="BN1815" s="25"/>
      <c r="BO1815" s="25"/>
      <c r="BP1815" s="25"/>
      <c r="BQ1815" s="25"/>
      <c r="BR1815" s="25"/>
      <c r="BS1815" s="25"/>
      <c r="BT1815" s="25"/>
      <c r="BU1815" s="25"/>
      <c r="BV1815" s="25"/>
      <c r="BW1815" s="25"/>
      <c r="BX1815" s="25"/>
      <c r="BY1815" s="25"/>
      <c r="BZ1815" s="25"/>
      <c r="CA1815" s="25"/>
      <c r="CB1815" s="25"/>
    </row>
    <row r="1816" spans="1:80" ht="12.75" customHeight="1">
      <c r="A1816" s="10">
        <f ca="1">IFERROR(__xludf.DUMMYFUNCTION("""COMPUTED_VALUE"""),2024)</f>
        <v>2024</v>
      </c>
      <c r="B1816" s="50"/>
      <c r="C1816" s="41"/>
      <c r="D1816" s="42" t="str">
        <f ca="1">IFERROR(__xludf.DUMMYFUNCTION("""COMPUTED_VALUE"""),"Yellow-browed Warbler")</f>
        <v>Yellow-browed Warbler</v>
      </c>
      <c r="E1816" s="53">
        <f ca="1">IFERROR(__xludf.DUMMYFUNCTION("""COMPUTED_VALUE"""),1)</f>
        <v>1</v>
      </c>
      <c r="F1816" s="15"/>
      <c r="G1816" s="44" t="str">
        <f ca="1">IFERROR(__xludf.DUMMYFUNCTION("""COMPUTED_VALUE"""),"Poulton")</f>
        <v>Poulton</v>
      </c>
      <c r="H1816" s="12">
        <f ca="1">IFERROR(__xludf.DUMMYFUNCTION("""COMPUTED_VALUE"""),45574)</f>
        <v>45574</v>
      </c>
      <c r="I1816" s="13"/>
      <c r="J1816" s="14"/>
      <c r="K1816" s="15"/>
      <c r="L1816" s="17" t="str">
        <f ca="1">IFERROR(__xludf.DUMMYFUNCTION("""COMPUTED_VALUE"""),"closed")</f>
        <v>closed</v>
      </c>
      <c r="M1816" s="17"/>
      <c r="N1816" s="15" t="str">
        <f ca="1">IFERROR(__xludf.DUMMYFUNCTION("""COMPUTED_VALUE"""),"exemption")</f>
        <v>exemption</v>
      </c>
      <c r="O1816" s="18" t="str">
        <f ca="1">IFERROR(__xludf.DUMMYFUNCTION("""COMPUTED_VALUE"""),"Birdguides")</f>
        <v>Birdguides</v>
      </c>
      <c r="P1816" s="15"/>
      <c r="Q1816" s="15"/>
      <c r="R1816" s="15"/>
      <c r="S1816" s="15"/>
      <c r="T1816" s="15"/>
      <c r="U1816" s="15"/>
      <c r="V1816" s="15"/>
      <c r="W1816" s="15"/>
      <c r="X1816" s="15"/>
      <c r="Y1816" s="15"/>
      <c r="Z1816" s="15"/>
      <c r="AA1816" s="15"/>
      <c r="AB1816" s="15"/>
      <c r="AC1816" s="15"/>
      <c r="AD1816" s="15"/>
      <c r="AE1816" s="15"/>
      <c r="AF1816" s="15"/>
      <c r="AG1816" s="15"/>
      <c r="AH1816" s="15"/>
      <c r="AI1816" s="15"/>
      <c r="AJ1816" s="15"/>
      <c r="AK1816" s="15"/>
      <c r="AL1816" s="15"/>
      <c r="AM1816" s="15"/>
      <c r="AN1816" s="15"/>
      <c r="AO1816" s="15"/>
      <c r="AP1816" s="15"/>
      <c r="AQ1816" s="15"/>
      <c r="AR1816" s="15"/>
      <c r="AS1816" s="15"/>
      <c r="AT1816" s="15"/>
      <c r="AU1816" s="15"/>
      <c r="AV1816" s="15"/>
      <c r="AW1816" s="15"/>
      <c r="AX1816" s="15"/>
      <c r="AY1816" s="15"/>
      <c r="AZ1816" s="15"/>
      <c r="BA1816" s="15"/>
      <c r="BB1816" s="15"/>
      <c r="BC1816" s="15"/>
      <c r="BD1816" s="15"/>
      <c r="BE1816" s="15"/>
      <c r="BF1816" s="15"/>
      <c r="BG1816" s="15"/>
      <c r="BH1816" s="15"/>
      <c r="BI1816" s="15"/>
      <c r="BJ1816" s="15"/>
      <c r="BK1816" s="15"/>
      <c r="BL1816" s="15"/>
      <c r="BM1816" s="15"/>
      <c r="BN1816" s="15"/>
      <c r="BO1816" s="15"/>
      <c r="BP1816" s="15"/>
      <c r="BQ1816" s="15"/>
      <c r="BR1816" s="15"/>
      <c r="BS1816" s="15"/>
      <c r="BT1816" s="15"/>
      <c r="BU1816" s="15"/>
      <c r="BV1816" s="15"/>
      <c r="BW1816" s="15"/>
      <c r="BX1816" s="15"/>
      <c r="BY1816" s="15"/>
      <c r="BZ1816" s="15"/>
      <c r="CA1816" s="15"/>
      <c r="CB1816" s="15"/>
    </row>
    <row r="1817" spans="1:80" ht="12.75" customHeight="1">
      <c r="A1817" s="20">
        <f ca="1">IFERROR(__xludf.DUMMYFUNCTION("""COMPUTED_VALUE"""),2024)</f>
        <v>2024</v>
      </c>
      <c r="B1817" s="45"/>
      <c r="C1817" s="46"/>
      <c r="D1817" s="47" t="str">
        <f ca="1">IFERROR(__xludf.DUMMYFUNCTION("""COMPUTED_VALUE"""),"Yellow-browed Warbler")</f>
        <v>Yellow-browed Warbler</v>
      </c>
      <c r="E1817" s="52">
        <f ca="1">IFERROR(__xludf.DUMMYFUNCTION("""COMPUTED_VALUE"""),1)</f>
        <v>1</v>
      </c>
      <c r="F1817" s="25"/>
      <c r="G1817" s="48" t="str">
        <f ca="1">IFERROR(__xludf.DUMMYFUNCTION("""COMPUTED_VALUE"""),"Sandbach, Elton hall Flash")</f>
        <v>Sandbach, Elton hall Flash</v>
      </c>
      <c r="H1817" s="22">
        <f ca="1">IFERROR(__xludf.DUMMYFUNCTION("""COMPUTED_VALUE"""),45574)</f>
        <v>45574</v>
      </c>
      <c r="I1817" s="23"/>
      <c r="J1817" s="24"/>
      <c r="K1817" s="25"/>
      <c r="L1817" s="27" t="str">
        <f ca="1">IFERROR(__xludf.DUMMYFUNCTION("""COMPUTED_VALUE"""),"closed")</f>
        <v>closed</v>
      </c>
      <c r="M1817" s="27"/>
      <c r="N1817" s="25" t="str">
        <f ca="1">IFERROR(__xludf.DUMMYFUNCTION("""COMPUTED_VALUE"""),"exemption")</f>
        <v>exemption</v>
      </c>
      <c r="O1817" s="28" t="str">
        <f ca="1">IFERROR(__xludf.DUMMYFUNCTION("""COMPUTED_VALUE"""),"Birdguides")</f>
        <v>Birdguides</v>
      </c>
      <c r="P1817" s="25"/>
      <c r="Q1817" s="25"/>
      <c r="R1817" s="25"/>
      <c r="S1817" s="25"/>
      <c r="T1817" s="25"/>
      <c r="U1817" s="25"/>
      <c r="V1817" s="25"/>
      <c r="W1817" s="25"/>
      <c r="X1817" s="25"/>
      <c r="Y1817" s="25"/>
      <c r="Z1817" s="25"/>
      <c r="AA1817" s="25"/>
      <c r="AB1817" s="25"/>
      <c r="AC1817" s="25"/>
      <c r="AD1817" s="25"/>
      <c r="AE1817" s="25"/>
      <c r="AF1817" s="25"/>
      <c r="AG1817" s="25"/>
      <c r="AH1817" s="25"/>
      <c r="AI1817" s="25"/>
      <c r="AJ1817" s="25"/>
      <c r="AK1817" s="25"/>
      <c r="AL1817" s="25"/>
      <c r="AM1817" s="25"/>
      <c r="AN1817" s="25"/>
      <c r="AO1817" s="25"/>
      <c r="AP1817" s="25"/>
      <c r="AQ1817" s="25"/>
      <c r="AR1817" s="25"/>
      <c r="AS1817" s="25"/>
      <c r="AT1817" s="25"/>
      <c r="AU1817" s="25"/>
      <c r="AV1817" s="25"/>
      <c r="AW1817" s="25"/>
      <c r="AX1817" s="25"/>
      <c r="AY1817" s="25"/>
      <c r="AZ1817" s="25"/>
      <c r="BA1817" s="25"/>
      <c r="BB1817" s="25"/>
      <c r="BC1817" s="25"/>
      <c r="BD1817" s="25"/>
      <c r="BE1817" s="25"/>
      <c r="BF1817" s="25"/>
      <c r="BG1817" s="25"/>
      <c r="BH1817" s="25"/>
      <c r="BI1817" s="25"/>
      <c r="BJ1817" s="25"/>
      <c r="BK1817" s="25"/>
      <c r="BL1817" s="25"/>
      <c r="BM1817" s="25"/>
      <c r="BN1817" s="25"/>
      <c r="BO1817" s="25"/>
      <c r="BP1817" s="25"/>
      <c r="BQ1817" s="25"/>
      <c r="BR1817" s="25"/>
      <c r="BS1817" s="25"/>
      <c r="BT1817" s="25"/>
      <c r="BU1817" s="25"/>
      <c r="BV1817" s="25"/>
      <c r="BW1817" s="25"/>
      <c r="BX1817" s="25"/>
      <c r="BY1817" s="25"/>
      <c r="BZ1817" s="25"/>
      <c r="CA1817" s="25"/>
      <c r="CB1817" s="25"/>
    </row>
    <row r="1818" spans="1:80" ht="12.75" customHeight="1">
      <c r="A1818" s="10">
        <f ca="1">IFERROR(__xludf.DUMMYFUNCTION("""COMPUTED_VALUE"""),2024)</f>
        <v>2024</v>
      </c>
      <c r="B1818" s="50">
        <f ca="1">IFERROR(__xludf.DUMMYFUNCTION("""COMPUTED_VALUE"""),45657)</f>
        <v>45657</v>
      </c>
      <c r="C1818" s="41"/>
      <c r="D1818" s="42" t="str">
        <f ca="1">IFERROR(__xludf.DUMMYFUNCTION("""COMPUTED_VALUE"""),"Yellow-browed Warbler")</f>
        <v>Yellow-browed Warbler</v>
      </c>
      <c r="E1818" s="53">
        <f ca="1">IFERROR(__xludf.DUMMYFUNCTION("""COMPUTED_VALUE"""),1)</f>
        <v>1</v>
      </c>
      <c r="F1818" s="15"/>
      <c r="G1818" s="44" t="str">
        <f ca="1">IFERROR(__xludf.DUMMYFUNCTION("""COMPUTED_VALUE"""),"Mollington")</f>
        <v>Mollington</v>
      </c>
      <c r="H1818" s="12">
        <f ca="1">IFERROR(__xludf.DUMMYFUNCTION("""COMPUTED_VALUE"""),45575)</f>
        <v>45575</v>
      </c>
      <c r="I1818" s="13"/>
      <c r="J1818" s="14"/>
      <c r="K1818" s="15"/>
      <c r="L1818" s="17" t="str">
        <f ca="1">IFERROR(__xludf.DUMMYFUNCTION("""COMPUTED_VALUE"""),"open")</f>
        <v>open</v>
      </c>
      <c r="M1818" s="17"/>
      <c r="N1818" s="15" t="str">
        <f ca="1">IFERROR(__xludf.DUMMYFUNCTION("""COMPUTED_VALUE"""),"in Circulation")</f>
        <v>in Circulation</v>
      </c>
      <c r="O1818" s="18" t="str">
        <f ca="1">IFERROR(__xludf.DUMMYFUNCTION("""COMPUTED_VALUE"""),"awaiting sound recording")</f>
        <v>awaiting sound recording</v>
      </c>
      <c r="P1818" s="15"/>
      <c r="Q1818" s="15"/>
      <c r="R1818" s="15"/>
      <c r="S1818" s="15"/>
      <c r="T1818" s="15"/>
      <c r="U1818" s="15"/>
      <c r="V1818" s="15"/>
      <c r="W1818" s="15"/>
      <c r="X1818" s="15"/>
      <c r="Y1818" s="15"/>
      <c r="Z1818" s="15"/>
      <c r="AA1818" s="15"/>
      <c r="AB1818" s="15"/>
      <c r="AC1818" s="15"/>
      <c r="AD1818" s="15"/>
      <c r="AE1818" s="15"/>
      <c r="AF1818" s="15"/>
      <c r="AG1818" s="15"/>
      <c r="AH1818" s="15"/>
      <c r="AI1818" s="15"/>
      <c r="AJ1818" s="15"/>
      <c r="AK1818" s="15"/>
      <c r="AL1818" s="15"/>
      <c r="AM1818" s="15"/>
      <c r="AN1818" s="15"/>
      <c r="AO1818" s="15"/>
      <c r="AP1818" s="15"/>
      <c r="AQ1818" s="15"/>
      <c r="AR1818" s="15"/>
      <c r="AS1818" s="15"/>
      <c r="AT1818" s="15"/>
      <c r="AU1818" s="15"/>
      <c r="AV1818" s="15"/>
      <c r="AW1818" s="15"/>
      <c r="AX1818" s="15"/>
      <c r="AY1818" s="15"/>
      <c r="AZ1818" s="15"/>
      <c r="BA1818" s="15"/>
      <c r="BB1818" s="15"/>
      <c r="BC1818" s="15"/>
      <c r="BD1818" s="15"/>
      <c r="BE1818" s="15"/>
      <c r="BF1818" s="15"/>
      <c r="BG1818" s="15"/>
      <c r="BH1818" s="15"/>
      <c r="BI1818" s="15"/>
      <c r="BJ1818" s="15"/>
      <c r="BK1818" s="15"/>
      <c r="BL1818" s="15"/>
      <c r="BM1818" s="15"/>
      <c r="BN1818" s="15"/>
      <c r="BO1818" s="15"/>
      <c r="BP1818" s="15"/>
      <c r="BQ1818" s="15"/>
      <c r="BR1818" s="15"/>
      <c r="BS1818" s="15"/>
      <c r="BT1818" s="15"/>
      <c r="BU1818" s="15"/>
      <c r="BV1818" s="15"/>
      <c r="BW1818" s="15"/>
      <c r="BX1818" s="15"/>
      <c r="BY1818" s="15"/>
      <c r="BZ1818" s="15"/>
      <c r="CA1818" s="15"/>
      <c r="CB1818" s="15"/>
    </row>
    <row r="1819" spans="1:80" ht="12.75" customHeight="1">
      <c r="A1819" s="20">
        <f ca="1">IFERROR(__xludf.DUMMYFUNCTION("""COMPUTED_VALUE"""),2024)</f>
        <v>2024</v>
      </c>
      <c r="B1819" s="45"/>
      <c r="C1819" s="46"/>
      <c r="D1819" s="47" t="str">
        <f ca="1">IFERROR(__xludf.DUMMYFUNCTION("""COMPUTED_VALUE"""),"Yellow-browed Warbler")</f>
        <v>Yellow-browed Warbler</v>
      </c>
      <c r="E1819" s="52">
        <f ca="1">IFERROR(__xludf.DUMMYFUNCTION("""COMPUTED_VALUE"""),1)</f>
        <v>1</v>
      </c>
      <c r="F1819" s="25"/>
      <c r="G1819" s="48" t="str">
        <f ca="1">IFERROR(__xludf.DUMMYFUNCTION("""COMPUTED_VALUE"""),"Mollington, Townfield Lane")</f>
        <v>Mollington, Townfield Lane</v>
      </c>
      <c r="H1819" s="22">
        <f ca="1">IFERROR(__xludf.DUMMYFUNCTION("""COMPUTED_VALUE"""),45575)</f>
        <v>45575</v>
      </c>
      <c r="I1819" s="23"/>
      <c r="J1819" s="24"/>
      <c r="K1819" s="25"/>
      <c r="L1819" s="27" t="str">
        <f ca="1">IFERROR(__xludf.DUMMYFUNCTION("""COMPUTED_VALUE"""),"closed")</f>
        <v>closed</v>
      </c>
      <c r="M1819" s="27"/>
      <c r="N1819" s="25" t="str">
        <f ca="1">IFERROR(__xludf.DUMMYFUNCTION("""COMPUTED_VALUE"""),"exemption")</f>
        <v>exemption</v>
      </c>
      <c r="O1819" s="28" t="str">
        <f ca="1">IFERROR(__xludf.DUMMYFUNCTION("""COMPUTED_VALUE"""),"Birdguides")</f>
        <v>Birdguides</v>
      </c>
      <c r="P1819" s="25"/>
      <c r="Q1819" s="25"/>
      <c r="R1819" s="25"/>
      <c r="S1819" s="25"/>
      <c r="T1819" s="25"/>
      <c r="U1819" s="25"/>
      <c r="V1819" s="25"/>
      <c r="W1819" s="25"/>
      <c r="X1819" s="25"/>
      <c r="Y1819" s="25"/>
      <c r="Z1819" s="25"/>
      <c r="AA1819" s="25"/>
      <c r="AB1819" s="25"/>
      <c r="AC1819" s="25"/>
      <c r="AD1819" s="25"/>
      <c r="AE1819" s="25"/>
      <c r="AF1819" s="25"/>
      <c r="AG1819" s="25"/>
      <c r="AH1819" s="25"/>
      <c r="AI1819" s="25"/>
      <c r="AJ1819" s="25"/>
      <c r="AK1819" s="25"/>
      <c r="AL1819" s="25"/>
      <c r="AM1819" s="25"/>
      <c r="AN1819" s="25"/>
      <c r="AO1819" s="25"/>
      <c r="AP1819" s="25"/>
      <c r="AQ1819" s="25"/>
      <c r="AR1819" s="25"/>
      <c r="AS1819" s="25"/>
      <c r="AT1819" s="25"/>
      <c r="AU1819" s="25"/>
      <c r="AV1819" s="25"/>
      <c r="AW1819" s="25"/>
      <c r="AX1819" s="25"/>
      <c r="AY1819" s="25"/>
      <c r="AZ1819" s="25"/>
      <c r="BA1819" s="25"/>
      <c r="BB1819" s="25"/>
      <c r="BC1819" s="25"/>
      <c r="BD1819" s="25"/>
      <c r="BE1819" s="25"/>
      <c r="BF1819" s="25"/>
      <c r="BG1819" s="25"/>
      <c r="BH1819" s="25"/>
      <c r="BI1819" s="25"/>
      <c r="BJ1819" s="25"/>
      <c r="BK1819" s="25"/>
      <c r="BL1819" s="25"/>
      <c r="BM1819" s="25"/>
      <c r="BN1819" s="25"/>
      <c r="BO1819" s="25"/>
      <c r="BP1819" s="25"/>
      <c r="BQ1819" s="25"/>
      <c r="BR1819" s="25"/>
      <c r="BS1819" s="25"/>
      <c r="BT1819" s="25"/>
      <c r="BU1819" s="25"/>
      <c r="BV1819" s="25"/>
      <c r="BW1819" s="25"/>
      <c r="BX1819" s="25"/>
      <c r="BY1819" s="25"/>
      <c r="BZ1819" s="25"/>
      <c r="CA1819" s="25"/>
      <c r="CB1819" s="25"/>
    </row>
    <row r="1820" spans="1:80" ht="12.75" customHeight="1">
      <c r="A1820" s="10">
        <f ca="1">IFERROR(__xludf.DUMMYFUNCTION("""COMPUTED_VALUE"""),2024)</f>
        <v>2024</v>
      </c>
      <c r="B1820" s="50"/>
      <c r="C1820" s="41"/>
      <c r="D1820" s="42" t="str">
        <f ca="1">IFERROR(__xludf.DUMMYFUNCTION("""COMPUTED_VALUE"""),"Yellow-browed Warbler")</f>
        <v>Yellow-browed Warbler</v>
      </c>
      <c r="E1820" s="53">
        <f ca="1">IFERROR(__xludf.DUMMYFUNCTION("""COMPUTED_VALUE"""),1)</f>
        <v>1</v>
      </c>
      <c r="F1820" s="15"/>
      <c r="G1820" s="44" t="str">
        <f ca="1">IFERROR(__xludf.DUMMYFUNCTION("""COMPUTED_VALUE"""),"Delamere Forest ")</f>
        <v xml:space="preserve">Delamere Forest </v>
      </c>
      <c r="H1820" s="12">
        <f ca="1">IFERROR(__xludf.DUMMYFUNCTION("""COMPUTED_VALUE"""),45576)</f>
        <v>45576</v>
      </c>
      <c r="I1820" s="13"/>
      <c r="J1820" s="14"/>
      <c r="K1820" s="15"/>
      <c r="L1820" s="17" t="str">
        <f ca="1">IFERROR(__xludf.DUMMYFUNCTION("""COMPUTED_VALUE"""),"closed")</f>
        <v>closed</v>
      </c>
      <c r="M1820" s="17"/>
      <c r="N1820" s="15" t="str">
        <f ca="1">IFERROR(__xludf.DUMMYFUNCTION("""COMPUTED_VALUE"""),"exemption")</f>
        <v>exemption</v>
      </c>
      <c r="O1820" s="18" t="str">
        <f ca="1">IFERROR(__xludf.DUMMYFUNCTION("""COMPUTED_VALUE"""),"Birdguides")</f>
        <v>Birdguides</v>
      </c>
      <c r="P1820" s="15"/>
      <c r="Q1820" s="15"/>
      <c r="R1820" s="15"/>
      <c r="S1820" s="15"/>
      <c r="T1820" s="15"/>
      <c r="U1820" s="15"/>
      <c r="V1820" s="15"/>
      <c r="W1820" s="15"/>
      <c r="X1820" s="15"/>
      <c r="Y1820" s="15"/>
      <c r="Z1820" s="15"/>
      <c r="AA1820" s="15"/>
      <c r="AB1820" s="15"/>
      <c r="AC1820" s="15"/>
      <c r="AD1820" s="15"/>
      <c r="AE1820" s="15"/>
      <c r="AF1820" s="15"/>
      <c r="AG1820" s="15"/>
      <c r="AH1820" s="15"/>
      <c r="AI1820" s="15"/>
      <c r="AJ1820" s="15"/>
      <c r="AK1820" s="15"/>
      <c r="AL1820" s="15"/>
      <c r="AM1820" s="15"/>
      <c r="AN1820" s="15"/>
      <c r="AO1820" s="15"/>
      <c r="AP1820" s="15"/>
      <c r="AQ1820" s="15"/>
      <c r="AR1820" s="15"/>
      <c r="AS1820" s="15"/>
      <c r="AT1820" s="15"/>
      <c r="AU1820" s="15"/>
      <c r="AV1820" s="15"/>
      <c r="AW1820" s="15"/>
      <c r="AX1820" s="15"/>
      <c r="AY1820" s="15"/>
      <c r="AZ1820" s="15"/>
      <c r="BA1820" s="15"/>
      <c r="BB1820" s="15"/>
      <c r="BC1820" s="15"/>
      <c r="BD1820" s="15"/>
      <c r="BE1820" s="15"/>
      <c r="BF1820" s="15"/>
      <c r="BG1820" s="15"/>
      <c r="BH1820" s="15"/>
      <c r="BI1820" s="15"/>
      <c r="BJ1820" s="15"/>
      <c r="BK1820" s="15"/>
      <c r="BL1820" s="15"/>
      <c r="BM1820" s="15"/>
      <c r="BN1820" s="15"/>
      <c r="BO1820" s="15"/>
      <c r="BP1820" s="15"/>
      <c r="BQ1820" s="15"/>
      <c r="BR1820" s="15"/>
      <c r="BS1820" s="15"/>
      <c r="BT1820" s="15"/>
      <c r="BU1820" s="15"/>
      <c r="BV1820" s="15"/>
      <c r="BW1820" s="15"/>
      <c r="BX1820" s="15"/>
      <c r="BY1820" s="15"/>
      <c r="BZ1820" s="15"/>
      <c r="CA1820" s="15"/>
      <c r="CB1820" s="15"/>
    </row>
    <row r="1821" spans="1:80" ht="12.75" customHeight="1">
      <c r="A1821" s="20">
        <f ca="1">IFERROR(__xludf.DUMMYFUNCTION("""COMPUTED_VALUE"""),2024)</f>
        <v>2024</v>
      </c>
      <c r="B1821" s="45"/>
      <c r="C1821" s="46"/>
      <c r="D1821" s="47" t="str">
        <f ca="1">IFERROR(__xludf.DUMMYFUNCTION("""COMPUTED_VALUE"""),"Yellow-browed Warbler")</f>
        <v>Yellow-browed Warbler</v>
      </c>
      <c r="E1821" s="52">
        <f ca="1">IFERROR(__xludf.DUMMYFUNCTION("""COMPUTED_VALUE"""),1)</f>
        <v>1</v>
      </c>
      <c r="F1821" s="25"/>
      <c r="G1821" s="48" t="str">
        <f ca="1">IFERROR(__xludf.DUMMYFUNCTION("""COMPUTED_VALUE"""),"Moore")</f>
        <v>Moore</v>
      </c>
      <c r="H1821" s="22">
        <f ca="1">IFERROR(__xludf.DUMMYFUNCTION("""COMPUTED_VALUE"""),45576)</f>
        <v>45576</v>
      </c>
      <c r="I1821" s="23"/>
      <c r="J1821" s="24"/>
      <c r="K1821" s="25"/>
      <c r="L1821" s="27" t="str">
        <f ca="1">IFERROR(__xludf.DUMMYFUNCTION("""COMPUTED_VALUE"""),"closed")</f>
        <v>closed</v>
      </c>
      <c r="M1821" s="27"/>
      <c r="N1821" s="25" t="str">
        <f ca="1">IFERROR(__xludf.DUMMYFUNCTION("""COMPUTED_VALUE"""),"exemption")</f>
        <v>exemption</v>
      </c>
      <c r="O1821" s="28" t="str">
        <f ca="1">IFERROR(__xludf.DUMMYFUNCTION("""COMPUTED_VALUE"""),"Birdguides")</f>
        <v>Birdguides</v>
      </c>
      <c r="P1821" s="25"/>
      <c r="Q1821" s="25"/>
      <c r="R1821" s="25"/>
      <c r="S1821" s="25"/>
      <c r="T1821" s="25"/>
      <c r="U1821" s="25"/>
      <c r="V1821" s="25"/>
      <c r="W1821" s="25"/>
      <c r="X1821" s="25"/>
      <c r="Y1821" s="25"/>
      <c r="Z1821" s="25"/>
      <c r="AA1821" s="25"/>
      <c r="AB1821" s="25"/>
      <c r="AC1821" s="25"/>
      <c r="AD1821" s="25"/>
      <c r="AE1821" s="25"/>
      <c r="AF1821" s="25"/>
      <c r="AG1821" s="25"/>
      <c r="AH1821" s="25"/>
      <c r="AI1821" s="25"/>
      <c r="AJ1821" s="25"/>
      <c r="AK1821" s="25"/>
      <c r="AL1821" s="25"/>
      <c r="AM1821" s="25"/>
      <c r="AN1821" s="25"/>
      <c r="AO1821" s="25"/>
      <c r="AP1821" s="25"/>
      <c r="AQ1821" s="25"/>
      <c r="AR1821" s="25"/>
      <c r="AS1821" s="25"/>
      <c r="AT1821" s="25"/>
      <c r="AU1821" s="25"/>
      <c r="AV1821" s="25"/>
      <c r="AW1821" s="25"/>
      <c r="AX1821" s="25"/>
      <c r="AY1821" s="25"/>
      <c r="AZ1821" s="25"/>
      <c r="BA1821" s="25"/>
      <c r="BB1821" s="25"/>
      <c r="BC1821" s="25"/>
      <c r="BD1821" s="25"/>
      <c r="BE1821" s="25"/>
      <c r="BF1821" s="25"/>
      <c r="BG1821" s="25"/>
      <c r="BH1821" s="25"/>
      <c r="BI1821" s="25"/>
      <c r="BJ1821" s="25"/>
      <c r="BK1821" s="25"/>
      <c r="BL1821" s="25"/>
      <c r="BM1821" s="25"/>
      <c r="BN1821" s="25"/>
      <c r="BO1821" s="25"/>
      <c r="BP1821" s="25"/>
      <c r="BQ1821" s="25"/>
      <c r="BR1821" s="25"/>
      <c r="BS1821" s="25"/>
      <c r="BT1821" s="25"/>
      <c r="BU1821" s="25"/>
      <c r="BV1821" s="25"/>
      <c r="BW1821" s="25"/>
      <c r="BX1821" s="25"/>
      <c r="BY1821" s="25"/>
      <c r="BZ1821" s="25"/>
      <c r="CA1821" s="25"/>
      <c r="CB1821" s="25"/>
    </row>
    <row r="1822" spans="1:80" ht="12.75" customHeight="1">
      <c r="A1822" s="10">
        <f ca="1">IFERROR(__xludf.DUMMYFUNCTION("""COMPUTED_VALUE"""),2024)</f>
        <v>2024</v>
      </c>
      <c r="B1822" s="50"/>
      <c r="C1822" s="41"/>
      <c r="D1822" s="42" t="str">
        <f ca="1">IFERROR(__xludf.DUMMYFUNCTION("""COMPUTED_VALUE"""),"Yellow-browed Warbler")</f>
        <v>Yellow-browed Warbler</v>
      </c>
      <c r="E1822" s="53">
        <f ca="1">IFERROR(__xludf.DUMMYFUNCTION("""COMPUTED_VALUE"""),1)</f>
        <v>1</v>
      </c>
      <c r="F1822" s="15"/>
      <c r="G1822" s="44" t="str">
        <f ca="1">IFERROR(__xludf.DUMMYFUNCTION("""COMPUTED_VALUE"""),"Westbrook")</f>
        <v>Westbrook</v>
      </c>
      <c r="H1822" s="12">
        <f ca="1">IFERROR(__xludf.DUMMYFUNCTION("""COMPUTED_VALUE"""),45576)</f>
        <v>45576</v>
      </c>
      <c r="I1822" s="13"/>
      <c r="J1822" s="14"/>
      <c r="K1822" s="15"/>
      <c r="L1822" s="17" t="str">
        <f ca="1">IFERROR(__xludf.DUMMYFUNCTION("""COMPUTED_VALUE"""),"closed")</f>
        <v>closed</v>
      </c>
      <c r="M1822" s="17"/>
      <c r="N1822" s="15" t="str">
        <f ca="1">IFERROR(__xludf.DUMMYFUNCTION("""COMPUTED_VALUE"""),"exemption")</f>
        <v>exemption</v>
      </c>
      <c r="O1822" s="18" t="str">
        <f ca="1">IFERROR(__xludf.DUMMYFUNCTION("""COMPUTED_VALUE"""),"Birdguides")</f>
        <v>Birdguides</v>
      </c>
      <c r="P1822" s="15"/>
      <c r="Q1822" s="15"/>
      <c r="R1822" s="15"/>
      <c r="S1822" s="15"/>
      <c r="T1822" s="15"/>
      <c r="U1822" s="15"/>
      <c r="V1822" s="15"/>
      <c r="W1822" s="15"/>
      <c r="X1822" s="15"/>
      <c r="Y1822" s="15"/>
      <c r="Z1822" s="15"/>
      <c r="AA1822" s="15"/>
      <c r="AB1822" s="15"/>
      <c r="AC1822" s="15"/>
      <c r="AD1822" s="15"/>
      <c r="AE1822" s="15"/>
      <c r="AF1822" s="15"/>
      <c r="AG1822" s="15"/>
      <c r="AH1822" s="15"/>
      <c r="AI1822" s="15"/>
      <c r="AJ1822" s="15"/>
      <c r="AK1822" s="15"/>
      <c r="AL1822" s="15"/>
      <c r="AM1822" s="15"/>
      <c r="AN1822" s="15"/>
      <c r="AO1822" s="15"/>
      <c r="AP1822" s="15"/>
      <c r="AQ1822" s="15"/>
      <c r="AR1822" s="15"/>
      <c r="AS1822" s="15"/>
      <c r="AT1822" s="15"/>
      <c r="AU1822" s="15"/>
      <c r="AV1822" s="15"/>
      <c r="AW1822" s="15"/>
      <c r="AX1822" s="15"/>
      <c r="AY1822" s="15"/>
      <c r="AZ1822" s="15"/>
      <c r="BA1822" s="15"/>
      <c r="BB1822" s="15"/>
      <c r="BC1822" s="15"/>
      <c r="BD1822" s="15"/>
      <c r="BE1822" s="15"/>
      <c r="BF1822" s="15"/>
      <c r="BG1822" s="15"/>
      <c r="BH1822" s="15"/>
      <c r="BI1822" s="15"/>
      <c r="BJ1822" s="15"/>
      <c r="BK1822" s="15"/>
      <c r="BL1822" s="15"/>
      <c r="BM1822" s="15"/>
      <c r="BN1822" s="15"/>
      <c r="BO1822" s="15"/>
      <c r="BP1822" s="15"/>
      <c r="BQ1822" s="15"/>
      <c r="BR1822" s="15"/>
      <c r="BS1822" s="15"/>
      <c r="BT1822" s="15"/>
      <c r="BU1822" s="15"/>
      <c r="BV1822" s="15"/>
      <c r="BW1822" s="15"/>
      <c r="BX1822" s="15"/>
      <c r="BY1822" s="15"/>
      <c r="BZ1822" s="15"/>
      <c r="CA1822" s="15"/>
      <c r="CB1822" s="15"/>
    </row>
    <row r="1823" spans="1:80" ht="12.75" customHeight="1">
      <c r="A1823" s="20">
        <f ca="1">IFERROR(__xludf.DUMMYFUNCTION("""COMPUTED_VALUE"""),2024)</f>
        <v>2024</v>
      </c>
      <c r="B1823" s="45"/>
      <c r="C1823" s="46"/>
      <c r="D1823" s="47" t="str">
        <f ca="1">IFERROR(__xludf.DUMMYFUNCTION("""COMPUTED_VALUE"""),"Yellow-browed Warbler")</f>
        <v>Yellow-browed Warbler</v>
      </c>
      <c r="E1823" s="52">
        <f ca="1">IFERROR(__xludf.DUMMYFUNCTION("""COMPUTED_VALUE"""),1)</f>
        <v>1</v>
      </c>
      <c r="F1823" s="25"/>
      <c r="G1823" s="48" t="str">
        <f ca="1">IFERROR(__xludf.DUMMYFUNCTION("""COMPUTED_VALUE"""),"Woolston Eyes - Bed 1")</f>
        <v>Woolston Eyes - Bed 1</v>
      </c>
      <c r="H1823" s="22">
        <f ca="1">IFERROR(__xludf.DUMMYFUNCTION("""COMPUTED_VALUE"""),45576)</f>
        <v>45576</v>
      </c>
      <c r="I1823" s="23"/>
      <c r="J1823" s="24"/>
      <c r="K1823" s="25"/>
      <c r="L1823" s="27" t="str">
        <f ca="1">IFERROR(__xludf.DUMMYFUNCTION("""COMPUTED_VALUE"""),"closed")</f>
        <v>closed</v>
      </c>
      <c r="M1823" s="27"/>
      <c r="N1823" s="25" t="str">
        <f ca="1">IFERROR(__xludf.DUMMYFUNCTION("""COMPUTED_VALUE"""),"exemption")</f>
        <v>exemption</v>
      </c>
      <c r="O1823" s="28" t="str">
        <f ca="1">IFERROR(__xludf.DUMMYFUNCTION("""COMPUTED_VALUE"""),"Birdguides")</f>
        <v>Birdguides</v>
      </c>
      <c r="P1823" s="25"/>
      <c r="Q1823" s="25"/>
      <c r="R1823" s="25"/>
      <c r="S1823" s="25"/>
      <c r="T1823" s="25"/>
      <c r="U1823" s="25"/>
      <c r="V1823" s="25"/>
      <c r="W1823" s="25"/>
      <c r="X1823" s="25"/>
      <c r="Y1823" s="25"/>
      <c r="Z1823" s="25"/>
      <c r="AA1823" s="25"/>
      <c r="AB1823" s="25"/>
      <c r="AC1823" s="25"/>
      <c r="AD1823" s="25"/>
      <c r="AE1823" s="25"/>
      <c r="AF1823" s="25"/>
      <c r="AG1823" s="25"/>
      <c r="AH1823" s="25"/>
      <c r="AI1823" s="25"/>
      <c r="AJ1823" s="25"/>
      <c r="AK1823" s="25"/>
      <c r="AL1823" s="25"/>
      <c r="AM1823" s="25"/>
      <c r="AN1823" s="25"/>
      <c r="AO1823" s="25"/>
      <c r="AP1823" s="25"/>
      <c r="AQ1823" s="25"/>
      <c r="AR1823" s="25"/>
      <c r="AS1823" s="25"/>
      <c r="AT1823" s="25"/>
      <c r="AU1823" s="25"/>
      <c r="AV1823" s="25"/>
      <c r="AW1823" s="25"/>
      <c r="AX1823" s="25"/>
      <c r="AY1823" s="25"/>
      <c r="AZ1823" s="25"/>
      <c r="BA1823" s="25"/>
      <c r="BB1823" s="25"/>
      <c r="BC1823" s="25"/>
      <c r="BD1823" s="25"/>
      <c r="BE1823" s="25"/>
      <c r="BF1823" s="25"/>
      <c r="BG1823" s="25"/>
      <c r="BH1823" s="25"/>
      <c r="BI1823" s="25"/>
      <c r="BJ1823" s="25"/>
      <c r="BK1823" s="25"/>
      <c r="BL1823" s="25"/>
      <c r="BM1823" s="25"/>
      <c r="BN1823" s="25"/>
      <c r="BO1823" s="25"/>
      <c r="BP1823" s="25"/>
      <c r="BQ1823" s="25"/>
      <c r="BR1823" s="25"/>
      <c r="BS1823" s="25"/>
      <c r="BT1823" s="25"/>
      <c r="BU1823" s="25"/>
      <c r="BV1823" s="25"/>
      <c r="BW1823" s="25"/>
      <c r="BX1823" s="25"/>
      <c r="BY1823" s="25"/>
      <c r="BZ1823" s="25"/>
      <c r="CA1823" s="25"/>
      <c r="CB1823" s="25"/>
    </row>
    <row r="1824" spans="1:80" ht="12.75" customHeight="1">
      <c r="A1824" s="10">
        <f ca="1">IFERROR(__xludf.DUMMYFUNCTION("""COMPUTED_VALUE"""),2024)</f>
        <v>2024</v>
      </c>
      <c r="B1824" s="50"/>
      <c r="C1824" s="41"/>
      <c r="D1824" s="42" t="str">
        <f ca="1">IFERROR(__xludf.DUMMYFUNCTION("""COMPUTED_VALUE"""),"Yellow-browed Warbler")</f>
        <v>Yellow-browed Warbler</v>
      </c>
      <c r="E1824" s="53">
        <f ca="1">IFERROR(__xludf.DUMMYFUNCTION("""COMPUTED_VALUE"""),2)</f>
        <v>2</v>
      </c>
      <c r="F1824" s="15"/>
      <c r="G1824" s="44" t="str">
        <f ca="1">IFERROR(__xludf.DUMMYFUNCTION("""COMPUTED_VALUE"""),"Hoylake")</f>
        <v>Hoylake</v>
      </c>
      <c r="H1824" s="12">
        <f ca="1">IFERROR(__xludf.DUMMYFUNCTION("""COMPUTED_VALUE"""),45577)</f>
        <v>45577</v>
      </c>
      <c r="I1824" s="13"/>
      <c r="J1824" s="14"/>
      <c r="K1824" s="15" t="str">
        <f ca="1">IFERROR(__xludf.DUMMYFUNCTION("""COMPUTED_VALUE"""),"Turner, JE")</f>
        <v>Turner, JE</v>
      </c>
      <c r="L1824" s="17" t="str">
        <f ca="1">IFERROR(__xludf.DUMMYFUNCTION("""COMPUTED_VALUE"""),"closed")</f>
        <v>closed</v>
      </c>
      <c r="M1824" s="17"/>
      <c r="N1824" s="15" t="str">
        <f ca="1">IFERROR(__xludf.DUMMYFUNCTION("""COMPUTED_VALUE"""),"exemption")</f>
        <v>exemption</v>
      </c>
      <c r="O1824" s="18" t="str">
        <f ca="1">IFERROR(__xludf.DUMMYFUNCTION("""COMPUTED_VALUE"""),"2 caught, one retrap")</f>
        <v>2 caught, one retrap</v>
      </c>
      <c r="P1824" s="15"/>
      <c r="Q1824" s="15"/>
      <c r="R1824" s="15"/>
      <c r="S1824" s="15"/>
      <c r="T1824" s="15"/>
      <c r="U1824" s="15"/>
      <c r="V1824" s="15"/>
      <c r="W1824" s="15"/>
      <c r="X1824" s="15"/>
      <c r="Y1824" s="15"/>
      <c r="Z1824" s="15"/>
      <c r="AA1824" s="15"/>
      <c r="AB1824" s="15"/>
      <c r="AC1824" s="15"/>
      <c r="AD1824" s="15"/>
      <c r="AE1824" s="15"/>
      <c r="AF1824" s="15"/>
      <c r="AG1824" s="15"/>
      <c r="AH1824" s="15"/>
      <c r="AI1824" s="15"/>
      <c r="AJ1824" s="15"/>
      <c r="AK1824" s="15"/>
      <c r="AL1824" s="15"/>
      <c r="AM1824" s="15"/>
      <c r="AN1824" s="15"/>
      <c r="AO1824" s="15"/>
      <c r="AP1824" s="15"/>
      <c r="AQ1824" s="15"/>
      <c r="AR1824" s="15"/>
      <c r="AS1824" s="15"/>
      <c r="AT1824" s="15"/>
      <c r="AU1824" s="15"/>
      <c r="AV1824" s="15"/>
      <c r="AW1824" s="15"/>
      <c r="AX1824" s="15"/>
      <c r="AY1824" s="15"/>
      <c r="AZ1824" s="15"/>
      <c r="BA1824" s="15"/>
      <c r="BB1824" s="15"/>
      <c r="BC1824" s="15"/>
      <c r="BD1824" s="15"/>
      <c r="BE1824" s="15"/>
      <c r="BF1824" s="15"/>
      <c r="BG1824" s="15"/>
      <c r="BH1824" s="15"/>
      <c r="BI1824" s="15"/>
      <c r="BJ1824" s="15"/>
      <c r="BK1824" s="15"/>
      <c r="BL1824" s="15"/>
      <c r="BM1824" s="15"/>
      <c r="BN1824" s="15"/>
      <c r="BO1824" s="15"/>
      <c r="BP1824" s="15"/>
      <c r="BQ1824" s="15"/>
      <c r="BR1824" s="15"/>
      <c r="BS1824" s="15"/>
      <c r="BT1824" s="15"/>
      <c r="BU1824" s="15"/>
      <c r="BV1824" s="15"/>
      <c r="BW1824" s="15"/>
      <c r="BX1824" s="15"/>
      <c r="BY1824" s="15"/>
      <c r="BZ1824" s="15"/>
      <c r="CA1824" s="15"/>
      <c r="CB1824" s="15"/>
    </row>
    <row r="1825" spans="1:80" ht="12.75" customHeight="1">
      <c r="A1825" s="20">
        <f ca="1">IFERROR(__xludf.DUMMYFUNCTION("""COMPUTED_VALUE"""),2024)</f>
        <v>2024</v>
      </c>
      <c r="B1825" s="45">
        <f ca="1">IFERROR(__xludf.DUMMYFUNCTION("""COMPUTED_VALUE"""),45649)</f>
        <v>45649</v>
      </c>
      <c r="C1825" s="46">
        <f ca="1">IFERROR(__xludf.DUMMYFUNCTION("""COMPUTED_VALUE"""),45649)</f>
        <v>45649</v>
      </c>
      <c r="D1825" s="47" t="str">
        <f ca="1">IFERROR(__xludf.DUMMYFUNCTION("""COMPUTED_VALUE"""),"Yellow-browed Warbler")</f>
        <v>Yellow-browed Warbler</v>
      </c>
      <c r="E1825" s="52">
        <f ca="1">IFERROR(__xludf.DUMMYFUNCTION("""COMPUTED_VALUE"""),3)</f>
        <v>3</v>
      </c>
      <c r="F1825" s="25"/>
      <c r="G1825" s="48" t="str">
        <f ca="1">IFERROR(__xludf.DUMMYFUNCTION("""COMPUTED_VALUE"""),"Hoylake Municiple GC")</f>
        <v>Hoylake Municiple GC</v>
      </c>
      <c r="H1825" s="22">
        <f ca="1">IFERROR(__xludf.DUMMYFUNCTION("""COMPUTED_VALUE"""),45577)</f>
        <v>45577</v>
      </c>
      <c r="I1825" s="23"/>
      <c r="J1825" s="24"/>
      <c r="K1825" s="25"/>
      <c r="L1825" s="27" t="str">
        <f ca="1">IFERROR(__xludf.DUMMYFUNCTION("""COMPUTED_VALUE"""),"open")</f>
        <v>open</v>
      </c>
      <c r="M1825" s="27"/>
      <c r="N1825" s="25" t="str">
        <f ca="1">IFERROR(__xludf.DUMMYFUNCTION("""COMPUTED_VALUE"""),"In Circulation")</f>
        <v>In Circulation</v>
      </c>
      <c r="O1825" s="28"/>
      <c r="P1825" s="25"/>
      <c r="Q1825" s="25"/>
      <c r="R1825" s="25"/>
      <c r="S1825" s="25"/>
      <c r="T1825" s="25"/>
      <c r="U1825" s="25"/>
      <c r="V1825" s="25"/>
      <c r="W1825" s="25"/>
      <c r="X1825" s="25"/>
      <c r="Y1825" s="25"/>
      <c r="Z1825" s="25"/>
      <c r="AA1825" s="25"/>
      <c r="AB1825" s="25"/>
      <c r="AC1825" s="25"/>
      <c r="AD1825" s="25"/>
      <c r="AE1825" s="25"/>
      <c r="AF1825" s="25"/>
      <c r="AG1825" s="25"/>
      <c r="AH1825" s="25"/>
      <c r="AI1825" s="25"/>
      <c r="AJ1825" s="25"/>
      <c r="AK1825" s="25"/>
      <c r="AL1825" s="25"/>
      <c r="AM1825" s="25"/>
      <c r="AN1825" s="25"/>
      <c r="AO1825" s="25"/>
      <c r="AP1825" s="25"/>
      <c r="AQ1825" s="25"/>
      <c r="AR1825" s="25"/>
      <c r="AS1825" s="25"/>
      <c r="AT1825" s="25"/>
      <c r="AU1825" s="25"/>
      <c r="AV1825" s="25"/>
      <c r="AW1825" s="25"/>
      <c r="AX1825" s="25"/>
      <c r="AY1825" s="25"/>
      <c r="AZ1825" s="25"/>
      <c r="BA1825" s="25"/>
      <c r="BB1825" s="25"/>
      <c r="BC1825" s="25"/>
      <c r="BD1825" s="25"/>
      <c r="BE1825" s="25"/>
      <c r="BF1825" s="25"/>
      <c r="BG1825" s="25"/>
      <c r="BH1825" s="25"/>
      <c r="BI1825" s="25"/>
      <c r="BJ1825" s="25"/>
      <c r="BK1825" s="25"/>
      <c r="BL1825" s="25"/>
      <c r="BM1825" s="25"/>
      <c r="BN1825" s="25"/>
      <c r="BO1825" s="25"/>
      <c r="BP1825" s="25"/>
      <c r="BQ1825" s="25"/>
      <c r="BR1825" s="25"/>
      <c r="BS1825" s="25"/>
      <c r="BT1825" s="25"/>
      <c r="BU1825" s="25"/>
      <c r="BV1825" s="25"/>
      <c r="BW1825" s="25"/>
      <c r="BX1825" s="25"/>
      <c r="BY1825" s="25"/>
      <c r="BZ1825" s="25"/>
      <c r="CA1825" s="25"/>
      <c r="CB1825" s="25"/>
    </row>
    <row r="1826" spans="1:80" ht="12.75" customHeight="1">
      <c r="A1826" s="10">
        <f ca="1">IFERROR(__xludf.DUMMYFUNCTION("""COMPUTED_VALUE"""),2024)</f>
        <v>2024</v>
      </c>
      <c r="B1826" s="50">
        <f ca="1">IFERROR(__xludf.DUMMYFUNCTION("""COMPUTED_VALUE"""),45664)</f>
        <v>45664</v>
      </c>
      <c r="C1826" s="41">
        <f ca="1">IFERROR(__xludf.DUMMYFUNCTION("""COMPUTED_VALUE"""),45664)</f>
        <v>45664</v>
      </c>
      <c r="D1826" s="42" t="str">
        <f ca="1">IFERROR(__xludf.DUMMYFUNCTION("""COMPUTED_VALUE"""),"Yellow-browed Warbler")</f>
        <v>Yellow-browed Warbler</v>
      </c>
      <c r="E1826" s="53">
        <f ca="1">IFERROR(__xludf.DUMMYFUNCTION("""COMPUTED_VALUE"""),1)</f>
        <v>1</v>
      </c>
      <c r="F1826" s="15"/>
      <c r="G1826" s="44" t="str">
        <f ca="1">IFERROR(__xludf.DUMMYFUNCTION("""COMPUTED_VALUE"""),"Silver Lane LWS, Risley")</f>
        <v>Silver Lane LWS, Risley</v>
      </c>
      <c r="H1826" s="12">
        <f ca="1">IFERROR(__xludf.DUMMYFUNCTION("""COMPUTED_VALUE"""),45577)</f>
        <v>45577</v>
      </c>
      <c r="I1826" s="13"/>
      <c r="J1826" s="14"/>
      <c r="K1826" s="15"/>
      <c r="L1826" s="17" t="str">
        <f ca="1">IFERROR(__xludf.DUMMYFUNCTION("""COMPUTED_VALUE"""),"open")</f>
        <v>open</v>
      </c>
      <c r="M1826" s="17"/>
      <c r="N1826" s="15" t="str">
        <f ca="1">IFERROR(__xludf.DUMMYFUNCTION("""COMPUTED_VALUE"""),"in Circulation")</f>
        <v>in Circulation</v>
      </c>
      <c r="O1826" s="18"/>
      <c r="P1826" s="15"/>
      <c r="Q1826" s="15"/>
      <c r="R1826" s="15"/>
      <c r="S1826" s="15"/>
      <c r="T1826" s="15"/>
      <c r="U1826" s="15"/>
      <c r="V1826" s="15"/>
      <c r="W1826" s="15"/>
      <c r="X1826" s="15"/>
      <c r="Y1826" s="15"/>
      <c r="Z1826" s="15"/>
      <c r="AA1826" s="15"/>
      <c r="AB1826" s="15"/>
      <c r="AC1826" s="15"/>
      <c r="AD1826" s="15"/>
      <c r="AE1826" s="15"/>
      <c r="AF1826" s="15"/>
      <c r="AG1826" s="15"/>
      <c r="AH1826" s="15"/>
      <c r="AI1826" s="15"/>
      <c r="AJ1826" s="15"/>
      <c r="AK1826" s="15"/>
      <c r="AL1826" s="15"/>
      <c r="AM1826" s="15"/>
      <c r="AN1826" s="15"/>
      <c r="AO1826" s="15"/>
      <c r="AP1826" s="15"/>
      <c r="AQ1826" s="15"/>
      <c r="AR1826" s="15"/>
      <c r="AS1826" s="15"/>
      <c r="AT1826" s="15"/>
      <c r="AU1826" s="15"/>
      <c r="AV1826" s="15"/>
      <c r="AW1826" s="15"/>
      <c r="AX1826" s="15"/>
      <c r="AY1826" s="15"/>
      <c r="AZ1826" s="15"/>
      <c r="BA1826" s="15"/>
      <c r="BB1826" s="15"/>
      <c r="BC1826" s="15"/>
      <c r="BD1826" s="15"/>
      <c r="BE1826" s="15"/>
      <c r="BF1826" s="15"/>
      <c r="BG1826" s="15"/>
      <c r="BH1826" s="15"/>
      <c r="BI1826" s="15"/>
      <c r="BJ1826" s="15"/>
      <c r="BK1826" s="15"/>
      <c r="BL1826" s="15"/>
      <c r="BM1826" s="15"/>
      <c r="BN1826" s="15"/>
      <c r="BO1826" s="15"/>
      <c r="BP1826" s="15"/>
      <c r="BQ1826" s="15"/>
      <c r="BR1826" s="15"/>
      <c r="BS1826" s="15"/>
      <c r="BT1826" s="15"/>
      <c r="BU1826" s="15"/>
      <c r="BV1826" s="15"/>
      <c r="BW1826" s="15"/>
      <c r="BX1826" s="15"/>
      <c r="BY1826" s="15"/>
      <c r="BZ1826" s="15"/>
      <c r="CA1826" s="15"/>
      <c r="CB1826" s="15"/>
    </row>
    <row r="1827" spans="1:80" ht="12.75" customHeight="1">
      <c r="A1827" s="20">
        <f ca="1">IFERROR(__xludf.DUMMYFUNCTION("""COMPUTED_VALUE"""),2024)</f>
        <v>2024</v>
      </c>
      <c r="B1827" s="45"/>
      <c r="C1827" s="46"/>
      <c r="D1827" s="47" t="str">
        <f ca="1">IFERROR(__xludf.DUMMYFUNCTION("""COMPUTED_VALUE"""),"Yellow-browed Warbler")</f>
        <v>Yellow-browed Warbler</v>
      </c>
      <c r="E1827" s="52">
        <f ca="1">IFERROR(__xludf.DUMMYFUNCTION("""COMPUTED_VALUE"""),5)</f>
        <v>5</v>
      </c>
      <c r="F1827" s="25"/>
      <c r="G1827" s="48" t="str">
        <f ca="1">IFERROR(__xludf.DUMMYFUNCTION("""COMPUTED_VALUE"""),"Woolston Eyes - Bed 1")</f>
        <v>Woolston Eyes - Bed 1</v>
      </c>
      <c r="H1827" s="22">
        <f ca="1">IFERROR(__xludf.DUMMYFUNCTION("""COMPUTED_VALUE"""),45577)</f>
        <v>45577</v>
      </c>
      <c r="I1827" s="23"/>
      <c r="J1827" s="24"/>
      <c r="K1827" s="25"/>
      <c r="L1827" s="27" t="str">
        <f ca="1">IFERROR(__xludf.DUMMYFUNCTION("""COMPUTED_VALUE"""),"closed")</f>
        <v>closed</v>
      </c>
      <c r="M1827" s="27"/>
      <c r="N1827" s="25" t="str">
        <f ca="1">IFERROR(__xludf.DUMMYFUNCTION("""COMPUTED_VALUE"""),"exemption")</f>
        <v>exemption</v>
      </c>
      <c r="O1827" s="28" t="str">
        <f ca="1">IFERROR(__xludf.DUMMYFUNCTION("""COMPUTED_VALUE"""),"Birdguides")</f>
        <v>Birdguides</v>
      </c>
      <c r="P1827" s="25"/>
      <c r="Q1827" s="25"/>
      <c r="R1827" s="25"/>
      <c r="S1827" s="25"/>
      <c r="T1827" s="25"/>
      <c r="U1827" s="25"/>
      <c r="V1827" s="25"/>
      <c r="W1827" s="25"/>
      <c r="X1827" s="25"/>
      <c r="Y1827" s="25"/>
      <c r="Z1827" s="25"/>
      <c r="AA1827" s="25"/>
      <c r="AB1827" s="25"/>
      <c r="AC1827" s="25"/>
      <c r="AD1827" s="25"/>
      <c r="AE1827" s="25"/>
      <c r="AF1827" s="25"/>
      <c r="AG1827" s="25"/>
      <c r="AH1827" s="25"/>
      <c r="AI1827" s="25"/>
      <c r="AJ1827" s="25"/>
      <c r="AK1827" s="25"/>
      <c r="AL1827" s="25"/>
      <c r="AM1827" s="25"/>
      <c r="AN1827" s="25"/>
      <c r="AO1827" s="25"/>
      <c r="AP1827" s="25"/>
      <c r="AQ1827" s="25"/>
      <c r="AR1827" s="25"/>
      <c r="AS1827" s="25"/>
      <c r="AT1827" s="25"/>
      <c r="AU1827" s="25"/>
      <c r="AV1827" s="25"/>
      <c r="AW1827" s="25"/>
      <c r="AX1827" s="25"/>
      <c r="AY1827" s="25"/>
      <c r="AZ1827" s="25"/>
      <c r="BA1827" s="25"/>
      <c r="BB1827" s="25"/>
      <c r="BC1827" s="25"/>
      <c r="BD1827" s="25"/>
      <c r="BE1827" s="25"/>
      <c r="BF1827" s="25"/>
      <c r="BG1827" s="25"/>
      <c r="BH1827" s="25"/>
      <c r="BI1827" s="25"/>
      <c r="BJ1827" s="25"/>
      <c r="BK1827" s="25"/>
      <c r="BL1827" s="25"/>
      <c r="BM1827" s="25"/>
      <c r="BN1827" s="25"/>
      <c r="BO1827" s="25"/>
      <c r="BP1827" s="25"/>
      <c r="BQ1827" s="25"/>
      <c r="BR1827" s="25"/>
      <c r="BS1827" s="25"/>
      <c r="BT1827" s="25"/>
      <c r="BU1827" s="25"/>
      <c r="BV1827" s="25"/>
      <c r="BW1827" s="25"/>
      <c r="BX1827" s="25"/>
      <c r="BY1827" s="25"/>
      <c r="BZ1827" s="25"/>
      <c r="CA1827" s="25"/>
      <c r="CB1827" s="25"/>
    </row>
    <row r="1828" spans="1:80" ht="12.75" customHeight="1">
      <c r="A1828" s="10">
        <f ca="1">IFERROR(__xludf.DUMMYFUNCTION("""COMPUTED_VALUE"""),2024)</f>
        <v>2024</v>
      </c>
      <c r="B1828" s="50"/>
      <c r="C1828" s="41"/>
      <c r="D1828" s="42" t="str">
        <f ca="1">IFERROR(__xludf.DUMMYFUNCTION("""COMPUTED_VALUE"""),"Yellow-browed Warbler")</f>
        <v>Yellow-browed Warbler</v>
      </c>
      <c r="E1828" s="53">
        <f ca="1">IFERROR(__xludf.DUMMYFUNCTION("""COMPUTED_VALUE"""),1)</f>
        <v>1</v>
      </c>
      <c r="F1828" s="15"/>
      <c r="G1828" s="44" t="str">
        <f ca="1">IFERROR(__xludf.DUMMYFUNCTION("""COMPUTED_VALUE"""),"Thustaston")</f>
        <v>Thustaston</v>
      </c>
      <c r="H1828" s="12">
        <f ca="1">IFERROR(__xludf.DUMMYFUNCTION("""COMPUTED_VALUE"""),45578)</f>
        <v>45578</v>
      </c>
      <c r="I1828" s="13"/>
      <c r="J1828" s="14"/>
      <c r="K1828" s="15"/>
      <c r="L1828" s="17" t="str">
        <f ca="1">IFERROR(__xludf.DUMMYFUNCTION("""COMPUTED_VALUE"""),"closed")</f>
        <v>closed</v>
      </c>
      <c r="M1828" s="17"/>
      <c r="N1828" s="15" t="str">
        <f ca="1">IFERROR(__xludf.DUMMYFUNCTION("""COMPUTED_VALUE"""),"exemption")</f>
        <v>exemption</v>
      </c>
      <c r="O1828" s="18" t="str">
        <f ca="1">IFERROR(__xludf.DUMMYFUNCTION("""COMPUTED_VALUE"""),"Birdguides")</f>
        <v>Birdguides</v>
      </c>
      <c r="P1828" s="15"/>
      <c r="Q1828" s="15"/>
      <c r="R1828" s="15"/>
      <c r="S1828" s="15"/>
      <c r="T1828" s="15"/>
      <c r="U1828" s="15"/>
      <c r="V1828" s="15"/>
      <c r="W1828" s="15"/>
      <c r="X1828" s="15"/>
      <c r="Y1828" s="15"/>
      <c r="Z1828" s="15"/>
      <c r="AA1828" s="15"/>
      <c r="AB1828" s="15"/>
      <c r="AC1828" s="15"/>
      <c r="AD1828" s="15"/>
      <c r="AE1828" s="15"/>
      <c r="AF1828" s="15"/>
      <c r="AG1828" s="15"/>
      <c r="AH1828" s="15"/>
      <c r="AI1828" s="15"/>
      <c r="AJ1828" s="15"/>
      <c r="AK1828" s="15"/>
      <c r="AL1828" s="15"/>
      <c r="AM1828" s="15"/>
      <c r="AN1828" s="15"/>
      <c r="AO1828" s="15"/>
      <c r="AP1828" s="15"/>
      <c r="AQ1828" s="15"/>
      <c r="AR1828" s="15"/>
      <c r="AS1828" s="15"/>
      <c r="AT1828" s="15"/>
      <c r="AU1828" s="15"/>
      <c r="AV1828" s="15"/>
      <c r="AW1828" s="15"/>
      <c r="AX1828" s="15"/>
      <c r="AY1828" s="15"/>
      <c r="AZ1828" s="15"/>
      <c r="BA1828" s="15"/>
      <c r="BB1828" s="15"/>
      <c r="BC1828" s="15"/>
      <c r="BD1828" s="15"/>
      <c r="BE1828" s="15"/>
      <c r="BF1828" s="15"/>
      <c r="BG1828" s="15"/>
      <c r="BH1828" s="15"/>
      <c r="BI1828" s="15"/>
      <c r="BJ1828" s="15"/>
      <c r="BK1828" s="15"/>
      <c r="BL1828" s="15"/>
      <c r="BM1828" s="15"/>
      <c r="BN1828" s="15"/>
      <c r="BO1828" s="15"/>
      <c r="BP1828" s="15"/>
      <c r="BQ1828" s="15"/>
      <c r="BR1828" s="15"/>
      <c r="BS1828" s="15"/>
      <c r="BT1828" s="15"/>
      <c r="BU1828" s="15"/>
      <c r="BV1828" s="15"/>
      <c r="BW1828" s="15"/>
      <c r="BX1828" s="15"/>
      <c r="BY1828" s="15"/>
      <c r="BZ1828" s="15"/>
      <c r="CA1828" s="15"/>
      <c r="CB1828" s="15"/>
    </row>
    <row r="1829" spans="1:80" ht="12.75" customHeight="1">
      <c r="A1829" s="20">
        <f ca="1">IFERROR(__xludf.DUMMYFUNCTION("""COMPUTED_VALUE"""),2024)</f>
        <v>2024</v>
      </c>
      <c r="B1829" s="45"/>
      <c r="C1829" s="46"/>
      <c r="D1829" s="47" t="str">
        <f ca="1">IFERROR(__xludf.DUMMYFUNCTION("""COMPUTED_VALUE"""),"Yellow-browed Warbler")</f>
        <v>Yellow-browed Warbler</v>
      </c>
      <c r="E1829" s="52">
        <f ca="1">IFERROR(__xludf.DUMMYFUNCTION("""COMPUTED_VALUE"""),1)</f>
        <v>1</v>
      </c>
      <c r="F1829" s="25"/>
      <c r="G1829" s="48" t="str">
        <f ca="1">IFERROR(__xludf.DUMMYFUNCTION("""COMPUTED_VALUE"""),"Silver Lane Pools")</f>
        <v>Silver Lane Pools</v>
      </c>
      <c r="H1829" s="22">
        <f ca="1">IFERROR(__xludf.DUMMYFUNCTION("""COMPUTED_VALUE"""),45579)</f>
        <v>45579</v>
      </c>
      <c r="I1829" s="23"/>
      <c r="J1829" s="24"/>
      <c r="K1829" s="25"/>
      <c r="L1829" s="27" t="str">
        <f ca="1">IFERROR(__xludf.DUMMYFUNCTION("""COMPUTED_VALUE"""),"closed")</f>
        <v>closed</v>
      </c>
      <c r="M1829" s="27"/>
      <c r="N1829" s="25" t="str">
        <f ca="1">IFERROR(__xludf.DUMMYFUNCTION("""COMPUTED_VALUE"""),"exemption")</f>
        <v>exemption</v>
      </c>
      <c r="O1829" s="28" t="str">
        <f ca="1">IFERROR(__xludf.DUMMYFUNCTION("""COMPUTED_VALUE"""),"Birdguides")</f>
        <v>Birdguides</v>
      </c>
      <c r="P1829" s="25"/>
      <c r="Q1829" s="25"/>
      <c r="R1829" s="25"/>
      <c r="S1829" s="25"/>
      <c r="T1829" s="25"/>
      <c r="U1829" s="25"/>
      <c r="V1829" s="25"/>
      <c r="W1829" s="25"/>
      <c r="X1829" s="25"/>
      <c r="Y1829" s="25"/>
      <c r="Z1829" s="25"/>
      <c r="AA1829" s="25"/>
      <c r="AB1829" s="25"/>
      <c r="AC1829" s="25"/>
      <c r="AD1829" s="25"/>
      <c r="AE1829" s="25"/>
      <c r="AF1829" s="25"/>
      <c r="AG1829" s="25"/>
      <c r="AH1829" s="25"/>
      <c r="AI1829" s="25"/>
      <c r="AJ1829" s="25"/>
      <c r="AK1829" s="25"/>
      <c r="AL1829" s="25"/>
      <c r="AM1829" s="25"/>
      <c r="AN1829" s="25"/>
      <c r="AO1829" s="25"/>
      <c r="AP1829" s="25"/>
      <c r="AQ1829" s="25"/>
      <c r="AR1829" s="25"/>
      <c r="AS1829" s="25"/>
      <c r="AT1829" s="25"/>
      <c r="AU1829" s="25"/>
      <c r="AV1829" s="25"/>
      <c r="AW1829" s="25"/>
      <c r="AX1829" s="25"/>
      <c r="AY1829" s="25"/>
      <c r="AZ1829" s="25"/>
      <c r="BA1829" s="25"/>
      <c r="BB1829" s="25"/>
      <c r="BC1829" s="25"/>
      <c r="BD1829" s="25"/>
      <c r="BE1829" s="25"/>
      <c r="BF1829" s="25"/>
      <c r="BG1829" s="25"/>
      <c r="BH1829" s="25"/>
      <c r="BI1829" s="25"/>
      <c r="BJ1829" s="25"/>
      <c r="BK1829" s="25"/>
      <c r="BL1829" s="25"/>
      <c r="BM1829" s="25"/>
      <c r="BN1829" s="25"/>
      <c r="BO1829" s="25"/>
      <c r="BP1829" s="25"/>
      <c r="BQ1829" s="25"/>
      <c r="BR1829" s="25"/>
      <c r="BS1829" s="25"/>
      <c r="BT1829" s="25"/>
      <c r="BU1829" s="25"/>
      <c r="BV1829" s="25"/>
      <c r="BW1829" s="25"/>
      <c r="BX1829" s="25"/>
      <c r="BY1829" s="25"/>
      <c r="BZ1829" s="25"/>
      <c r="CA1829" s="25"/>
      <c r="CB1829" s="25"/>
    </row>
    <row r="1830" spans="1:80" ht="12.75" customHeight="1">
      <c r="A1830" s="10">
        <f ca="1">IFERROR(__xludf.DUMMYFUNCTION("""COMPUTED_VALUE"""),2024)</f>
        <v>2024</v>
      </c>
      <c r="B1830" s="50"/>
      <c r="C1830" s="41"/>
      <c r="D1830" s="42" t="str">
        <f ca="1">IFERROR(__xludf.DUMMYFUNCTION("""COMPUTED_VALUE"""),"Yellow-browed Warbler")</f>
        <v>Yellow-browed Warbler</v>
      </c>
      <c r="E1830" s="53">
        <f ca="1">IFERROR(__xludf.DUMMYFUNCTION("""COMPUTED_VALUE"""),2)</f>
        <v>2</v>
      </c>
      <c r="F1830" s="15"/>
      <c r="G1830" s="44" t="str">
        <f ca="1">IFERROR(__xludf.DUMMYFUNCTION("""COMPUTED_VALUE"""),"Woolston Eyes - Bed 1")</f>
        <v>Woolston Eyes - Bed 1</v>
      </c>
      <c r="H1830" s="12">
        <f ca="1">IFERROR(__xludf.DUMMYFUNCTION("""COMPUTED_VALUE"""),45579)</f>
        <v>45579</v>
      </c>
      <c r="I1830" s="13"/>
      <c r="J1830" s="14"/>
      <c r="K1830" s="15"/>
      <c r="L1830" s="17" t="str">
        <f ca="1">IFERROR(__xludf.DUMMYFUNCTION("""COMPUTED_VALUE"""),"closed")</f>
        <v>closed</v>
      </c>
      <c r="M1830" s="17"/>
      <c r="N1830" s="15" t="str">
        <f ca="1">IFERROR(__xludf.DUMMYFUNCTION("""COMPUTED_VALUE"""),"exemption")</f>
        <v>exemption</v>
      </c>
      <c r="O1830" s="18" t="str">
        <f ca="1">IFERROR(__xludf.DUMMYFUNCTION("""COMPUTED_VALUE"""),"ringed")</f>
        <v>ringed</v>
      </c>
      <c r="P1830" s="15"/>
      <c r="Q1830" s="15"/>
      <c r="R1830" s="15"/>
      <c r="S1830" s="15"/>
      <c r="T1830" s="15"/>
      <c r="U1830" s="15"/>
      <c r="V1830" s="15"/>
      <c r="W1830" s="15"/>
      <c r="X1830" s="15"/>
      <c r="Y1830" s="15"/>
      <c r="Z1830" s="15"/>
      <c r="AA1830" s="15"/>
      <c r="AB1830" s="15"/>
      <c r="AC1830" s="15"/>
      <c r="AD1830" s="15"/>
      <c r="AE1830" s="15"/>
      <c r="AF1830" s="15"/>
      <c r="AG1830" s="15"/>
      <c r="AH1830" s="15"/>
      <c r="AI1830" s="15"/>
      <c r="AJ1830" s="15"/>
      <c r="AK1830" s="15"/>
      <c r="AL1830" s="15"/>
      <c r="AM1830" s="15"/>
      <c r="AN1830" s="15"/>
      <c r="AO1830" s="15"/>
      <c r="AP1830" s="15"/>
      <c r="AQ1830" s="15"/>
      <c r="AR1830" s="15"/>
      <c r="AS1830" s="15"/>
      <c r="AT1830" s="15"/>
      <c r="AU1830" s="15"/>
      <c r="AV1830" s="15"/>
      <c r="AW1830" s="15"/>
      <c r="AX1830" s="15"/>
      <c r="AY1830" s="15"/>
      <c r="AZ1830" s="15"/>
      <c r="BA1830" s="15"/>
      <c r="BB1830" s="15"/>
      <c r="BC1830" s="15"/>
      <c r="BD1830" s="15"/>
      <c r="BE1830" s="15"/>
      <c r="BF1830" s="15"/>
      <c r="BG1830" s="15"/>
      <c r="BH1830" s="15"/>
      <c r="BI1830" s="15"/>
      <c r="BJ1830" s="15"/>
      <c r="BK1830" s="15"/>
      <c r="BL1830" s="15"/>
      <c r="BM1830" s="15"/>
      <c r="BN1830" s="15"/>
      <c r="BO1830" s="15"/>
      <c r="BP1830" s="15"/>
      <c r="BQ1830" s="15"/>
      <c r="BR1830" s="15"/>
      <c r="BS1830" s="15"/>
      <c r="BT1830" s="15"/>
      <c r="BU1830" s="15"/>
      <c r="BV1830" s="15"/>
      <c r="BW1830" s="15"/>
      <c r="BX1830" s="15"/>
      <c r="BY1830" s="15"/>
      <c r="BZ1830" s="15"/>
      <c r="CA1830" s="15"/>
      <c r="CB1830" s="15"/>
    </row>
    <row r="1831" spans="1:80" ht="12.75" customHeight="1">
      <c r="A1831" s="20">
        <f ca="1">IFERROR(__xludf.DUMMYFUNCTION("""COMPUTED_VALUE"""),2024)</f>
        <v>2024</v>
      </c>
      <c r="B1831" s="45"/>
      <c r="C1831" s="46"/>
      <c r="D1831" s="47" t="str">
        <f ca="1">IFERROR(__xludf.DUMMYFUNCTION("""COMPUTED_VALUE"""),"Yellow-browed Warbler")</f>
        <v>Yellow-browed Warbler</v>
      </c>
      <c r="E1831" s="52">
        <f ca="1">IFERROR(__xludf.DUMMYFUNCTION("""COMPUTED_VALUE"""),4)</f>
        <v>4</v>
      </c>
      <c r="F1831" s="25"/>
      <c r="G1831" s="48" t="str">
        <f ca="1">IFERROR(__xludf.DUMMYFUNCTION("""COMPUTED_VALUE"""),"Hoylake")</f>
        <v>Hoylake</v>
      </c>
      <c r="H1831" s="22">
        <f ca="1">IFERROR(__xludf.DUMMYFUNCTION("""COMPUTED_VALUE"""),45583)</f>
        <v>45583</v>
      </c>
      <c r="I1831" s="23"/>
      <c r="J1831" s="24"/>
      <c r="K1831" s="25" t="str">
        <f ca="1">IFERROR(__xludf.DUMMYFUNCTION("""COMPUTED_VALUE"""),"Turner, JE")</f>
        <v>Turner, JE</v>
      </c>
      <c r="L1831" s="27" t="str">
        <f ca="1">IFERROR(__xludf.DUMMYFUNCTION("""COMPUTED_VALUE"""),"closed")</f>
        <v>closed</v>
      </c>
      <c r="M1831" s="27"/>
      <c r="N1831" s="25" t="str">
        <f ca="1">IFERROR(__xludf.DUMMYFUNCTION("""COMPUTED_VALUE"""),"exemption")</f>
        <v>exemption</v>
      </c>
      <c r="O1831" s="28" t="str">
        <f ca="1">IFERROR(__xludf.DUMMYFUNCTION("""COMPUTED_VALUE"""),"3 birds ringed, at least one more present")</f>
        <v>3 birds ringed, at least one more present</v>
      </c>
      <c r="P1831" s="25"/>
      <c r="Q1831" s="25"/>
      <c r="R1831" s="25"/>
      <c r="S1831" s="25"/>
      <c r="T1831" s="25"/>
      <c r="U1831" s="25"/>
      <c r="V1831" s="25"/>
      <c r="W1831" s="25"/>
      <c r="X1831" s="25"/>
      <c r="Y1831" s="25"/>
      <c r="Z1831" s="25"/>
      <c r="AA1831" s="25"/>
      <c r="AB1831" s="25"/>
      <c r="AC1831" s="25"/>
      <c r="AD1831" s="25"/>
      <c r="AE1831" s="25"/>
      <c r="AF1831" s="25"/>
      <c r="AG1831" s="25"/>
      <c r="AH1831" s="25"/>
      <c r="AI1831" s="25"/>
      <c r="AJ1831" s="25"/>
      <c r="AK1831" s="25"/>
      <c r="AL1831" s="25"/>
      <c r="AM1831" s="25"/>
      <c r="AN1831" s="25"/>
      <c r="AO1831" s="25"/>
      <c r="AP1831" s="25"/>
      <c r="AQ1831" s="25"/>
      <c r="AR1831" s="25"/>
      <c r="AS1831" s="25"/>
      <c r="AT1831" s="25"/>
      <c r="AU1831" s="25"/>
      <c r="AV1831" s="25"/>
      <c r="AW1831" s="25"/>
      <c r="AX1831" s="25"/>
      <c r="AY1831" s="25"/>
      <c r="AZ1831" s="25"/>
      <c r="BA1831" s="25"/>
      <c r="BB1831" s="25"/>
      <c r="BC1831" s="25"/>
      <c r="BD1831" s="25"/>
      <c r="BE1831" s="25"/>
      <c r="BF1831" s="25"/>
      <c r="BG1831" s="25"/>
      <c r="BH1831" s="25"/>
      <c r="BI1831" s="25"/>
      <c r="BJ1831" s="25"/>
      <c r="BK1831" s="25"/>
      <c r="BL1831" s="25"/>
      <c r="BM1831" s="25"/>
      <c r="BN1831" s="25"/>
      <c r="BO1831" s="25"/>
      <c r="BP1831" s="25"/>
      <c r="BQ1831" s="25"/>
      <c r="BR1831" s="25"/>
      <c r="BS1831" s="25"/>
      <c r="BT1831" s="25"/>
      <c r="BU1831" s="25"/>
      <c r="BV1831" s="25"/>
      <c r="BW1831" s="25"/>
      <c r="BX1831" s="25"/>
      <c r="BY1831" s="25"/>
      <c r="BZ1831" s="25"/>
      <c r="CA1831" s="25"/>
      <c r="CB1831" s="25"/>
    </row>
    <row r="1832" spans="1:80" ht="12.75" customHeight="1">
      <c r="A1832" s="10">
        <f ca="1">IFERROR(__xludf.DUMMYFUNCTION("""COMPUTED_VALUE"""),2024)</f>
        <v>2024</v>
      </c>
      <c r="B1832" s="50"/>
      <c r="C1832" s="41"/>
      <c r="D1832" s="42" t="str">
        <f ca="1">IFERROR(__xludf.DUMMYFUNCTION("""COMPUTED_VALUE"""),"Yellow-browed Warbler")</f>
        <v>Yellow-browed Warbler</v>
      </c>
      <c r="E1832" s="53">
        <f ca="1">IFERROR(__xludf.DUMMYFUNCTION("""COMPUTED_VALUE"""),1)</f>
        <v>1</v>
      </c>
      <c r="F1832" s="15"/>
      <c r="G1832" s="44" t="str">
        <f ca="1">IFERROR(__xludf.DUMMYFUNCTION("""COMPUTED_VALUE"""),"Leasowe")</f>
        <v>Leasowe</v>
      </c>
      <c r="H1832" s="12">
        <f ca="1">IFERROR(__xludf.DUMMYFUNCTION("""COMPUTED_VALUE"""),45583)</f>
        <v>45583</v>
      </c>
      <c r="I1832" s="13"/>
      <c r="J1832" s="14"/>
      <c r="K1832" s="15"/>
      <c r="L1832" s="17" t="str">
        <f ca="1">IFERROR(__xludf.DUMMYFUNCTION("""COMPUTED_VALUE"""),"closed")</f>
        <v>closed</v>
      </c>
      <c r="M1832" s="17"/>
      <c r="N1832" s="15" t="str">
        <f ca="1">IFERROR(__xludf.DUMMYFUNCTION("""COMPUTED_VALUE"""),"exemption")</f>
        <v>exemption</v>
      </c>
      <c r="O1832" s="18" t="str">
        <f ca="1">IFERROR(__xludf.DUMMYFUNCTION("""COMPUTED_VALUE"""),"Birdguides")</f>
        <v>Birdguides</v>
      </c>
      <c r="P1832" s="15"/>
      <c r="Q1832" s="15"/>
      <c r="R1832" s="15"/>
      <c r="S1832" s="15"/>
      <c r="T1832" s="15"/>
      <c r="U1832" s="15"/>
      <c r="V1832" s="15"/>
      <c r="W1832" s="15"/>
      <c r="X1832" s="15"/>
      <c r="Y1832" s="15"/>
      <c r="Z1832" s="15"/>
      <c r="AA1832" s="15"/>
      <c r="AB1832" s="15"/>
      <c r="AC1832" s="15"/>
      <c r="AD1832" s="15"/>
      <c r="AE1832" s="15"/>
      <c r="AF1832" s="15"/>
      <c r="AG1832" s="15"/>
      <c r="AH1832" s="15"/>
      <c r="AI1832" s="15"/>
      <c r="AJ1832" s="15"/>
      <c r="AK1832" s="15"/>
      <c r="AL1832" s="15"/>
      <c r="AM1832" s="15"/>
      <c r="AN1832" s="15"/>
      <c r="AO1832" s="15"/>
      <c r="AP1832" s="15"/>
      <c r="AQ1832" s="15"/>
      <c r="AR1832" s="15"/>
      <c r="AS1832" s="15"/>
      <c r="AT1832" s="15"/>
      <c r="AU1832" s="15"/>
      <c r="AV1832" s="15"/>
      <c r="AW1832" s="15"/>
      <c r="AX1832" s="15"/>
      <c r="AY1832" s="15"/>
      <c r="AZ1832" s="15"/>
      <c r="BA1832" s="15"/>
      <c r="BB1832" s="15"/>
      <c r="BC1832" s="15"/>
      <c r="BD1832" s="15"/>
      <c r="BE1832" s="15"/>
      <c r="BF1832" s="15"/>
      <c r="BG1832" s="15"/>
      <c r="BH1832" s="15"/>
      <c r="BI1832" s="15"/>
      <c r="BJ1832" s="15"/>
      <c r="BK1832" s="15"/>
      <c r="BL1832" s="15"/>
      <c r="BM1832" s="15"/>
      <c r="BN1832" s="15"/>
      <c r="BO1832" s="15"/>
      <c r="BP1832" s="15"/>
      <c r="BQ1832" s="15"/>
      <c r="BR1832" s="15"/>
      <c r="BS1832" s="15"/>
      <c r="BT1832" s="15"/>
      <c r="BU1832" s="15"/>
      <c r="BV1832" s="15"/>
      <c r="BW1832" s="15"/>
      <c r="BX1832" s="15"/>
      <c r="BY1832" s="15"/>
      <c r="BZ1832" s="15"/>
      <c r="CA1832" s="15"/>
      <c r="CB1832" s="15"/>
    </row>
    <row r="1833" spans="1:80" ht="12.75" customHeight="1">
      <c r="A1833" s="20">
        <f ca="1">IFERROR(__xludf.DUMMYFUNCTION("""COMPUTED_VALUE"""),2024)</f>
        <v>2024</v>
      </c>
      <c r="B1833" s="45"/>
      <c r="C1833" s="46"/>
      <c r="D1833" s="47" t="str">
        <f ca="1">IFERROR(__xludf.DUMMYFUNCTION("""COMPUTED_VALUE"""),"Yellow-browed Warbler")</f>
        <v>Yellow-browed Warbler</v>
      </c>
      <c r="E1833" s="52">
        <f ca="1">IFERROR(__xludf.DUMMYFUNCTION("""COMPUTED_VALUE"""),1)</f>
        <v>1</v>
      </c>
      <c r="F1833" s="25"/>
      <c r="G1833" s="48" t="str">
        <f ca="1">IFERROR(__xludf.DUMMYFUNCTION("""COMPUTED_VALUE"""),"Moore- Hilcrest Quarry")</f>
        <v>Moore- Hilcrest Quarry</v>
      </c>
      <c r="H1833" s="22">
        <f ca="1">IFERROR(__xludf.DUMMYFUNCTION("""COMPUTED_VALUE"""),45583)</f>
        <v>45583</v>
      </c>
      <c r="I1833" s="23"/>
      <c r="J1833" s="24"/>
      <c r="K1833" s="25"/>
      <c r="L1833" s="27" t="str">
        <f ca="1">IFERROR(__xludf.DUMMYFUNCTION("""COMPUTED_VALUE"""),"closed")</f>
        <v>closed</v>
      </c>
      <c r="M1833" s="27"/>
      <c r="N1833" s="25" t="str">
        <f ca="1">IFERROR(__xludf.DUMMYFUNCTION("""COMPUTED_VALUE"""),"exemption")</f>
        <v>exemption</v>
      </c>
      <c r="O1833" s="28" t="str">
        <f ca="1">IFERROR(__xludf.DUMMYFUNCTION("""COMPUTED_VALUE"""),"Birdguides")</f>
        <v>Birdguides</v>
      </c>
      <c r="P1833" s="25"/>
      <c r="Q1833" s="25"/>
      <c r="R1833" s="25"/>
      <c r="S1833" s="25"/>
      <c r="T1833" s="25"/>
      <c r="U1833" s="25"/>
      <c r="V1833" s="25"/>
      <c r="W1833" s="25"/>
      <c r="X1833" s="25"/>
      <c r="Y1833" s="25"/>
      <c r="Z1833" s="25"/>
      <c r="AA1833" s="25"/>
      <c r="AB1833" s="25"/>
      <c r="AC1833" s="25"/>
      <c r="AD1833" s="25"/>
      <c r="AE1833" s="25"/>
      <c r="AF1833" s="25"/>
      <c r="AG1833" s="25"/>
      <c r="AH1833" s="25"/>
      <c r="AI1833" s="25"/>
      <c r="AJ1833" s="25"/>
      <c r="AK1833" s="25"/>
      <c r="AL1833" s="25"/>
      <c r="AM1833" s="25"/>
      <c r="AN1833" s="25"/>
      <c r="AO1833" s="25"/>
      <c r="AP1833" s="25"/>
      <c r="AQ1833" s="25"/>
      <c r="AR1833" s="25"/>
      <c r="AS1833" s="25"/>
      <c r="AT1833" s="25"/>
      <c r="AU1833" s="25"/>
      <c r="AV1833" s="25"/>
      <c r="AW1833" s="25"/>
      <c r="AX1833" s="25"/>
      <c r="AY1833" s="25"/>
      <c r="AZ1833" s="25"/>
      <c r="BA1833" s="25"/>
      <c r="BB1833" s="25"/>
      <c r="BC1833" s="25"/>
      <c r="BD1833" s="25"/>
      <c r="BE1833" s="25"/>
      <c r="BF1833" s="25"/>
      <c r="BG1833" s="25"/>
      <c r="BH1833" s="25"/>
      <c r="BI1833" s="25"/>
      <c r="BJ1833" s="25"/>
      <c r="BK1833" s="25"/>
      <c r="BL1833" s="25"/>
      <c r="BM1833" s="25"/>
      <c r="BN1833" s="25"/>
      <c r="BO1833" s="25"/>
      <c r="BP1833" s="25"/>
      <c r="BQ1833" s="25"/>
      <c r="BR1833" s="25"/>
      <c r="BS1833" s="25"/>
      <c r="BT1833" s="25"/>
      <c r="BU1833" s="25"/>
      <c r="BV1833" s="25"/>
      <c r="BW1833" s="25"/>
      <c r="BX1833" s="25"/>
      <c r="BY1833" s="25"/>
      <c r="BZ1833" s="25"/>
      <c r="CA1833" s="25"/>
      <c r="CB1833" s="25"/>
    </row>
    <row r="1834" spans="1:80" ht="12.75" customHeight="1">
      <c r="A1834" s="10">
        <f ca="1">IFERROR(__xludf.DUMMYFUNCTION("""COMPUTED_VALUE"""),2024)</f>
        <v>2024</v>
      </c>
      <c r="B1834" s="50"/>
      <c r="C1834" s="41"/>
      <c r="D1834" s="42" t="str">
        <f ca="1">IFERROR(__xludf.DUMMYFUNCTION("""COMPUTED_VALUE"""),"Yellow-browed Warbler")</f>
        <v>Yellow-browed Warbler</v>
      </c>
      <c r="E1834" s="53">
        <f ca="1">IFERROR(__xludf.DUMMYFUNCTION("""COMPUTED_VALUE"""),1)</f>
        <v>1</v>
      </c>
      <c r="F1834" s="15"/>
      <c r="G1834" s="44" t="str">
        <f ca="1">IFERROR(__xludf.DUMMYFUNCTION("""COMPUTED_VALUE"""),"Moore- Hilcrest Quarry")</f>
        <v>Moore- Hilcrest Quarry</v>
      </c>
      <c r="H1834" s="12">
        <f ca="1">IFERROR(__xludf.DUMMYFUNCTION("""COMPUTED_VALUE"""),45583)</f>
        <v>45583</v>
      </c>
      <c r="I1834" s="13"/>
      <c r="J1834" s="14"/>
      <c r="K1834" s="15"/>
      <c r="L1834" s="17" t="str">
        <f ca="1">IFERROR(__xludf.DUMMYFUNCTION("""COMPUTED_VALUE"""),"closed")</f>
        <v>closed</v>
      </c>
      <c r="M1834" s="17"/>
      <c r="N1834" s="15" t="str">
        <f ca="1">IFERROR(__xludf.DUMMYFUNCTION("""COMPUTED_VALUE"""),"exemption")</f>
        <v>exemption</v>
      </c>
      <c r="O1834" s="18" t="str">
        <f ca="1">IFERROR(__xludf.DUMMYFUNCTION("""COMPUTED_VALUE"""),"Birdguides")</f>
        <v>Birdguides</v>
      </c>
      <c r="P1834" s="15"/>
      <c r="Q1834" s="15"/>
      <c r="R1834" s="15"/>
      <c r="S1834" s="15"/>
      <c r="T1834" s="15"/>
      <c r="U1834" s="15"/>
      <c r="V1834" s="15"/>
      <c r="W1834" s="15"/>
      <c r="X1834" s="15"/>
      <c r="Y1834" s="15"/>
      <c r="Z1834" s="15"/>
      <c r="AA1834" s="15"/>
      <c r="AB1834" s="15"/>
      <c r="AC1834" s="15"/>
      <c r="AD1834" s="15"/>
      <c r="AE1834" s="15"/>
      <c r="AF1834" s="15"/>
      <c r="AG1834" s="15"/>
      <c r="AH1834" s="15"/>
      <c r="AI1834" s="15"/>
      <c r="AJ1834" s="15"/>
      <c r="AK1834" s="15"/>
      <c r="AL1834" s="15"/>
      <c r="AM1834" s="15"/>
      <c r="AN1834" s="15"/>
      <c r="AO1834" s="15"/>
      <c r="AP1834" s="15"/>
      <c r="AQ1834" s="15"/>
      <c r="AR1834" s="15"/>
      <c r="AS1834" s="15"/>
      <c r="AT1834" s="15"/>
      <c r="AU1834" s="15"/>
      <c r="AV1834" s="15"/>
      <c r="AW1834" s="15"/>
      <c r="AX1834" s="15"/>
      <c r="AY1834" s="15"/>
      <c r="AZ1834" s="15"/>
      <c r="BA1834" s="15"/>
      <c r="BB1834" s="15"/>
      <c r="BC1834" s="15"/>
      <c r="BD1834" s="15"/>
      <c r="BE1834" s="15"/>
      <c r="BF1834" s="15"/>
      <c r="BG1834" s="15"/>
      <c r="BH1834" s="15"/>
      <c r="BI1834" s="15"/>
      <c r="BJ1834" s="15"/>
      <c r="BK1834" s="15"/>
      <c r="BL1834" s="15"/>
      <c r="BM1834" s="15"/>
      <c r="BN1834" s="15"/>
      <c r="BO1834" s="15"/>
      <c r="BP1834" s="15"/>
      <c r="BQ1834" s="15"/>
      <c r="BR1834" s="15"/>
      <c r="BS1834" s="15"/>
      <c r="BT1834" s="15"/>
      <c r="BU1834" s="15"/>
      <c r="BV1834" s="15"/>
      <c r="BW1834" s="15"/>
      <c r="BX1834" s="15"/>
      <c r="BY1834" s="15"/>
      <c r="BZ1834" s="15"/>
      <c r="CA1834" s="15"/>
      <c r="CB1834" s="15"/>
    </row>
    <row r="1835" spans="1:80" ht="12.75" customHeight="1">
      <c r="A1835" s="20">
        <f ca="1">IFERROR(__xludf.DUMMYFUNCTION("""COMPUTED_VALUE"""),2024)</f>
        <v>2024</v>
      </c>
      <c r="B1835" s="45">
        <f ca="1">IFERROR(__xludf.DUMMYFUNCTION("""COMPUTED_VALUE"""),45757)</f>
        <v>45757</v>
      </c>
      <c r="C1835" s="46"/>
      <c r="D1835" s="47" t="str">
        <f ca="1">IFERROR(__xludf.DUMMYFUNCTION("""COMPUTED_VALUE"""),"Yellow-browed Warbler")</f>
        <v>Yellow-browed Warbler</v>
      </c>
      <c r="E1835" s="52">
        <f ca="1">IFERROR(__xludf.DUMMYFUNCTION("""COMPUTED_VALUE"""),4)</f>
        <v>4</v>
      </c>
      <c r="F1835" s="25"/>
      <c r="G1835" s="48" t="str">
        <f ca="1">IFERROR(__xludf.DUMMYFUNCTION("""COMPUTED_VALUE"""),"Rostherne")</f>
        <v>Rostherne</v>
      </c>
      <c r="H1835" s="22">
        <f ca="1">IFERROR(__xludf.DUMMYFUNCTION("""COMPUTED_VALUE"""),45583)</f>
        <v>45583</v>
      </c>
      <c r="I1835" s="23"/>
      <c r="J1835" s="24" t="str">
        <f ca="1">IFERROR(__xludf.DUMMYFUNCTION("""COMPUTED_VALUE"""),"Adshead, John")</f>
        <v>Adshead, John</v>
      </c>
      <c r="K1835" s="25" t="str">
        <f ca="1">IFERROR(__xludf.DUMMYFUNCTION("""COMPUTED_VALUE"""),"Adshead, John")</f>
        <v>Adshead, John</v>
      </c>
      <c r="L1835" s="27" t="str">
        <f ca="1">IFERROR(__xludf.DUMMYFUNCTION("""COMPUTED_VALUE"""),"closed")</f>
        <v>closed</v>
      </c>
      <c r="M1835" s="27"/>
      <c r="N1835" s="25" t="str">
        <f ca="1">IFERROR(__xludf.DUMMYFUNCTION("""COMPUTED_VALUE"""),"Accepted ")</f>
        <v xml:space="preserve">Accepted </v>
      </c>
      <c r="O1835" s="28" t="str">
        <f ca="1">IFERROR(__xludf.DUMMYFUNCTION("""COMPUTED_VALUE"""),"Photo, trrapped and ringed")</f>
        <v>Photo, trrapped and ringed</v>
      </c>
      <c r="P1835" s="25"/>
      <c r="Q1835" s="25"/>
      <c r="R1835" s="25"/>
      <c r="S1835" s="25"/>
      <c r="T1835" s="25"/>
      <c r="U1835" s="25"/>
      <c r="V1835" s="25"/>
      <c r="W1835" s="25"/>
      <c r="X1835" s="25"/>
      <c r="Y1835" s="25"/>
      <c r="Z1835" s="25"/>
      <c r="AA1835" s="25"/>
      <c r="AB1835" s="25"/>
      <c r="AC1835" s="25"/>
      <c r="AD1835" s="25"/>
      <c r="AE1835" s="25"/>
      <c r="AF1835" s="25"/>
      <c r="AG1835" s="25"/>
      <c r="AH1835" s="25"/>
      <c r="AI1835" s="25"/>
      <c r="AJ1835" s="25"/>
      <c r="AK1835" s="25"/>
      <c r="AL1835" s="25"/>
      <c r="AM1835" s="25"/>
      <c r="AN1835" s="25"/>
      <c r="AO1835" s="25"/>
      <c r="AP1835" s="25"/>
      <c r="AQ1835" s="25"/>
      <c r="AR1835" s="25"/>
      <c r="AS1835" s="25"/>
      <c r="AT1835" s="25"/>
      <c r="AU1835" s="25"/>
      <c r="AV1835" s="25"/>
      <c r="AW1835" s="25"/>
      <c r="AX1835" s="25"/>
      <c r="AY1835" s="25"/>
      <c r="AZ1835" s="25"/>
      <c r="BA1835" s="25"/>
      <c r="BB1835" s="25"/>
      <c r="BC1835" s="25"/>
      <c r="BD1835" s="25"/>
      <c r="BE1835" s="25"/>
      <c r="BF1835" s="25"/>
      <c r="BG1835" s="25"/>
      <c r="BH1835" s="25"/>
      <c r="BI1835" s="25"/>
      <c r="BJ1835" s="25"/>
      <c r="BK1835" s="25"/>
      <c r="BL1835" s="25"/>
      <c r="BM1835" s="25"/>
      <c r="BN1835" s="25"/>
      <c r="BO1835" s="25"/>
      <c r="BP1835" s="25"/>
      <c r="BQ1835" s="25"/>
      <c r="BR1835" s="25"/>
      <c r="BS1835" s="25"/>
      <c r="BT1835" s="25"/>
      <c r="BU1835" s="25"/>
      <c r="BV1835" s="25"/>
      <c r="BW1835" s="25"/>
      <c r="BX1835" s="25"/>
      <c r="BY1835" s="25"/>
      <c r="BZ1835" s="25"/>
      <c r="CA1835" s="25"/>
      <c r="CB1835" s="25"/>
    </row>
    <row r="1836" spans="1:80" ht="12.75" customHeight="1">
      <c r="A1836" s="10">
        <f ca="1">IFERROR(__xludf.DUMMYFUNCTION("""COMPUTED_VALUE"""),2024)</f>
        <v>2024</v>
      </c>
      <c r="B1836" s="50"/>
      <c r="C1836" s="41"/>
      <c r="D1836" s="42" t="str">
        <f ca="1">IFERROR(__xludf.DUMMYFUNCTION("""COMPUTED_VALUE"""),"Yellow-browed Warbler")</f>
        <v>Yellow-browed Warbler</v>
      </c>
      <c r="E1836" s="53">
        <f ca="1">IFERROR(__xludf.DUMMYFUNCTION("""COMPUTED_VALUE"""),1)</f>
        <v>1</v>
      </c>
      <c r="F1836" s="15"/>
      <c r="G1836" s="44" t="str">
        <f ca="1">IFERROR(__xludf.DUMMYFUNCTION("""COMPUTED_VALUE"""),"Hoylake")</f>
        <v>Hoylake</v>
      </c>
      <c r="H1836" s="12">
        <f ca="1">IFERROR(__xludf.DUMMYFUNCTION("""COMPUTED_VALUE"""),45584)</f>
        <v>45584</v>
      </c>
      <c r="I1836" s="13"/>
      <c r="J1836" s="14"/>
      <c r="K1836" s="15"/>
      <c r="L1836" s="17" t="str">
        <f ca="1">IFERROR(__xludf.DUMMYFUNCTION("""COMPUTED_VALUE"""),"closed")</f>
        <v>closed</v>
      </c>
      <c r="M1836" s="17"/>
      <c r="N1836" s="15" t="str">
        <f ca="1">IFERROR(__xludf.DUMMYFUNCTION("""COMPUTED_VALUE"""),"exemption")</f>
        <v>exemption</v>
      </c>
      <c r="O1836" s="18" t="str">
        <f ca="1">IFERROR(__xludf.DUMMYFUNCTION("""COMPUTED_VALUE"""),"Birdguides")</f>
        <v>Birdguides</v>
      </c>
      <c r="P1836" s="15"/>
      <c r="Q1836" s="15"/>
      <c r="R1836" s="15"/>
      <c r="S1836" s="15"/>
      <c r="T1836" s="15"/>
      <c r="U1836" s="15"/>
      <c r="V1836" s="15"/>
      <c r="W1836" s="15"/>
      <c r="X1836" s="15"/>
      <c r="Y1836" s="15"/>
      <c r="Z1836" s="15"/>
      <c r="AA1836" s="15"/>
      <c r="AB1836" s="15"/>
      <c r="AC1836" s="15"/>
      <c r="AD1836" s="15"/>
      <c r="AE1836" s="15"/>
      <c r="AF1836" s="15"/>
      <c r="AG1836" s="15"/>
      <c r="AH1836" s="15"/>
      <c r="AI1836" s="15"/>
      <c r="AJ1836" s="15"/>
      <c r="AK1836" s="15"/>
      <c r="AL1836" s="15"/>
      <c r="AM1836" s="15"/>
      <c r="AN1836" s="15"/>
      <c r="AO1836" s="15"/>
      <c r="AP1836" s="15"/>
      <c r="AQ1836" s="15"/>
      <c r="AR1836" s="15"/>
      <c r="AS1836" s="15"/>
      <c r="AT1836" s="15"/>
      <c r="AU1836" s="15"/>
      <c r="AV1836" s="15"/>
      <c r="AW1836" s="15"/>
      <c r="AX1836" s="15"/>
      <c r="AY1836" s="15"/>
      <c r="AZ1836" s="15"/>
      <c r="BA1836" s="15"/>
      <c r="BB1836" s="15"/>
      <c r="BC1836" s="15"/>
      <c r="BD1836" s="15"/>
      <c r="BE1836" s="15"/>
      <c r="BF1836" s="15"/>
      <c r="BG1836" s="15"/>
      <c r="BH1836" s="15"/>
      <c r="BI1836" s="15"/>
      <c r="BJ1836" s="15"/>
      <c r="BK1836" s="15"/>
      <c r="BL1836" s="15"/>
      <c r="BM1836" s="15"/>
      <c r="BN1836" s="15"/>
      <c r="BO1836" s="15"/>
      <c r="BP1836" s="15"/>
      <c r="BQ1836" s="15"/>
      <c r="BR1836" s="15"/>
      <c r="BS1836" s="15"/>
      <c r="BT1836" s="15"/>
      <c r="BU1836" s="15"/>
      <c r="BV1836" s="15"/>
      <c r="BW1836" s="15"/>
      <c r="BX1836" s="15"/>
      <c r="BY1836" s="15"/>
      <c r="BZ1836" s="15"/>
      <c r="CA1836" s="15"/>
      <c r="CB1836" s="15"/>
    </row>
    <row r="1837" spans="1:80" ht="12.75" customHeight="1">
      <c r="A1837" s="20">
        <f ca="1">IFERROR(__xludf.DUMMYFUNCTION("""COMPUTED_VALUE"""),2024)</f>
        <v>2024</v>
      </c>
      <c r="B1837" s="46"/>
      <c r="C1837" s="46"/>
      <c r="D1837" s="47" t="str">
        <f ca="1">IFERROR(__xludf.DUMMYFUNCTION("""COMPUTED_VALUE"""),"Yellow-browed Warbler")</f>
        <v>Yellow-browed Warbler</v>
      </c>
      <c r="E1837" s="25">
        <f ca="1">IFERROR(__xludf.DUMMYFUNCTION("""COMPUTED_VALUE"""),1)</f>
        <v>1</v>
      </c>
      <c r="F1837" s="25"/>
      <c r="G1837" s="48" t="str">
        <f ca="1">IFERROR(__xludf.DUMMYFUNCTION("""COMPUTED_VALUE"""),"Meols, Roman Rd")</f>
        <v>Meols, Roman Rd</v>
      </c>
      <c r="H1837" s="22">
        <f ca="1">IFERROR(__xludf.DUMMYFUNCTION("""COMPUTED_VALUE"""),45584)</f>
        <v>45584</v>
      </c>
      <c r="I1837" s="23"/>
      <c r="J1837" s="24"/>
      <c r="K1837" s="25"/>
      <c r="L1837" s="26" t="str">
        <f ca="1">IFERROR(__xludf.DUMMYFUNCTION("""COMPUTED_VALUE"""),"closed")</f>
        <v>closed</v>
      </c>
      <c r="M1837" s="27"/>
      <c r="N1837" s="25" t="str">
        <f ca="1">IFERROR(__xludf.DUMMYFUNCTION("""COMPUTED_VALUE"""),"exemption")</f>
        <v>exemption</v>
      </c>
      <c r="O1837" s="28" t="str">
        <f ca="1">IFERROR(__xludf.DUMMYFUNCTION("""COMPUTED_VALUE"""),"Birdguides")</f>
        <v>Birdguides</v>
      </c>
      <c r="P1837" s="25"/>
      <c r="Q1837" s="25"/>
      <c r="R1837" s="25"/>
      <c r="S1837" s="25"/>
      <c r="T1837" s="25"/>
      <c r="U1837" s="25"/>
      <c r="V1837" s="25"/>
      <c r="W1837" s="25"/>
      <c r="X1837" s="25"/>
      <c r="Y1837" s="25"/>
      <c r="Z1837" s="25"/>
      <c r="AA1837" s="25"/>
      <c r="AB1837" s="25"/>
      <c r="AC1837" s="25"/>
      <c r="AD1837" s="25"/>
      <c r="AE1837" s="25"/>
      <c r="AF1837" s="25"/>
      <c r="AG1837" s="25"/>
      <c r="AH1837" s="25"/>
      <c r="AI1837" s="25"/>
      <c r="AJ1837" s="25"/>
      <c r="AK1837" s="25"/>
      <c r="AL1837" s="25"/>
      <c r="AM1837" s="25"/>
      <c r="AN1837" s="25"/>
      <c r="AO1837" s="25"/>
      <c r="AP1837" s="25"/>
      <c r="AQ1837" s="25"/>
      <c r="AR1837" s="25"/>
      <c r="AS1837" s="25"/>
      <c r="AT1837" s="25"/>
      <c r="AU1837" s="25"/>
      <c r="AV1837" s="25"/>
      <c r="AW1837" s="25"/>
      <c r="AX1837" s="25"/>
      <c r="AY1837" s="25"/>
      <c r="AZ1837" s="25"/>
      <c r="BA1837" s="25"/>
      <c r="BB1837" s="25"/>
      <c r="BC1837" s="25"/>
      <c r="BD1837" s="25"/>
      <c r="BE1837" s="25"/>
      <c r="BF1837" s="25"/>
      <c r="BG1837" s="25"/>
      <c r="BH1837" s="25"/>
      <c r="BI1837" s="25"/>
      <c r="BJ1837" s="25"/>
      <c r="BK1837" s="25"/>
      <c r="BL1837" s="25"/>
      <c r="BM1837" s="25"/>
      <c r="BN1837" s="25"/>
      <c r="BO1837" s="25"/>
      <c r="BP1837" s="25"/>
      <c r="BQ1837" s="25"/>
      <c r="BR1837" s="25"/>
      <c r="BS1837" s="25"/>
      <c r="BT1837" s="25"/>
      <c r="BU1837" s="25"/>
      <c r="BV1837" s="25"/>
      <c r="BW1837" s="25"/>
      <c r="BX1837" s="25"/>
      <c r="BY1837" s="25"/>
      <c r="BZ1837" s="25"/>
      <c r="CA1837" s="25"/>
      <c r="CB1837" s="25"/>
    </row>
    <row r="1838" spans="1:80" ht="12.75" customHeight="1">
      <c r="A1838" s="10">
        <f ca="1">IFERROR(__xludf.DUMMYFUNCTION("""COMPUTED_VALUE"""),2024)</f>
        <v>2024</v>
      </c>
      <c r="B1838" s="41"/>
      <c r="C1838" s="41"/>
      <c r="D1838" s="42" t="str">
        <f ca="1">IFERROR(__xludf.DUMMYFUNCTION("""COMPUTED_VALUE"""),"Yellow-browed Warbler")</f>
        <v>Yellow-browed Warbler</v>
      </c>
      <c r="E1838" s="15">
        <f ca="1">IFERROR(__xludf.DUMMYFUNCTION("""COMPUTED_VALUE"""),1)</f>
        <v>1</v>
      </c>
      <c r="F1838" s="15"/>
      <c r="G1838" s="44" t="str">
        <f ca="1">IFERROR(__xludf.DUMMYFUNCTION("""COMPUTED_VALUE"""),"Pickering's Pasture")</f>
        <v>Pickering's Pasture</v>
      </c>
      <c r="H1838" s="12">
        <f ca="1">IFERROR(__xludf.DUMMYFUNCTION("""COMPUTED_VALUE"""),45584)</f>
        <v>45584</v>
      </c>
      <c r="I1838" s="13"/>
      <c r="J1838" s="14"/>
      <c r="K1838" s="15"/>
      <c r="L1838" s="16" t="str">
        <f ca="1">IFERROR(__xludf.DUMMYFUNCTION("""COMPUTED_VALUE"""),"closed")</f>
        <v>closed</v>
      </c>
      <c r="M1838" s="17"/>
      <c r="N1838" s="15" t="str">
        <f ca="1">IFERROR(__xludf.DUMMYFUNCTION("""COMPUTED_VALUE"""),"exemption")</f>
        <v>exemption</v>
      </c>
      <c r="O1838" s="18" t="str">
        <f ca="1">IFERROR(__xludf.DUMMYFUNCTION("""COMPUTED_VALUE"""),"Birdguides")</f>
        <v>Birdguides</v>
      </c>
      <c r="P1838" s="15"/>
      <c r="Q1838" s="15"/>
      <c r="R1838" s="15"/>
      <c r="S1838" s="15"/>
      <c r="T1838" s="15"/>
      <c r="U1838" s="15"/>
      <c r="V1838" s="15"/>
      <c r="W1838" s="15"/>
      <c r="X1838" s="15"/>
      <c r="Y1838" s="15"/>
      <c r="Z1838" s="15"/>
      <c r="AA1838" s="15"/>
      <c r="AB1838" s="15"/>
      <c r="AC1838" s="15"/>
      <c r="AD1838" s="15"/>
      <c r="AE1838" s="15"/>
      <c r="AF1838" s="15"/>
      <c r="AG1838" s="15"/>
      <c r="AH1838" s="15"/>
      <c r="AI1838" s="15"/>
      <c r="AJ1838" s="15"/>
      <c r="AK1838" s="15"/>
      <c r="AL1838" s="15"/>
      <c r="AM1838" s="15"/>
      <c r="AN1838" s="15"/>
      <c r="AO1838" s="15"/>
      <c r="AP1838" s="15"/>
      <c r="AQ1838" s="15"/>
      <c r="AR1838" s="15"/>
      <c r="AS1838" s="15"/>
      <c r="AT1838" s="15"/>
      <c r="AU1838" s="15"/>
      <c r="AV1838" s="15"/>
      <c r="AW1838" s="15"/>
      <c r="AX1838" s="15"/>
      <c r="AY1838" s="15"/>
      <c r="AZ1838" s="15"/>
      <c r="BA1838" s="15"/>
      <c r="BB1838" s="15"/>
      <c r="BC1838" s="15"/>
      <c r="BD1838" s="15"/>
      <c r="BE1838" s="15"/>
      <c r="BF1838" s="15"/>
      <c r="BG1838" s="15"/>
      <c r="BH1838" s="15"/>
      <c r="BI1838" s="15"/>
      <c r="BJ1838" s="15"/>
      <c r="BK1838" s="15"/>
      <c r="BL1838" s="15"/>
      <c r="BM1838" s="15"/>
      <c r="BN1838" s="15"/>
      <c r="BO1838" s="15"/>
      <c r="BP1838" s="15"/>
      <c r="BQ1838" s="15"/>
      <c r="BR1838" s="15"/>
      <c r="BS1838" s="15"/>
      <c r="BT1838" s="15"/>
      <c r="BU1838" s="15"/>
      <c r="BV1838" s="15"/>
      <c r="BW1838" s="15"/>
      <c r="BX1838" s="15"/>
      <c r="BY1838" s="15"/>
      <c r="BZ1838" s="15"/>
      <c r="CA1838" s="15"/>
      <c r="CB1838" s="15"/>
    </row>
    <row r="1839" spans="1:80" ht="12.75" customHeight="1">
      <c r="A1839" s="20">
        <f ca="1">IFERROR(__xludf.DUMMYFUNCTION("""COMPUTED_VALUE"""),2024)</f>
        <v>2024</v>
      </c>
      <c r="B1839" s="46"/>
      <c r="C1839" s="46"/>
      <c r="D1839" s="47" t="str">
        <f ca="1">IFERROR(__xludf.DUMMYFUNCTION("""COMPUTED_VALUE"""),"Yellow-browed Warbler")</f>
        <v>Yellow-browed Warbler</v>
      </c>
      <c r="E1839" s="25">
        <f ca="1">IFERROR(__xludf.DUMMYFUNCTION("""COMPUTED_VALUE"""),1)</f>
        <v>1</v>
      </c>
      <c r="F1839" s="25"/>
      <c r="G1839" s="48" t="str">
        <f ca="1">IFERROR(__xludf.DUMMYFUNCTION("""COMPUTED_VALUE"""),"Woolston, Butchersfield Tip")</f>
        <v>Woolston, Butchersfield Tip</v>
      </c>
      <c r="H1839" s="22">
        <f ca="1">IFERROR(__xludf.DUMMYFUNCTION("""COMPUTED_VALUE"""),45584)</f>
        <v>45584</v>
      </c>
      <c r="I1839" s="22">
        <f ca="1">IFERROR(__xludf.DUMMYFUNCTION("""COMPUTED_VALUE"""),45584)</f>
        <v>45584</v>
      </c>
      <c r="J1839" s="24"/>
      <c r="K1839" s="25"/>
      <c r="L1839" s="26" t="str">
        <f ca="1">IFERROR(__xludf.DUMMYFUNCTION("""COMPUTED_VALUE"""),"closed")</f>
        <v>closed</v>
      </c>
      <c r="M1839" s="27"/>
      <c r="N1839" s="25" t="str">
        <f ca="1">IFERROR(__xludf.DUMMYFUNCTION("""COMPUTED_VALUE"""),"exemption")</f>
        <v>exemption</v>
      </c>
      <c r="O1839" s="28" t="str">
        <f ca="1">IFERROR(__xludf.DUMMYFUNCTION("""COMPUTED_VALUE"""),"Birdguides")</f>
        <v>Birdguides</v>
      </c>
      <c r="P1839" s="25"/>
      <c r="Q1839" s="25"/>
      <c r="R1839" s="25"/>
      <c r="S1839" s="25"/>
      <c r="T1839" s="25"/>
      <c r="U1839" s="25"/>
      <c r="V1839" s="25"/>
      <c r="W1839" s="25"/>
      <c r="X1839" s="25"/>
      <c r="Y1839" s="25"/>
      <c r="Z1839" s="25"/>
      <c r="AA1839" s="25"/>
      <c r="AB1839" s="25"/>
      <c r="AC1839" s="25"/>
      <c r="AD1839" s="25"/>
      <c r="AE1839" s="25"/>
      <c r="AF1839" s="25"/>
      <c r="AG1839" s="25"/>
      <c r="AH1839" s="25"/>
      <c r="AI1839" s="25"/>
      <c r="AJ1839" s="25"/>
      <c r="AK1839" s="25"/>
      <c r="AL1839" s="25"/>
      <c r="AM1839" s="25"/>
      <c r="AN1839" s="25"/>
      <c r="AO1839" s="25"/>
      <c r="AP1839" s="25"/>
      <c r="AQ1839" s="25"/>
      <c r="AR1839" s="25"/>
      <c r="AS1839" s="25"/>
      <c r="AT1839" s="25"/>
      <c r="AU1839" s="25"/>
      <c r="AV1839" s="25"/>
      <c r="AW1839" s="25"/>
      <c r="AX1839" s="25"/>
      <c r="AY1839" s="25"/>
      <c r="AZ1839" s="25"/>
      <c r="BA1839" s="25"/>
      <c r="BB1839" s="25"/>
      <c r="BC1839" s="25"/>
      <c r="BD1839" s="25"/>
      <c r="BE1839" s="25"/>
      <c r="BF1839" s="25"/>
      <c r="BG1839" s="25"/>
      <c r="BH1839" s="25"/>
      <c r="BI1839" s="25"/>
      <c r="BJ1839" s="25"/>
      <c r="BK1839" s="25"/>
      <c r="BL1839" s="25"/>
      <c r="BM1839" s="25"/>
      <c r="BN1839" s="25"/>
      <c r="BO1839" s="25"/>
      <c r="BP1839" s="25"/>
      <c r="BQ1839" s="25"/>
      <c r="BR1839" s="25"/>
      <c r="BS1839" s="25"/>
      <c r="BT1839" s="25"/>
      <c r="BU1839" s="25"/>
      <c r="BV1839" s="25"/>
      <c r="BW1839" s="25"/>
      <c r="BX1839" s="25"/>
      <c r="BY1839" s="25"/>
      <c r="BZ1839" s="25"/>
      <c r="CA1839" s="25"/>
      <c r="CB1839" s="25"/>
    </row>
    <row r="1840" spans="1:80" ht="12.75" customHeight="1">
      <c r="A1840" s="10">
        <f ca="1">IFERROR(__xludf.DUMMYFUNCTION("""COMPUTED_VALUE"""),2024)</f>
        <v>2024</v>
      </c>
      <c r="B1840" s="41">
        <f ca="1">IFERROR(__xludf.DUMMYFUNCTION("""COMPUTED_VALUE"""),45757)</f>
        <v>45757</v>
      </c>
      <c r="C1840" s="41"/>
      <c r="D1840" s="42" t="str">
        <f ca="1">IFERROR(__xludf.DUMMYFUNCTION("""COMPUTED_VALUE"""),"Yellow-browed Warbler")</f>
        <v>Yellow-browed Warbler</v>
      </c>
      <c r="E1840" s="15">
        <f ca="1">IFERROR(__xludf.DUMMYFUNCTION("""COMPUTED_VALUE"""),1)</f>
        <v>1</v>
      </c>
      <c r="F1840" s="15"/>
      <c r="G1840" s="44" t="str">
        <f ca="1">IFERROR(__xludf.DUMMYFUNCTION("""COMPUTED_VALUE"""),"Rostherne")</f>
        <v>Rostherne</v>
      </c>
      <c r="H1840" s="12">
        <f ca="1">IFERROR(__xludf.DUMMYFUNCTION("""COMPUTED_VALUE"""),45586)</f>
        <v>45586</v>
      </c>
      <c r="I1840" s="13"/>
      <c r="J1840" s="14" t="str">
        <f ca="1">IFERROR(__xludf.DUMMYFUNCTION("""COMPUTED_VALUE"""),"Adshead, John")</f>
        <v>Adshead, John</v>
      </c>
      <c r="K1840" s="15" t="str">
        <f ca="1">IFERROR(__xludf.DUMMYFUNCTION("""COMPUTED_VALUE"""),"Adshead, John")</f>
        <v>Adshead, John</v>
      </c>
      <c r="L1840" s="16" t="str">
        <f ca="1">IFERROR(__xludf.DUMMYFUNCTION("""COMPUTED_VALUE"""),"closed")</f>
        <v>closed</v>
      </c>
      <c r="M1840" s="17"/>
      <c r="N1840" s="15" t="str">
        <f ca="1">IFERROR(__xludf.DUMMYFUNCTION("""COMPUTED_VALUE"""),"Accepted ")</f>
        <v xml:space="preserve">Accepted </v>
      </c>
      <c r="O1840" s="18" t="str">
        <f ca="1">IFERROR(__xludf.DUMMYFUNCTION("""COMPUTED_VALUE"""),"Photo, trrapped and ringed")</f>
        <v>Photo, trrapped and ringed</v>
      </c>
      <c r="P1840" s="15"/>
      <c r="Q1840" s="15"/>
      <c r="R1840" s="15"/>
      <c r="S1840" s="15"/>
      <c r="T1840" s="15"/>
      <c r="U1840" s="15"/>
      <c r="V1840" s="15"/>
      <c r="W1840" s="15"/>
      <c r="X1840" s="15"/>
      <c r="Y1840" s="15"/>
      <c r="Z1840" s="15"/>
      <c r="AA1840" s="15"/>
      <c r="AB1840" s="15"/>
      <c r="AC1840" s="15"/>
      <c r="AD1840" s="15"/>
      <c r="AE1840" s="15"/>
      <c r="AF1840" s="15"/>
      <c r="AG1840" s="15"/>
      <c r="AH1840" s="15"/>
      <c r="AI1840" s="15"/>
      <c r="AJ1840" s="15"/>
      <c r="AK1840" s="15"/>
      <c r="AL1840" s="15"/>
      <c r="AM1840" s="15"/>
      <c r="AN1840" s="15"/>
      <c r="AO1840" s="15"/>
      <c r="AP1840" s="15"/>
      <c r="AQ1840" s="15"/>
      <c r="AR1840" s="15"/>
      <c r="AS1840" s="15"/>
      <c r="AT1840" s="15"/>
      <c r="AU1840" s="15"/>
      <c r="AV1840" s="15"/>
      <c r="AW1840" s="15"/>
      <c r="AX1840" s="15"/>
      <c r="AY1840" s="15"/>
      <c r="AZ1840" s="15"/>
      <c r="BA1840" s="15"/>
      <c r="BB1840" s="15"/>
      <c r="BC1840" s="15"/>
      <c r="BD1840" s="15"/>
      <c r="BE1840" s="15"/>
      <c r="BF1840" s="15"/>
      <c r="BG1840" s="15"/>
      <c r="BH1840" s="15"/>
      <c r="BI1840" s="15"/>
      <c r="BJ1840" s="15"/>
      <c r="BK1840" s="15"/>
      <c r="BL1840" s="15"/>
      <c r="BM1840" s="15"/>
      <c r="BN1840" s="15"/>
      <c r="BO1840" s="15"/>
      <c r="BP1840" s="15"/>
      <c r="BQ1840" s="15"/>
      <c r="BR1840" s="15"/>
      <c r="BS1840" s="15"/>
      <c r="BT1840" s="15"/>
      <c r="BU1840" s="15"/>
      <c r="BV1840" s="15"/>
      <c r="BW1840" s="15"/>
      <c r="BX1840" s="15"/>
      <c r="BY1840" s="15"/>
      <c r="BZ1840" s="15"/>
      <c r="CA1840" s="15"/>
      <c r="CB1840" s="15"/>
    </row>
    <row r="1841" spans="1:80" ht="12.75" customHeight="1">
      <c r="A1841" s="20">
        <f ca="1">IFERROR(__xludf.DUMMYFUNCTION("""COMPUTED_VALUE"""),2024)</f>
        <v>2024</v>
      </c>
      <c r="B1841" s="46"/>
      <c r="C1841" s="46"/>
      <c r="D1841" s="47" t="str">
        <f ca="1">IFERROR(__xludf.DUMMYFUNCTION("""COMPUTED_VALUE"""),"Yellow-browed Warbler")</f>
        <v>Yellow-browed Warbler</v>
      </c>
      <c r="E1841" s="25">
        <f ca="1">IFERROR(__xludf.DUMMYFUNCTION("""COMPUTED_VALUE"""),1)</f>
        <v>1</v>
      </c>
      <c r="F1841" s="25"/>
      <c r="G1841" s="48" t="str">
        <f ca="1">IFERROR(__xludf.DUMMYFUNCTION("""COMPUTED_VALUE"""),"Warford")</f>
        <v>Warford</v>
      </c>
      <c r="H1841" s="22">
        <f ca="1">IFERROR(__xludf.DUMMYFUNCTION("""COMPUTED_VALUE"""),45586)</f>
        <v>45586</v>
      </c>
      <c r="I1841" s="23"/>
      <c r="J1841" s="24"/>
      <c r="K1841" s="25"/>
      <c r="L1841" s="26" t="str">
        <f ca="1">IFERROR(__xludf.DUMMYFUNCTION("""COMPUTED_VALUE"""),"closed")</f>
        <v>closed</v>
      </c>
      <c r="M1841" s="27"/>
      <c r="N1841" s="25" t="str">
        <f ca="1">IFERROR(__xludf.DUMMYFUNCTION("""COMPUTED_VALUE"""),"exemption")</f>
        <v>exemption</v>
      </c>
      <c r="O1841" s="28" t="str">
        <f ca="1">IFERROR(__xludf.DUMMYFUNCTION("""COMPUTED_VALUE"""),"Birdguides")</f>
        <v>Birdguides</v>
      </c>
      <c r="P1841" s="25"/>
      <c r="Q1841" s="25"/>
      <c r="R1841" s="25"/>
      <c r="S1841" s="25"/>
      <c r="T1841" s="25"/>
      <c r="U1841" s="25"/>
      <c r="V1841" s="25"/>
      <c r="W1841" s="25"/>
      <c r="X1841" s="25"/>
      <c r="Y1841" s="25"/>
      <c r="Z1841" s="25"/>
      <c r="AA1841" s="25"/>
      <c r="AB1841" s="25"/>
      <c r="AC1841" s="25"/>
      <c r="AD1841" s="25"/>
      <c r="AE1841" s="25"/>
      <c r="AF1841" s="25"/>
      <c r="AG1841" s="25"/>
      <c r="AH1841" s="25"/>
      <c r="AI1841" s="25"/>
      <c r="AJ1841" s="25"/>
      <c r="AK1841" s="25"/>
      <c r="AL1841" s="25"/>
      <c r="AM1841" s="25"/>
      <c r="AN1841" s="25"/>
      <c r="AO1841" s="25"/>
      <c r="AP1841" s="25"/>
      <c r="AQ1841" s="25"/>
      <c r="AR1841" s="25"/>
      <c r="AS1841" s="25"/>
      <c r="AT1841" s="25"/>
      <c r="AU1841" s="25"/>
      <c r="AV1841" s="25"/>
      <c r="AW1841" s="25"/>
      <c r="AX1841" s="25"/>
      <c r="AY1841" s="25"/>
      <c r="AZ1841" s="25"/>
      <c r="BA1841" s="25"/>
      <c r="BB1841" s="25"/>
      <c r="BC1841" s="25"/>
      <c r="BD1841" s="25"/>
      <c r="BE1841" s="25"/>
      <c r="BF1841" s="25"/>
      <c r="BG1841" s="25"/>
      <c r="BH1841" s="25"/>
      <c r="BI1841" s="25"/>
      <c r="BJ1841" s="25"/>
      <c r="BK1841" s="25"/>
      <c r="BL1841" s="25"/>
      <c r="BM1841" s="25"/>
      <c r="BN1841" s="25"/>
      <c r="BO1841" s="25"/>
      <c r="BP1841" s="25"/>
      <c r="BQ1841" s="25"/>
      <c r="BR1841" s="25"/>
      <c r="BS1841" s="25"/>
      <c r="BT1841" s="25"/>
      <c r="BU1841" s="25"/>
      <c r="BV1841" s="25"/>
      <c r="BW1841" s="25"/>
      <c r="BX1841" s="25"/>
      <c r="BY1841" s="25"/>
      <c r="BZ1841" s="25"/>
      <c r="CA1841" s="25"/>
      <c r="CB1841" s="25"/>
    </row>
    <row r="1842" spans="1:80" ht="12.75" customHeight="1">
      <c r="A1842" s="10">
        <f ca="1">IFERROR(__xludf.DUMMYFUNCTION("""COMPUTED_VALUE"""),2024)</f>
        <v>2024</v>
      </c>
      <c r="B1842" s="41"/>
      <c r="C1842" s="41"/>
      <c r="D1842" s="42" t="str">
        <f ca="1">IFERROR(__xludf.DUMMYFUNCTION("""COMPUTED_VALUE"""),"Yellow-browed Warbler")</f>
        <v>Yellow-browed Warbler</v>
      </c>
      <c r="E1842" s="15">
        <f ca="1">IFERROR(__xludf.DUMMYFUNCTION("""COMPUTED_VALUE"""),1)</f>
        <v>1</v>
      </c>
      <c r="F1842" s="15"/>
      <c r="G1842" s="44" t="str">
        <f ca="1">IFERROR(__xludf.DUMMYFUNCTION("""COMPUTED_VALUE"""),"Hilbre Bird Observatory")</f>
        <v>Hilbre Bird Observatory</v>
      </c>
      <c r="H1842" s="12">
        <f ca="1">IFERROR(__xludf.DUMMYFUNCTION("""COMPUTED_VALUE"""),45587)</f>
        <v>45587</v>
      </c>
      <c r="I1842" s="13"/>
      <c r="J1842" s="14"/>
      <c r="K1842" s="15"/>
      <c r="L1842" s="16" t="str">
        <f ca="1">IFERROR(__xludf.DUMMYFUNCTION("""COMPUTED_VALUE"""),"closed")</f>
        <v>closed</v>
      </c>
      <c r="M1842" s="17"/>
      <c r="N1842" s="15" t="str">
        <f ca="1">IFERROR(__xludf.DUMMYFUNCTION("""COMPUTED_VALUE"""),"exemption")</f>
        <v>exemption</v>
      </c>
      <c r="O1842" s="18" t="str">
        <f ca="1">IFERROR(__xludf.DUMMYFUNCTION("""COMPUTED_VALUE"""),"Birdguides")</f>
        <v>Birdguides</v>
      </c>
      <c r="P1842" s="15"/>
      <c r="Q1842" s="15"/>
      <c r="R1842" s="15"/>
      <c r="S1842" s="15"/>
      <c r="T1842" s="15"/>
      <c r="U1842" s="15"/>
      <c r="V1842" s="15"/>
      <c r="W1842" s="15"/>
      <c r="X1842" s="15"/>
      <c r="Y1842" s="15"/>
      <c r="Z1842" s="15"/>
      <c r="AA1842" s="15"/>
      <c r="AB1842" s="15"/>
      <c r="AC1842" s="15"/>
      <c r="AD1842" s="15"/>
      <c r="AE1842" s="15"/>
      <c r="AF1842" s="15"/>
      <c r="AG1842" s="15"/>
      <c r="AH1842" s="15"/>
      <c r="AI1842" s="15"/>
      <c r="AJ1842" s="15"/>
      <c r="AK1842" s="15"/>
      <c r="AL1842" s="15"/>
      <c r="AM1842" s="15"/>
      <c r="AN1842" s="15"/>
      <c r="AO1842" s="15"/>
      <c r="AP1842" s="15"/>
      <c r="AQ1842" s="15"/>
      <c r="AR1842" s="15"/>
      <c r="AS1842" s="15"/>
      <c r="AT1842" s="15"/>
      <c r="AU1842" s="15"/>
      <c r="AV1842" s="15"/>
      <c r="AW1842" s="15"/>
      <c r="AX1842" s="15"/>
      <c r="AY1842" s="15"/>
      <c r="AZ1842" s="15"/>
      <c r="BA1842" s="15"/>
      <c r="BB1842" s="15"/>
      <c r="BC1842" s="15"/>
      <c r="BD1842" s="15"/>
      <c r="BE1842" s="15"/>
      <c r="BF1842" s="15"/>
      <c r="BG1842" s="15"/>
      <c r="BH1842" s="15"/>
      <c r="BI1842" s="15"/>
      <c r="BJ1842" s="15"/>
      <c r="BK1842" s="15"/>
      <c r="BL1842" s="15"/>
      <c r="BM1842" s="15"/>
      <c r="BN1842" s="15"/>
      <c r="BO1842" s="15"/>
      <c r="BP1842" s="15"/>
      <c r="BQ1842" s="15"/>
      <c r="BR1842" s="15"/>
      <c r="BS1842" s="15"/>
      <c r="BT1842" s="15"/>
      <c r="BU1842" s="15"/>
      <c r="BV1842" s="15"/>
      <c r="BW1842" s="15"/>
      <c r="BX1842" s="15"/>
      <c r="BY1842" s="15"/>
      <c r="BZ1842" s="15"/>
      <c r="CA1842" s="15"/>
      <c r="CB1842" s="15"/>
    </row>
    <row r="1843" spans="1:80" ht="12.75" customHeight="1">
      <c r="A1843" s="20">
        <f ca="1">IFERROR(__xludf.DUMMYFUNCTION("""COMPUTED_VALUE"""),2024)</f>
        <v>2024</v>
      </c>
      <c r="B1843" s="46"/>
      <c r="C1843" s="46"/>
      <c r="D1843" s="47" t="str">
        <f ca="1">IFERROR(__xludf.DUMMYFUNCTION("""COMPUTED_VALUE"""),"Yellow-browed Warbler")</f>
        <v>Yellow-browed Warbler</v>
      </c>
      <c r="E1843" s="25">
        <f ca="1">IFERROR(__xludf.DUMMYFUNCTION("""COMPUTED_VALUE"""),1)</f>
        <v>1</v>
      </c>
      <c r="F1843" s="25"/>
      <c r="G1843" s="48" t="str">
        <f ca="1">IFERROR(__xludf.DUMMYFUNCTION("""COMPUTED_VALUE"""),"Crewe, Basford Hall Sidings")</f>
        <v>Crewe, Basford Hall Sidings</v>
      </c>
      <c r="H1843" s="22">
        <f ca="1">IFERROR(__xludf.DUMMYFUNCTION("""COMPUTED_VALUE"""),45588)</f>
        <v>45588</v>
      </c>
      <c r="I1843" s="23"/>
      <c r="J1843" s="24"/>
      <c r="K1843" s="25"/>
      <c r="L1843" s="26" t="str">
        <f ca="1">IFERROR(__xludf.DUMMYFUNCTION("""COMPUTED_VALUE"""),"closed")</f>
        <v>closed</v>
      </c>
      <c r="M1843" s="27"/>
      <c r="N1843" s="25" t="str">
        <f ca="1">IFERROR(__xludf.DUMMYFUNCTION("""COMPUTED_VALUE"""),"exemption")</f>
        <v>exemption</v>
      </c>
      <c r="O1843" s="28" t="str">
        <f ca="1">IFERROR(__xludf.DUMMYFUNCTION("""COMPUTED_VALUE"""),"Birdguides")</f>
        <v>Birdguides</v>
      </c>
      <c r="P1843" s="25"/>
      <c r="Q1843" s="25"/>
      <c r="R1843" s="25"/>
      <c r="S1843" s="25"/>
      <c r="T1843" s="25"/>
      <c r="U1843" s="25"/>
      <c r="V1843" s="25"/>
      <c r="W1843" s="25"/>
      <c r="X1843" s="25"/>
      <c r="Y1843" s="25"/>
      <c r="Z1843" s="25"/>
      <c r="AA1843" s="25"/>
      <c r="AB1843" s="25"/>
      <c r="AC1843" s="25"/>
      <c r="AD1843" s="25"/>
      <c r="AE1843" s="25"/>
      <c r="AF1843" s="25"/>
      <c r="AG1843" s="25"/>
      <c r="AH1843" s="25"/>
      <c r="AI1843" s="25"/>
      <c r="AJ1843" s="25"/>
      <c r="AK1843" s="25"/>
      <c r="AL1843" s="25"/>
      <c r="AM1843" s="25"/>
      <c r="AN1843" s="25"/>
      <c r="AO1843" s="25"/>
      <c r="AP1843" s="25"/>
      <c r="AQ1843" s="25"/>
      <c r="AR1843" s="25"/>
      <c r="AS1843" s="25"/>
      <c r="AT1843" s="25"/>
      <c r="AU1843" s="25"/>
      <c r="AV1843" s="25"/>
      <c r="AW1843" s="25"/>
      <c r="AX1843" s="25"/>
      <c r="AY1843" s="25"/>
      <c r="AZ1843" s="25"/>
      <c r="BA1843" s="25"/>
      <c r="BB1843" s="25"/>
      <c r="BC1843" s="25"/>
      <c r="BD1843" s="25"/>
      <c r="BE1843" s="25"/>
      <c r="BF1843" s="25"/>
      <c r="BG1843" s="25"/>
      <c r="BH1843" s="25"/>
      <c r="BI1843" s="25"/>
      <c r="BJ1843" s="25"/>
      <c r="BK1843" s="25"/>
      <c r="BL1843" s="25"/>
      <c r="BM1843" s="25"/>
      <c r="BN1843" s="25"/>
      <c r="BO1843" s="25"/>
      <c r="BP1843" s="25"/>
      <c r="BQ1843" s="25"/>
      <c r="BR1843" s="25"/>
      <c r="BS1843" s="25"/>
      <c r="BT1843" s="25"/>
      <c r="BU1843" s="25"/>
      <c r="BV1843" s="25"/>
      <c r="BW1843" s="25"/>
      <c r="BX1843" s="25"/>
      <c r="BY1843" s="25"/>
      <c r="BZ1843" s="25"/>
      <c r="CA1843" s="25"/>
      <c r="CB1843" s="25"/>
    </row>
    <row r="1844" spans="1:80" ht="12.75" customHeight="1">
      <c r="A1844" s="10">
        <f ca="1">IFERROR(__xludf.DUMMYFUNCTION("""COMPUTED_VALUE"""),2024)</f>
        <v>2024</v>
      </c>
      <c r="B1844" s="41"/>
      <c r="C1844" s="41"/>
      <c r="D1844" s="42" t="str">
        <f ca="1">IFERROR(__xludf.DUMMYFUNCTION("""COMPUTED_VALUE"""),"Yellow-browed Warbler")</f>
        <v>Yellow-browed Warbler</v>
      </c>
      <c r="E1844" s="15">
        <f ca="1">IFERROR(__xludf.DUMMYFUNCTION("""COMPUTED_VALUE"""),1)</f>
        <v>1</v>
      </c>
      <c r="F1844" s="15"/>
      <c r="G1844" s="44" t="str">
        <f ca="1">IFERROR(__xludf.DUMMYFUNCTION("""COMPUTED_VALUE"""),"Chester Zoo Rhino Enclosure")</f>
        <v>Chester Zoo Rhino Enclosure</v>
      </c>
      <c r="H1844" s="12">
        <f ca="1">IFERROR(__xludf.DUMMYFUNCTION("""COMPUTED_VALUE"""),45589)</f>
        <v>45589</v>
      </c>
      <c r="I1844" s="13"/>
      <c r="J1844" s="14"/>
      <c r="K1844" s="15"/>
      <c r="L1844" s="16" t="str">
        <f ca="1">IFERROR(__xludf.DUMMYFUNCTION("""COMPUTED_VALUE"""),"closed")</f>
        <v>closed</v>
      </c>
      <c r="M1844" s="17"/>
      <c r="N1844" s="15" t="str">
        <f ca="1">IFERROR(__xludf.DUMMYFUNCTION("""COMPUTED_VALUE"""),"exemption")</f>
        <v>exemption</v>
      </c>
      <c r="O1844" s="18" t="str">
        <f ca="1">IFERROR(__xludf.DUMMYFUNCTION("""COMPUTED_VALUE"""),"Birdguides")</f>
        <v>Birdguides</v>
      </c>
      <c r="P1844" s="15"/>
      <c r="Q1844" s="15"/>
      <c r="R1844" s="15"/>
      <c r="S1844" s="15"/>
      <c r="T1844" s="15"/>
      <c r="U1844" s="15"/>
      <c r="V1844" s="15"/>
      <c r="W1844" s="15"/>
      <c r="X1844" s="15"/>
      <c r="Y1844" s="15"/>
      <c r="Z1844" s="15"/>
      <c r="AA1844" s="15"/>
      <c r="AB1844" s="15"/>
      <c r="AC1844" s="15"/>
      <c r="AD1844" s="15"/>
      <c r="AE1844" s="15"/>
      <c r="AF1844" s="15"/>
      <c r="AG1844" s="15"/>
      <c r="AH1844" s="15"/>
      <c r="AI1844" s="15"/>
      <c r="AJ1844" s="15"/>
      <c r="AK1844" s="15"/>
      <c r="AL1844" s="15"/>
      <c r="AM1844" s="15"/>
      <c r="AN1844" s="15"/>
      <c r="AO1844" s="15"/>
      <c r="AP1844" s="15"/>
      <c r="AQ1844" s="15"/>
      <c r="AR1844" s="15"/>
      <c r="AS1844" s="15"/>
      <c r="AT1844" s="15"/>
      <c r="AU1844" s="15"/>
      <c r="AV1844" s="15"/>
      <c r="AW1844" s="15"/>
      <c r="AX1844" s="15"/>
      <c r="AY1844" s="15"/>
      <c r="AZ1844" s="15"/>
      <c r="BA1844" s="15"/>
      <c r="BB1844" s="15"/>
      <c r="BC1844" s="15"/>
      <c r="BD1844" s="15"/>
      <c r="BE1844" s="15"/>
      <c r="BF1844" s="15"/>
      <c r="BG1844" s="15"/>
      <c r="BH1844" s="15"/>
      <c r="BI1844" s="15"/>
      <c r="BJ1844" s="15"/>
      <c r="BK1844" s="15"/>
      <c r="BL1844" s="15"/>
      <c r="BM1844" s="15"/>
      <c r="BN1844" s="15"/>
      <c r="BO1844" s="15"/>
      <c r="BP1844" s="15"/>
      <c r="BQ1844" s="15"/>
      <c r="BR1844" s="15"/>
      <c r="BS1844" s="15"/>
      <c r="BT1844" s="15"/>
      <c r="BU1844" s="15"/>
      <c r="BV1844" s="15"/>
      <c r="BW1844" s="15"/>
      <c r="BX1844" s="15"/>
      <c r="BY1844" s="15"/>
      <c r="BZ1844" s="15"/>
      <c r="CA1844" s="15"/>
      <c r="CB1844" s="15"/>
    </row>
    <row r="1845" spans="1:80" ht="12.75" customHeight="1">
      <c r="A1845" s="20">
        <f ca="1">IFERROR(__xludf.DUMMYFUNCTION("""COMPUTED_VALUE"""),2024)</f>
        <v>2024</v>
      </c>
      <c r="B1845" s="46"/>
      <c r="C1845" s="46"/>
      <c r="D1845" s="47" t="str">
        <f ca="1">IFERROR(__xludf.DUMMYFUNCTION("""COMPUTED_VALUE"""),"Yellow-browed Warbler")</f>
        <v>Yellow-browed Warbler</v>
      </c>
      <c r="E1845" s="25">
        <f ca="1">IFERROR(__xludf.DUMMYFUNCTION("""COMPUTED_VALUE"""),1)</f>
        <v>1</v>
      </c>
      <c r="F1845" s="25"/>
      <c r="G1845" s="48" t="str">
        <f ca="1">IFERROR(__xludf.DUMMYFUNCTION("""COMPUTED_VALUE"""),"Mollington")</f>
        <v>Mollington</v>
      </c>
      <c r="H1845" s="22">
        <f ca="1">IFERROR(__xludf.DUMMYFUNCTION("""COMPUTED_VALUE"""),45589)</f>
        <v>45589</v>
      </c>
      <c r="I1845" s="23"/>
      <c r="J1845" s="24"/>
      <c r="K1845" s="25"/>
      <c r="L1845" s="26" t="str">
        <f ca="1">IFERROR(__xludf.DUMMYFUNCTION("""COMPUTED_VALUE"""),"closed")</f>
        <v>closed</v>
      </c>
      <c r="M1845" s="27"/>
      <c r="N1845" s="25" t="str">
        <f ca="1">IFERROR(__xludf.DUMMYFUNCTION("""COMPUTED_VALUE"""),"exemption")</f>
        <v>exemption</v>
      </c>
      <c r="O1845" s="28" t="str">
        <f ca="1">IFERROR(__xludf.DUMMYFUNCTION("""COMPUTED_VALUE"""),"Birdguides")</f>
        <v>Birdguides</v>
      </c>
      <c r="P1845" s="25"/>
      <c r="Q1845" s="25"/>
      <c r="R1845" s="25"/>
      <c r="S1845" s="25"/>
      <c r="T1845" s="25"/>
      <c r="U1845" s="25"/>
      <c r="V1845" s="25"/>
      <c r="W1845" s="25"/>
      <c r="X1845" s="25"/>
      <c r="Y1845" s="25"/>
      <c r="Z1845" s="25"/>
      <c r="AA1845" s="25"/>
      <c r="AB1845" s="25"/>
      <c r="AC1845" s="25"/>
      <c r="AD1845" s="25"/>
      <c r="AE1845" s="25"/>
      <c r="AF1845" s="25"/>
      <c r="AG1845" s="25"/>
      <c r="AH1845" s="25"/>
      <c r="AI1845" s="25"/>
      <c r="AJ1845" s="25"/>
      <c r="AK1845" s="25"/>
      <c r="AL1845" s="25"/>
      <c r="AM1845" s="25"/>
      <c r="AN1845" s="25"/>
      <c r="AO1845" s="25"/>
      <c r="AP1845" s="25"/>
      <c r="AQ1845" s="25"/>
      <c r="AR1845" s="25"/>
      <c r="AS1845" s="25"/>
      <c r="AT1845" s="25"/>
      <c r="AU1845" s="25"/>
      <c r="AV1845" s="25"/>
      <c r="AW1845" s="25"/>
      <c r="AX1845" s="25"/>
      <c r="AY1845" s="25"/>
      <c r="AZ1845" s="25"/>
      <c r="BA1845" s="25"/>
      <c r="BB1845" s="25"/>
      <c r="BC1845" s="25"/>
      <c r="BD1845" s="25"/>
      <c r="BE1845" s="25"/>
      <c r="BF1845" s="25"/>
      <c r="BG1845" s="25"/>
      <c r="BH1845" s="25"/>
      <c r="BI1845" s="25"/>
      <c r="BJ1845" s="25"/>
      <c r="BK1845" s="25"/>
      <c r="BL1845" s="25"/>
      <c r="BM1845" s="25"/>
      <c r="BN1845" s="25"/>
      <c r="BO1845" s="25"/>
      <c r="BP1845" s="25"/>
      <c r="BQ1845" s="25"/>
      <c r="BR1845" s="25"/>
      <c r="BS1845" s="25"/>
      <c r="BT1845" s="25"/>
      <c r="BU1845" s="25"/>
      <c r="BV1845" s="25"/>
      <c r="BW1845" s="25"/>
      <c r="BX1845" s="25"/>
      <c r="BY1845" s="25"/>
      <c r="BZ1845" s="25"/>
      <c r="CA1845" s="25"/>
      <c r="CB1845" s="25"/>
    </row>
    <row r="1846" spans="1:80" ht="12.75" customHeight="1">
      <c r="A1846" s="10">
        <f ca="1">IFERROR(__xludf.DUMMYFUNCTION("""COMPUTED_VALUE"""),2024)</f>
        <v>2024</v>
      </c>
      <c r="B1846" s="41"/>
      <c r="C1846" s="41"/>
      <c r="D1846" s="42" t="str">
        <f ca="1">IFERROR(__xludf.DUMMYFUNCTION("""COMPUTED_VALUE"""),"Yellow-browed Warbler")</f>
        <v>Yellow-browed Warbler</v>
      </c>
      <c r="E1846" s="15">
        <f ca="1">IFERROR(__xludf.DUMMYFUNCTION("""COMPUTED_VALUE"""),2)</f>
        <v>2</v>
      </c>
      <c r="F1846" s="15"/>
      <c r="G1846" s="44" t="str">
        <f ca="1">IFERROR(__xludf.DUMMYFUNCTION("""COMPUTED_VALUE"""),"Woolston Eyes")</f>
        <v>Woolston Eyes</v>
      </c>
      <c r="H1846" s="12">
        <f ca="1">IFERROR(__xludf.DUMMYFUNCTION("""COMPUTED_VALUE"""),45591)</f>
        <v>45591</v>
      </c>
      <c r="I1846" s="13"/>
      <c r="J1846" s="14"/>
      <c r="K1846" s="15"/>
      <c r="L1846" s="16" t="str">
        <f ca="1">IFERROR(__xludf.DUMMYFUNCTION("""COMPUTED_VALUE"""),"closed")</f>
        <v>closed</v>
      </c>
      <c r="M1846" s="17"/>
      <c r="N1846" s="15" t="str">
        <f ca="1">IFERROR(__xludf.DUMMYFUNCTION("""COMPUTED_VALUE"""),"exemption")</f>
        <v>exemption</v>
      </c>
      <c r="O1846" s="18" t="str">
        <f ca="1">IFERROR(__xludf.DUMMYFUNCTION("""COMPUTED_VALUE"""),"Birdguides")</f>
        <v>Birdguides</v>
      </c>
      <c r="P1846" s="15"/>
      <c r="Q1846" s="15"/>
      <c r="R1846" s="15"/>
      <c r="S1846" s="15"/>
      <c r="T1846" s="15"/>
      <c r="U1846" s="15"/>
      <c r="V1846" s="15"/>
      <c r="W1846" s="15"/>
      <c r="X1846" s="15"/>
      <c r="Y1846" s="15"/>
      <c r="Z1846" s="15"/>
      <c r="AA1846" s="15"/>
      <c r="AB1846" s="15"/>
      <c r="AC1846" s="15"/>
      <c r="AD1846" s="15"/>
      <c r="AE1846" s="15"/>
      <c r="AF1846" s="15"/>
      <c r="AG1846" s="15"/>
      <c r="AH1846" s="15"/>
      <c r="AI1846" s="15"/>
      <c r="AJ1846" s="15"/>
      <c r="AK1846" s="15"/>
      <c r="AL1846" s="15"/>
      <c r="AM1846" s="15"/>
      <c r="AN1846" s="15"/>
      <c r="AO1846" s="15"/>
      <c r="AP1846" s="15"/>
      <c r="AQ1846" s="15"/>
      <c r="AR1846" s="15"/>
      <c r="AS1846" s="15"/>
      <c r="AT1846" s="15"/>
      <c r="AU1846" s="15"/>
      <c r="AV1846" s="15"/>
      <c r="AW1846" s="15"/>
      <c r="AX1846" s="15"/>
      <c r="AY1846" s="15"/>
      <c r="AZ1846" s="15"/>
      <c r="BA1846" s="15"/>
      <c r="BB1846" s="15"/>
      <c r="BC1846" s="15"/>
      <c r="BD1846" s="15"/>
      <c r="BE1846" s="15"/>
      <c r="BF1846" s="15"/>
      <c r="BG1846" s="15"/>
      <c r="BH1846" s="15"/>
      <c r="BI1846" s="15"/>
      <c r="BJ1846" s="15"/>
      <c r="BK1846" s="15"/>
      <c r="BL1846" s="15"/>
      <c r="BM1846" s="15"/>
      <c r="BN1846" s="15"/>
      <c r="BO1846" s="15"/>
      <c r="BP1846" s="15"/>
      <c r="BQ1846" s="15"/>
      <c r="BR1846" s="15"/>
      <c r="BS1846" s="15"/>
      <c r="BT1846" s="15"/>
      <c r="BU1846" s="15"/>
      <c r="BV1846" s="15"/>
      <c r="BW1846" s="15"/>
      <c r="BX1846" s="15"/>
      <c r="BY1846" s="15"/>
      <c r="BZ1846" s="15"/>
      <c r="CA1846" s="15"/>
      <c r="CB1846" s="15"/>
    </row>
    <row r="1847" spans="1:80" ht="12.75" customHeight="1">
      <c r="A1847" s="20">
        <f ca="1">IFERROR(__xludf.DUMMYFUNCTION("""COMPUTED_VALUE"""),2024)</f>
        <v>2024</v>
      </c>
      <c r="B1847" s="46"/>
      <c r="C1847" s="46"/>
      <c r="D1847" s="47" t="str">
        <f ca="1">IFERROR(__xludf.DUMMYFUNCTION("""COMPUTED_VALUE"""),"Yellow-browed Warbler")</f>
        <v>Yellow-browed Warbler</v>
      </c>
      <c r="E1847" s="25">
        <f ca="1">IFERROR(__xludf.DUMMYFUNCTION("""COMPUTED_VALUE"""),1)</f>
        <v>1</v>
      </c>
      <c r="F1847" s="25"/>
      <c r="G1847" s="48" t="str">
        <f ca="1">IFERROR(__xludf.DUMMYFUNCTION("""COMPUTED_VALUE"""),"Woolston No 4 Bed")</f>
        <v>Woolston No 4 Bed</v>
      </c>
      <c r="H1847" s="22">
        <f ca="1">IFERROR(__xludf.DUMMYFUNCTION("""COMPUTED_VALUE"""),45597)</f>
        <v>45597</v>
      </c>
      <c r="I1847" s="23"/>
      <c r="J1847" s="24"/>
      <c r="K1847" s="25"/>
      <c r="L1847" s="26" t="str">
        <f ca="1">IFERROR(__xludf.DUMMYFUNCTION("""COMPUTED_VALUE"""),"limbo")</f>
        <v>limbo</v>
      </c>
      <c r="M1847" s="27"/>
      <c r="N1847" s="25" t="str">
        <f ca="1">IFERROR(__xludf.DUMMYFUNCTION("""COMPUTED_VALUE"""),"exemption")</f>
        <v>exemption</v>
      </c>
      <c r="O1847" s="28" t="str">
        <f ca="1">IFERROR(__xludf.DUMMYFUNCTION("""COMPUTED_VALUE"""),"Birdguides")</f>
        <v>Birdguides</v>
      </c>
      <c r="P1847" s="25"/>
      <c r="Q1847" s="25"/>
      <c r="R1847" s="25"/>
      <c r="S1847" s="25"/>
      <c r="T1847" s="25"/>
      <c r="U1847" s="25"/>
      <c r="V1847" s="25"/>
      <c r="W1847" s="25"/>
      <c r="X1847" s="25"/>
      <c r="Y1847" s="25"/>
      <c r="Z1847" s="25"/>
      <c r="AA1847" s="25"/>
      <c r="AB1847" s="25"/>
      <c r="AC1847" s="25"/>
      <c r="AD1847" s="25"/>
      <c r="AE1847" s="25"/>
      <c r="AF1847" s="25"/>
      <c r="AG1847" s="25"/>
      <c r="AH1847" s="25"/>
      <c r="AI1847" s="25"/>
      <c r="AJ1847" s="25"/>
      <c r="AK1847" s="25"/>
      <c r="AL1847" s="25"/>
      <c r="AM1847" s="25"/>
      <c r="AN1847" s="25"/>
      <c r="AO1847" s="25"/>
      <c r="AP1847" s="25"/>
      <c r="AQ1847" s="25"/>
      <c r="AR1847" s="25"/>
      <c r="AS1847" s="25"/>
      <c r="AT1847" s="25"/>
      <c r="AU1847" s="25"/>
      <c r="AV1847" s="25"/>
      <c r="AW1847" s="25"/>
      <c r="AX1847" s="25"/>
      <c r="AY1847" s="25"/>
      <c r="AZ1847" s="25"/>
      <c r="BA1847" s="25"/>
      <c r="BB1847" s="25"/>
      <c r="BC1847" s="25"/>
      <c r="BD1847" s="25"/>
      <c r="BE1847" s="25"/>
      <c r="BF1847" s="25"/>
      <c r="BG1847" s="25"/>
      <c r="BH1847" s="25"/>
      <c r="BI1847" s="25"/>
      <c r="BJ1847" s="25"/>
      <c r="BK1847" s="25"/>
      <c r="BL1847" s="25"/>
      <c r="BM1847" s="25"/>
      <c r="BN1847" s="25"/>
      <c r="BO1847" s="25"/>
      <c r="BP1847" s="25"/>
      <c r="BQ1847" s="25"/>
      <c r="BR1847" s="25"/>
      <c r="BS1847" s="25"/>
      <c r="BT1847" s="25"/>
      <c r="BU1847" s="25"/>
      <c r="BV1847" s="25"/>
      <c r="BW1847" s="25"/>
      <c r="BX1847" s="25"/>
      <c r="BY1847" s="25"/>
      <c r="BZ1847" s="25"/>
      <c r="CA1847" s="25"/>
      <c r="CB1847" s="25"/>
    </row>
    <row r="1848" spans="1:80" ht="12.75" customHeight="1">
      <c r="A1848" s="10">
        <f ca="1">IFERROR(__xludf.DUMMYFUNCTION("""COMPUTED_VALUE"""),2024)</f>
        <v>2024</v>
      </c>
      <c r="B1848" s="41"/>
      <c r="C1848" s="41"/>
      <c r="D1848" s="42" t="str">
        <f ca="1">IFERROR(__xludf.DUMMYFUNCTION("""COMPUTED_VALUE"""),"Yellow-browed Warbler")</f>
        <v>Yellow-browed Warbler</v>
      </c>
      <c r="E1848" s="15">
        <f ca="1">IFERROR(__xludf.DUMMYFUNCTION("""COMPUTED_VALUE"""),1)</f>
        <v>1</v>
      </c>
      <c r="F1848" s="15"/>
      <c r="G1848" s="44" t="str">
        <f ca="1">IFERROR(__xludf.DUMMYFUNCTION("""COMPUTED_VALUE"""),"Woolston No 3 Bed")</f>
        <v>Woolston No 3 Bed</v>
      </c>
      <c r="H1848" s="12">
        <f ca="1">IFERROR(__xludf.DUMMYFUNCTION("""COMPUTED_VALUE"""),45601)</f>
        <v>45601</v>
      </c>
      <c r="I1848" s="12">
        <f ca="1">IFERROR(__xludf.DUMMYFUNCTION("""COMPUTED_VALUE"""),45602)</f>
        <v>45602</v>
      </c>
      <c r="J1848" s="14"/>
      <c r="K1848" s="15"/>
      <c r="L1848" s="16" t="str">
        <f ca="1">IFERROR(__xludf.DUMMYFUNCTION("""COMPUTED_VALUE"""),"limbo")</f>
        <v>limbo</v>
      </c>
      <c r="M1848" s="17"/>
      <c r="N1848" s="15" t="str">
        <f ca="1">IFERROR(__xludf.DUMMYFUNCTION("""COMPUTED_VALUE"""),"exemption")</f>
        <v>exemption</v>
      </c>
      <c r="O1848" s="18" t="str">
        <f ca="1">IFERROR(__xludf.DUMMYFUNCTION("""COMPUTED_VALUE"""),"Birdguides")</f>
        <v>Birdguides</v>
      </c>
      <c r="P1848" s="15"/>
      <c r="Q1848" s="15"/>
      <c r="R1848" s="15"/>
      <c r="S1848" s="15"/>
      <c r="T1848" s="15"/>
      <c r="U1848" s="15"/>
      <c r="V1848" s="15"/>
      <c r="W1848" s="15"/>
      <c r="X1848" s="15"/>
      <c r="Y1848" s="15"/>
      <c r="Z1848" s="15"/>
      <c r="AA1848" s="15"/>
      <c r="AB1848" s="15"/>
      <c r="AC1848" s="15"/>
      <c r="AD1848" s="15"/>
      <c r="AE1848" s="15"/>
      <c r="AF1848" s="15"/>
      <c r="AG1848" s="15"/>
      <c r="AH1848" s="15"/>
      <c r="AI1848" s="15"/>
      <c r="AJ1848" s="15"/>
      <c r="AK1848" s="15"/>
      <c r="AL1848" s="15"/>
      <c r="AM1848" s="15"/>
      <c r="AN1848" s="15"/>
      <c r="AO1848" s="15"/>
      <c r="AP1848" s="15"/>
      <c r="AQ1848" s="15"/>
      <c r="AR1848" s="15"/>
      <c r="AS1848" s="15"/>
      <c r="AT1848" s="15"/>
      <c r="AU1848" s="15"/>
      <c r="AV1848" s="15"/>
      <c r="AW1848" s="15"/>
      <c r="AX1848" s="15"/>
      <c r="AY1848" s="15"/>
      <c r="AZ1848" s="15"/>
      <c r="BA1848" s="15"/>
      <c r="BB1848" s="15"/>
      <c r="BC1848" s="15"/>
      <c r="BD1848" s="15"/>
      <c r="BE1848" s="15"/>
      <c r="BF1848" s="15"/>
      <c r="BG1848" s="15"/>
      <c r="BH1848" s="15"/>
      <c r="BI1848" s="15"/>
      <c r="BJ1848" s="15"/>
      <c r="BK1848" s="15"/>
      <c r="BL1848" s="15"/>
      <c r="BM1848" s="15"/>
      <c r="BN1848" s="15"/>
      <c r="BO1848" s="15"/>
      <c r="BP1848" s="15"/>
      <c r="BQ1848" s="15"/>
      <c r="BR1848" s="15"/>
      <c r="BS1848" s="15"/>
      <c r="BT1848" s="15"/>
      <c r="BU1848" s="15"/>
      <c r="BV1848" s="15"/>
      <c r="BW1848" s="15"/>
      <c r="BX1848" s="15"/>
      <c r="BY1848" s="15"/>
      <c r="BZ1848" s="15"/>
      <c r="CA1848" s="15"/>
      <c r="CB1848" s="15"/>
    </row>
    <row r="1849" spans="1:80" ht="12.75" customHeight="1">
      <c r="A1849" s="20">
        <f ca="1">IFERROR(__xludf.DUMMYFUNCTION("""COMPUTED_VALUE"""),2024)</f>
        <v>2024</v>
      </c>
      <c r="B1849" s="46"/>
      <c r="C1849" s="46"/>
      <c r="D1849" s="47" t="str">
        <f ca="1">IFERROR(__xludf.DUMMYFUNCTION("""COMPUTED_VALUE"""),"Yellow-browed Warbler")</f>
        <v>Yellow-browed Warbler</v>
      </c>
      <c r="E1849" s="25">
        <f ca="1">IFERROR(__xludf.DUMMYFUNCTION("""COMPUTED_VALUE"""),1)</f>
        <v>1</v>
      </c>
      <c r="F1849" s="25"/>
      <c r="G1849" s="48" t="str">
        <f ca="1">IFERROR(__xludf.DUMMYFUNCTION("""COMPUTED_VALUE"""),"Moore, Lapwing Lane Cross Roads")</f>
        <v>Moore, Lapwing Lane Cross Roads</v>
      </c>
      <c r="H1849" s="22">
        <f ca="1">IFERROR(__xludf.DUMMYFUNCTION("""COMPUTED_VALUE"""),45602)</f>
        <v>45602</v>
      </c>
      <c r="I1849" s="23"/>
      <c r="J1849" s="24"/>
      <c r="K1849" s="25"/>
      <c r="L1849" s="26" t="str">
        <f ca="1">IFERROR(__xludf.DUMMYFUNCTION("""COMPUTED_VALUE"""),"limbo")</f>
        <v>limbo</v>
      </c>
      <c r="M1849" s="27"/>
      <c r="N1849" s="25" t="str">
        <f ca="1">IFERROR(__xludf.DUMMYFUNCTION("""COMPUTED_VALUE"""),"exemption")</f>
        <v>exemption</v>
      </c>
      <c r="O1849" s="28" t="str">
        <f ca="1">IFERROR(__xludf.DUMMYFUNCTION("""COMPUTED_VALUE"""),"Birdguides")</f>
        <v>Birdguides</v>
      </c>
      <c r="P1849" s="25"/>
      <c r="Q1849" s="25"/>
      <c r="R1849" s="25"/>
      <c r="S1849" s="25"/>
      <c r="T1849" s="25"/>
      <c r="U1849" s="25"/>
      <c r="V1849" s="25"/>
      <c r="W1849" s="25"/>
      <c r="X1849" s="25"/>
      <c r="Y1849" s="25"/>
      <c r="Z1849" s="25"/>
      <c r="AA1849" s="25"/>
      <c r="AB1849" s="25"/>
      <c r="AC1849" s="25"/>
      <c r="AD1849" s="25"/>
      <c r="AE1849" s="25"/>
      <c r="AF1849" s="25"/>
      <c r="AG1849" s="25"/>
      <c r="AH1849" s="25"/>
      <c r="AI1849" s="25"/>
      <c r="AJ1849" s="25"/>
      <c r="AK1849" s="25"/>
      <c r="AL1849" s="25"/>
      <c r="AM1849" s="25"/>
      <c r="AN1849" s="25"/>
      <c r="AO1849" s="25"/>
      <c r="AP1849" s="25"/>
      <c r="AQ1849" s="25"/>
      <c r="AR1849" s="25"/>
      <c r="AS1849" s="25"/>
      <c r="AT1849" s="25"/>
      <c r="AU1849" s="25"/>
      <c r="AV1849" s="25"/>
      <c r="AW1849" s="25"/>
      <c r="AX1849" s="25"/>
      <c r="AY1849" s="25"/>
      <c r="AZ1849" s="25"/>
      <c r="BA1849" s="25"/>
      <c r="BB1849" s="25"/>
      <c r="BC1849" s="25"/>
      <c r="BD1849" s="25"/>
      <c r="BE1849" s="25"/>
      <c r="BF1849" s="25"/>
      <c r="BG1849" s="25"/>
      <c r="BH1849" s="25"/>
      <c r="BI1849" s="25"/>
      <c r="BJ1849" s="25"/>
      <c r="BK1849" s="25"/>
      <c r="BL1849" s="25"/>
      <c r="BM1849" s="25"/>
      <c r="BN1849" s="25"/>
      <c r="BO1849" s="25"/>
      <c r="BP1849" s="25"/>
      <c r="BQ1849" s="25"/>
      <c r="BR1849" s="25"/>
      <c r="BS1849" s="25"/>
      <c r="BT1849" s="25"/>
      <c r="BU1849" s="25"/>
      <c r="BV1849" s="25"/>
      <c r="BW1849" s="25"/>
      <c r="BX1849" s="25"/>
      <c r="BY1849" s="25"/>
      <c r="BZ1849" s="25"/>
      <c r="CA1849" s="25"/>
      <c r="CB1849" s="25"/>
    </row>
    <row r="1850" spans="1:80" ht="12.75" customHeight="1">
      <c r="A1850" s="10">
        <f ca="1">IFERROR(__xludf.DUMMYFUNCTION("""COMPUTED_VALUE"""),2024)</f>
        <v>2024</v>
      </c>
      <c r="B1850" s="41"/>
      <c r="C1850" s="41"/>
      <c r="D1850" s="42" t="str">
        <f ca="1">IFERROR(__xludf.DUMMYFUNCTION("""COMPUTED_VALUE"""),"Yellow-browed Warbler")</f>
        <v>Yellow-browed Warbler</v>
      </c>
      <c r="E1850" s="15">
        <f ca="1">IFERROR(__xludf.DUMMYFUNCTION("""COMPUTED_VALUE"""),1)</f>
        <v>1</v>
      </c>
      <c r="F1850" s="15"/>
      <c r="G1850" s="44" t="str">
        <f ca="1">IFERROR(__xludf.DUMMYFUNCTION("""COMPUTED_VALUE"""),"Crewe Business Park")</f>
        <v>Crewe Business Park</v>
      </c>
      <c r="H1850" s="12">
        <f ca="1">IFERROR(__xludf.DUMMYFUNCTION("""COMPUTED_VALUE"""),45644)</f>
        <v>45644</v>
      </c>
      <c r="I1850" s="12">
        <f ca="1">IFERROR(__xludf.DUMMYFUNCTION("""COMPUTED_VALUE"""),45644)</f>
        <v>45644</v>
      </c>
      <c r="J1850" s="14"/>
      <c r="K1850" s="15"/>
      <c r="L1850" s="16" t="str">
        <f ca="1">IFERROR(__xludf.DUMMYFUNCTION("""COMPUTED_VALUE"""),"limbo")</f>
        <v>limbo</v>
      </c>
      <c r="M1850" s="17"/>
      <c r="N1850" s="15" t="str">
        <f ca="1">IFERROR(__xludf.DUMMYFUNCTION("""COMPUTED_VALUE"""),"not submitted")</f>
        <v>not submitted</v>
      </c>
      <c r="O1850" s="18" t="str">
        <f ca="1">IFERROR(__xludf.DUMMYFUNCTION("""COMPUTED_VALUE"""),"Birdguides")</f>
        <v>Birdguides</v>
      </c>
      <c r="P1850" s="15"/>
      <c r="Q1850" s="15"/>
      <c r="R1850" s="15"/>
      <c r="S1850" s="15"/>
      <c r="T1850" s="15"/>
      <c r="U1850" s="15"/>
      <c r="V1850" s="15"/>
      <c r="W1850" s="15"/>
      <c r="X1850" s="15"/>
      <c r="Y1850" s="15"/>
      <c r="Z1850" s="15"/>
      <c r="AA1850" s="15"/>
      <c r="AB1850" s="15"/>
      <c r="AC1850" s="15"/>
      <c r="AD1850" s="15"/>
      <c r="AE1850" s="15"/>
      <c r="AF1850" s="15"/>
      <c r="AG1850" s="15"/>
      <c r="AH1850" s="15"/>
      <c r="AI1850" s="15"/>
      <c r="AJ1850" s="15"/>
      <c r="AK1850" s="15"/>
      <c r="AL1850" s="15"/>
      <c r="AM1850" s="15"/>
      <c r="AN1850" s="15"/>
      <c r="AO1850" s="15"/>
      <c r="AP1850" s="15"/>
      <c r="AQ1850" s="15"/>
      <c r="AR1850" s="15"/>
      <c r="AS1850" s="15"/>
      <c r="AT1850" s="15"/>
      <c r="AU1850" s="15"/>
      <c r="AV1850" s="15"/>
      <c r="AW1850" s="15"/>
      <c r="AX1850" s="15"/>
      <c r="AY1850" s="15"/>
      <c r="AZ1850" s="15"/>
      <c r="BA1850" s="15"/>
      <c r="BB1850" s="15"/>
      <c r="BC1850" s="15"/>
      <c r="BD1850" s="15"/>
      <c r="BE1850" s="15"/>
      <c r="BF1850" s="15"/>
      <c r="BG1850" s="15"/>
      <c r="BH1850" s="15"/>
      <c r="BI1850" s="15"/>
      <c r="BJ1850" s="15"/>
      <c r="BK1850" s="15"/>
      <c r="BL1850" s="15"/>
      <c r="BM1850" s="15"/>
      <c r="BN1850" s="15"/>
      <c r="BO1850" s="15"/>
      <c r="BP1850" s="15"/>
      <c r="BQ1850" s="15"/>
      <c r="BR1850" s="15"/>
      <c r="BS1850" s="15"/>
      <c r="BT1850" s="15"/>
      <c r="BU1850" s="15"/>
      <c r="BV1850" s="15"/>
      <c r="BW1850" s="15"/>
      <c r="BX1850" s="15"/>
      <c r="BY1850" s="15"/>
      <c r="BZ1850" s="15"/>
      <c r="CA1850" s="15"/>
      <c r="CB1850" s="15"/>
    </row>
    <row r="1851" spans="1:80" ht="12.75" customHeight="1">
      <c r="A1851" s="20">
        <f ca="1">IFERROR(__xludf.DUMMYFUNCTION("""COMPUTED_VALUE"""),2024)</f>
        <v>2024</v>
      </c>
      <c r="B1851" s="46"/>
      <c r="C1851" s="46"/>
      <c r="D1851" s="47" t="str">
        <f ca="1">IFERROR(__xludf.DUMMYFUNCTION("""COMPUTED_VALUE"""),"Siberian Chiffchaff [tristis race]")</f>
        <v>Siberian Chiffchaff [tristis race]</v>
      </c>
      <c r="E1851" s="25">
        <f ca="1">IFERROR(__xludf.DUMMYFUNCTION("""COMPUTED_VALUE"""),1)</f>
        <v>1</v>
      </c>
      <c r="F1851" s="25"/>
      <c r="G1851" s="48" t="str">
        <f ca="1">IFERROR(__xludf.DUMMYFUNCTION("""COMPUTED_VALUE"""),"Hilbre Bird Observatory")</f>
        <v>Hilbre Bird Observatory</v>
      </c>
      <c r="H1851" s="22">
        <f ca="1">IFERROR(__xludf.DUMMYFUNCTION("""COMPUTED_VALUE"""),45600)</f>
        <v>45600</v>
      </c>
      <c r="I1851" s="23"/>
      <c r="J1851" s="24"/>
      <c r="K1851" s="25"/>
      <c r="L1851" s="26" t="str">
        <f ca="1">IFERROR(__xludf.DUMMYFUNCTION("""COMPUTED_VALUE"""),"limbo")</f>
        <v>limbo</v>
      </c>
      <c r="M1851" s="27"/>
      <c r="N1851" s="25" t="str">
        <f ca="1">IFERROR(__xludf.DUMMYFUNCTION("""COMPUTED_VALUE"""),"not submitted")</f>
        <v>not submitted</v>
      </c>
      <c r="O1851" s="28" t="str">
        <f ca="1">IFERROR(__xludf.DUMMYFUNCTION("""COMPUTED_VALUE"""),"Birdguides")</f>
        <v>Birdguides</v>
      </c>
      <c r="P1851" s="25"/>
      <c r="Q1851" s="25"/>
      <c r="R1851" s="25"/>
      <c r="S1851" s="25"/>
      <c r="T1851" s="25"/>
      <c r="U1851" s="25"/>
      <c r="V1851" s="25"/>
      <c r="W1851" s="25"/>
      <c r="X1851" s="25"/>
      <c r="Y1851" s="25"/>
      <c r="Z1851" s="25"/>
      <c r="AA1851" s="25"/>
      <c r="AB1851" s="25"/>
      <c r="AC1851" s="25"/>
      <c r="AD1851" s="25"/>
      <c r="AE1851" s="25"/>
      <c r="AF1851" s="25"/>
      <c r="AG1851" s="25"/>
      <c r="AH1851" s="25"/>
      <c r="AI1851" s="25"/>
      <c r="AJ1851" s="25"/>
      <c r="AK1851" s="25"/>
      <c r="AL1851" s="25"/>
      <c r="AM1851" s="25"/>
      <c r="AN1851" s="25"/>
      <c r="AO1851" s="25"/>
      <c r="AP1851" s="25"/>
      <c r="AQ1851" s="25"/>
      <c r="AR1851" s="25"/>
      <c r="AS1851" s="25"/>
      <c r="AT1851" s="25"/>
      <c r="AU1851" s="25"/>
      <c r="AV1851" s="25"/>
      <c r="AW1851" s="25"/>
      <c r="AX1851" s="25"/>
      <c r="AY1851" s="25"/>
      <c r="AZ1851" s="25"/>
      <c r="BA1851" s="25"/>
      <c r="BB1851" s="25"/>
      <c r="BC1851" s="25"/>
      <c r="BD1851" s="25"/>
      <c r="BE1851" s="25"/>
      <c r="BF1851" s="25"/>
      <c r="BG1851" s="25"/>
      <c r="BH1851" s="25"/>
      <c r="BI1851" s="25"/>
      <c r="BJ1851" s="25"/>
      <c r="BK1851" s="25"/>
      <c r="BL1851" s="25"/>
      <c r="BM1851" s="25"/>
      <c r="BN1851" s="25"/>
      <c r="BO1851" s="25"/>
      <c r="BP1851" s="25"/>
      <c r="BQ1851" s="25"/>
      <c r="BR1851" s="25"/>
      <c r="BS1851" s="25"/>
      <c r="BT1851" s="25"/>
      <c r="BU1851" s="25"/>
      <c r="BV1851" s="25"/>
      <c r="BW1851" s="25"/>
      <c r="BX1851" s="25"/>
      <c r="BY1851" s="25"/>
      <c r="BZ1851" s="25"/>
      <c r="CA1851" s="25"/>
      <c r="CB1851" s="25"/>
    </row>
    <row r="1852" spans="1:80" ht="12.75" customHeight="1">
      <c r="A1852" s="10">
        <f ca="1">IFERROR(__xludf.DUMMYFUNCTION("""COMPUTED_VALUE"""),2024)</f>
        <v>2024</v>
      </c>
      <c r="B1852" s="41"/>
      <c r="C1852" s="41"/>
      <c r="D1852" s="42" t="str">
        <f ca="1">IFERROR(__xludf.DUMMYFUNCTION("""COMPUTED_VALUE"""),"Siberian Chiffchaff [tristis race]")</f>
        <v>Siberian Chiffchaff [tristis race]</v>
      </c>
      <c r="E1852" s="15">
        <f ca="1">IFERROR(__xludf.DUMMYFUNCTION("""COMPUTED_VALUE"""),1)</f>
        <v>1</v>
      </c>
      <c r="F1852" s="15"/>
      <c r="G1852" s="44" t="str">
        <f ca="1">IFERROR(__xludf.DUMMYFUNCTION("""COMPUTED_VALUE"""),"Glazebury Sewage Works")</f>
        <v>Glazebury Sewage Works</v>
      </c>
      <c r="H1852" s="12">
        <f ca="1">IFERROR(__xludf.DUMMYFUNCTION("""COMPUTED_VALUE"""),45622)</f>
        <v>45622</v>
      </c>
      <c r="I1852" s="12">
        <f ca="1">IFERROR(__xludf.DUMMYFUNCTION("""COMPUTED_VALUE"""),45622)</f>
        <v>45622</v>
      </c>
      <c r="J1852" s="14"/>
      <c r="K1852" s="15"/>
      <c r="L1852" s="16" t="str">
        <f ca="1">IFERROR(__xludf.DUMMYFUNCTION("""COMPUTED_VALUE"""),"limbo")</f>
        <v>limbo</v>
      </c>
      <c r="M1852" s="17"/>
      <c r="N1852" s="15" t="str">
        <f ca="1">IFERROR(__xludf.DUMMYFUNCTION("""COMPUTED_VALUE"""),"not submitted")</f>
        <v>not submitted</v>
      </c>
      <c r="O1852" s="18" t="str">
        <f ca="1">IFERROR(__xludf.DUMMYFUNCTION("""COMPUTED_VALUE"""),"Birdguides")</f>
        <v>Birdguides</v>
      </c>
      <c r="P1852" s="15"/>
      <c r="Q1852" s="15"/>
      <c r="R1852" s="15"/>
      <c r="S1852" s="15"/>
      <c r="T1852" s="15"/>
      <c r="U1852" s="15"/>
      <c r="V1852" s="15"/>
      <c r="W1852" s="15"/>
      <c r="X1852" s="15"/>
      <c r="Y1852" s="15"/>
      <c r="Z1852" s="15"/>
      <c r="AA1852" s="15"/>
      <c r="AB1852" s="15"/>
      <c r="AC1852" s="15"/>
      <c r="AD1852" s="15"/>
      <c r="AE1852" s="15"/>
      <c r="AF1852" s="15"/>
      <c r="AG1852" s="15"/>
      <c r="AH1852" s="15"/>
      <c r="AI1852" s="15"/>
      <c r="AJ1852" s="15"/>
      <c r="AK1852" s="15"/>
      <c r="AL1852" s="15"/>
      <c r="AM1852" s="15"/>
      <c r="AN1852" s="15"/>
      <c r="AO1852" s="15"/>
      <c r="AP1852" s="15"/>
      <c r="AQ1852" s="15"/>
      <c r="AR1852" s="15"/>
      <c r="AS1852" s="15"/>
      <c r="AT1852" s="15"/>
      <c r="AU1852" s="15"/>
      <c r="AV1852" s="15"/>
      <c r="AW1852" s="15"/>
      <c r="AX1852" s="15"/>
      <c r="AY1852" s="15"/>
      <c r="AZ1852" s="15"/>
      <c r="BA1852" s="15"/>
      <c r="BB1852" s="15"/>
      <c r="BC1852" s="15"/>
      <c r="BD1852" s="15"/>
      <c r="BE1852" s="15"/>
      <c r="BF1852" s="15"/>
      <c r="BG1852" s="15"/>
      <c r="BH1852" s="15"/>
      <c r="BI1852" s="15"/>
      <c r="BJ1852" s="15"/>
      <c r="BK1852" s="15"/>
      <c r="BL1852" s="15"/>
      <c r="BM1852" s="15"/>
      <c r="BN1852" s="15"/>
      <c r="BO1852" s="15"/>
      <c r="BP1852" s="15"/>
      <c r="BQ1852" s="15"/>
      <c r="BR1852" s="15"/>
      <c r="BS1852" s="15"/>
      <c r="BT1852" s="15"/>
      <c r="BU1852" s="15"/>
      <c r="BV1852" s="15"/>
      <c r="BW1852" s="15"/>
      <c r="BX1852" s="15"/>
      <c r="BY1852" s="15"/>
      <c r="BZ1852" s="15"/>
      <c r="CA1852" s="15"/>
      <c r="CB1852" s="15"/>
    </row>
    <row r="1853" spans="1:80" ht="12.75" customHeight="1">
      <c r="A1853" s="20">
        <f ca="1">IFERROR(__xludf.DUMMYFUNCTION("""COMPUTED_VALUE"""),2024)</f>
        <v>2024</v>
      </c>
      <c r="B1853" s="46"/>
      <c r="C1853" s="46"/>
      <c r="D1853" s="47" t="str">
        <f ca="1">IFERROR(__xludf.DUMMYFUNCTION("""COMPUTED_VALUE"""),"Siberian Chiffchaff [tristis race]")</f>
        <v>Siberian Chiffchaff [tristis race]</v>
      </c>
      <c r="E1853" s="25">
        <f ca="1">IFERROR(__xludf.DUMMYFUNCTION("""COMPUTED_VALUE"""),1)</f>
        <v>1</v>
      </c>
      <c r="F1853" s="25"/>
      <c r="G1853" s="48" t="str">
        <f ca="1">IFERROR(__xludf.DUMMYFUNCTION("""COMPUTED_VALUE"""),"Heswall Sewage Works")</f>
        <v>Heswall Sewage Works</v>
      </c>
      <c r="H1853" s="22">
        <f ca="1">IFERROR(__xludf.DUMMYFUNCTION("""COMPUTED_VALUE"""),45627)</f>
        <v>45627</v>
      </c>
      <c r="I1853" s="22">
        <f ca="1">IFERROR(__xludf.DUMMYFUNCTION("""COMPUTED_VALUE"""),45627)</f>
        <v>45627</v>
      </c>
      <c r="J1853" s="24"/>
      <c r="K1853" s="25"/>
      <c r="L1853" s="26" t="str">
        <f ca="1">IFERROR(__xludf.DUMMYFUNCTION("""COMPUTED_VALUE"""),"limbo")</f>
        <v>limbo</v>
      </c>
      <c r="M1853" s="27"/>
      <c r="N1853" s="25" t="str">
        <f ca="1">IFERROR(__xludf.DUMMYFUNCTION("""COMPUTED_VALUE"""),"not submitted")</f>
        <v>not submitted</v>
      </c>
      <c r="O1853" s="28" t="str">
        <f ca="1">IFERROR(__xludf.DUMMYFUNCTION("""COMPUTED_VALUE"""),"Birdguides")</f>
        <v>Birdguides</v>
      </c>
      <c r="P1853" s="25"/>
      <c r="Q1853" s="25"/>
      <c r="R1853" s="25"/>
      <c r="S1853" s="25"/>
      <c r="T1853" s="25"/>
      <c r="U1853" s="25"/>
      <c r="V1853" s="25"/>
      <c r="W1853" s="25"/>
      <c r="X1853" s="25"/>
      <c r="Y1853" s="25"/>
      <c r="Z1853" s="25"/>
      <c r="AA1853" s="25"/>
      <c r="AB1853" s="25"/>
      <c r="AC1853" s="25"/>
      <c r="AD1853" s="25"/>
      <c r="AE1853" s="25"/>
      <c r="AF1853" s="25"/>
      <c r="AG1853" s="25"/>
      <c r="AH1853" s="25"/>
      <c r="AI1853" s="25"/>
      <c r="AJ1853" s="25"/>
      <c r="AK1853" s="25"/>
      <c r="AL1853" s="25"/>
      <c r="AM1853" s="25"/>
      <c r="AN1853" s="25"/>
      <c r="AO1853" s="25"/>
      <c r="AP1853" s="25"/>
      <c r="AQ1853" s="25"/>
      <c r="AR1853" s="25"/>
      <c r="AS1853" s="25"/>
      <c r="AT1853" s="25"/>
      <c r="AU1853" s="25"/>
      <c r="AV1853" s="25"/>
      <c r="AW1853" s="25"/>
      <c r="AX1853" s="25"/>
      <c r="AY1853" s="25"/>
      <c r="AZ1853" s="25"/>
      <c r="BA1853" s="25"/>
      <c r="BB1853" s="25"/>
      <c r="BC1853" s="25"/>
      <c r="BD1853" s="25"/>
      <c r="BE1853" s="25"/>
      <c r="BF1853" s="25"/>
      <c r="BG1853" s="25"/>
      <c r="BH1853" s="25"/>
      <c r="BI1853" s="25"/>
      <c r="BJ1853" s="25"/>
      <c r="BK1853" s="25"/>
      <c r="BL1853" s="25"/>
      <c r="BM1853" s="25"/>
      <c r="BN1853" s="25"/>
      <c r="BO1853" s="25"/>
      <c r="BP1853" s="25"/>
      <c r="BQ1853" s="25"/>
      <c r="BR1853" s="25"/>
      <c r="BS1853" s="25"/>
      <c r="BT1853" s="25"/>
      <c r="BU1853" s="25"/>
      <c r="BV1853" s="25"/>
      <c r="BW1853" s="25"/>
      <c r="BX1853" s="25"/>
      <c r="BY1853" s="25"/>
      <c r="BZ1853" s="25"/>
      <c r="CA1853" s="25"/>
      <c r="CB1853" s="25"/>
    </row>
    <row r="1854" spans="1:80" ht="12.75" customHeight="1">
      <c r="A1854" s="10">
        <f ca="1">IFERROR(__xludf.DUMMYFUNCTION("""COMPUTED_VALUE"""),2024)</f>
        <v>2024</v>
      </c>
      <c r="B1854" s="41"/>
      <c r="C1854" s="41"/>
      <c r="D1854" s="42" t="str">
        <f ca="1">IFERROR(__xludf.DUMMYFUNCTION("""COMPUTED_VALUE"""),"Reed Warbler")</f>
        <v>Reed Warbler</v>
      </c>
      <c r="E1854" s="15">
        <f ca="1">IFERROR(__xludf.DUMMYFUNCTION("""COMPUTED_VALUE"""),1)</f>
        <v>1</v>
      </c>
      <c r="F1854" s="15"/>
      <c r="G1854" s="44" t="str">
        <f ca="1">IFERROR(__xludf.DUMMYFUNCTION("""COMPUTED_VALUE"""),"Chester Zoo Elephant House ")</f>
        <v xml:space="preserve">Chester Zoo Elephant House </v>
      </c>
      <c r="H1854" s="12">
        <f ca="1">IFERROR(__xludf.DUMMYFUNCTION("""COMPUTED_VALUE"""),45598)</f>
        <v>45598</v>
      </c>
      <c r="I1854" s="12">
        <f ca="1">IFERROR(__xludf.DUMMYFUNCTION("""COMPUTED_VALUE"""),45614)</f>
        <v>45614</v>
      </c>
      <c r="J1854" s="14"/>
      <c r="K1854" s="15"/>
      <c r="L1854" s="16" t="str">
        <f ca="1">IFERROR(__xludf.DUMMYFUNCTION("""COMPUTED_VALUE"""),"limbo")</f>
        <v>limbo</v>
      </c>
      <c r="M1854" s="17"/>
      <c r="N1854" s="15" t="str">
        <f ca="1">IFERROR(__xludf.DUMMYFUNCTION("""COMPUTED_VALUE"""),"not submitted")</f>
        <v>not submitted</v>
      </c>
      <c r="O1854" s="18" t="str">
        <f ca="1">IFERROR(__xludf.DUMMYFUNCTION("""COMPUTED_VALUE"""),"Birdguides")</f>
        <v>Birdguides</v>
      </c>
      <c r="P1854" s="15"/>
      <c r="Q1854" s="15"/>
      <c r="R1854" s="15"/>
      <c r="S1854" s="15"/>
      <c r="T1854" s="15"/>
      <c r="U1854" s="15"/>
      <c r="V1854" s="15"/>
      <c r="W1854" s="15"/>
      <c r="X1854" s="15"/>
      <c r="Y1854" s="15"/>
      <c r="Z1854" s="15"/>
      <c r="AA1854" s="15"/>
      <c r="AB1854" s="15"/>
      <c r="AC1854" s="15"/>
      <c r="AD1854" s="15"/>
      <c r="AE1854" s="15"/>
      <c r="AF1854" s="15"/>
      <c r="AG1854" s="15"/>
      <c r="AH1854" s="15"/>
      <c r="AI1854" s="15"/>
      <c r="AJ1854" s="15"/>
      <c r="AK1854" s="15"/>
      <c r="AL1854" s="15"/>
      <c r="AM1854" s="15"/>
      <c r="AN1854" s="15"/>
      <c r="AO1854" s="15"/>
      <c r="AP1854" s="15"/>
      <c r="AQ1854" s="15"/>
      <c r="AR1854" s="15"/>
      <c r="AS1854" s="15"/>
      <c r="AT1854" s="15"/>
      <c r="AU1854" s="15"/>
      <c r="AV1854" s="15"/>
      <c r="AW1854" s="15"/>
      <c r="AX1854" s="15"/>
      <c r="AY1854" s="15"/>
      <c r="AZ1854" s="15"/>
      <c r="BA1854" s="15"/>
      <c r="BB1854" s="15"/>
      <c r="BC1854" s="15"/>
      <c r="BD1854" s="15"/>
      <c r="BE1854" s="15"/>
      <c r="BF1854" s="15"/>
      <c r="BG1854" s="15"/>
      <c r="BH1854" s="15"/>
      <c r="BI1854" s="15"/>
      <c r="BJ1854" s="15"/>
      <c r="BK1854" s="15"/>
      <c r="BL1854" s="15"/>
      <c r="BM1854" s="15"/>
      <c r="BN1854" s="15"/>
      <c r="BO1854" s="15"/>
      <c r="BP1854" s="15"/>
      <c r="BQ1854" s="15"/>
      <c r="BR1854" s="15"/>
      <c r="BS1854" s="15"/>
      <c r="BT1854" s="15"/>
      <c r="BU1854" s="15"/>
      <c r="BV1854" s="15"/>
      <c r="BW1854" s="15"/>
      <c r="BX1854" s="15"/>
      <c r="BY1854" s="15"/>
      <c r="BZ1854" s="15"/>
      <c r="CA1854" s="15"/>
      <c r="CB1854" s="15"/>
    </row>
    <row r="1855" spans="1:80" ht="12.75" customHeight="1">
      <c r="A1855" s="20">
        <f ca="1">IFERROR(__xludf.DUMMYFUNCTION("""COMPUTED_VALUE"""),2024)</f>
        <v>2024</v>
      </c>
      <c r="B1855" s="46"/>
      <c r="C1855" s="46"/>
      <c r="D1855" s="47" t="str">
        <f ca="1">IFERROR(__xludf.DUMMYFUNCTION("""COMPUTED_VALUE"""),"Barred Warbler")</f>
        <v>Barred Warbler</v>
      </c>
      <c r="E1855" s="25">
        <f ca="1">IFERROR(__xludf.DUMMYFUNCTION("""COMPUTED_VALUE"""),1)</f>
        <v>1</v>
      </c>
      <c r="F1855" s="25" t="str">
        <f ca="1">IFERROR(__xludf.DUMMYFUNCTION("""COMPUTED_VALUE"""),"1st W")</f>
        <v>1st W</v>
      </c>
      <c r="G1855" s="48" t="str">
        <f ca="1">IFERROR(__xludf.DUMMYFUNCTION("""COMPUTED_VALUE"""),"Hoylake")</f>
        <v>Hoylake</v>
      </c>
      <c r="H1855" s="22">
        <f ca="1">IFERROR(__xludf.DUMMYFUNCTION("""COMPUTED_VALUE"""),45602)</f>
        <v>45602</v>
      </c>
      <c r="I1855" s="22">
        <f ca="1">IFERROR(__xludf.DUMMYFUNCTION("""COMPUTED_VALUE"""),45606)</f>
        <v>45606</v>
      </c>
      <c r="J1855" s="24" t="str">
        <f ca="1">IFERROR(__xludf.DUMMYFUNCTION("""COMPUTED_VALUE"""),"Turner, JE")</f>
        <v>Turner, JE</v>
      </c>
      <c r="K1855" s="25" t="str">
        <f ca="1">IFERROR(__xludf.DUMMYFUNCTION("""COMPUTED_VALUE"""),"Whittaker, M")</f>
        <v>Whittaker, M</v>
      </c>
      <c r="L1855" s="26" t="str">
        <f ca="1">IFERROR(__xludf.DUMMYFUNCTION("""COMPUTED_VALUE"""),"closed")</f>
        <v>closed</v>
      </c>
      <c r="M1855" s="27"/>
      <c r="N1855" s="25" t="str">
        <f ca="1">IFERROR(__xludf.DUMMYFUNCTION("""COMPUTED_VALUE"""),"Accepted w/o circulation")</f>
        <v>Accepted w/o circulation</v>
      </c>
      <c r="O1855" s="28" t="str">
        <f ca="1">IFERROR(__xludf.DUMMYFUNCTION("""COMPUTED_VALUE"""),"trapped, photographed and multi observed")</f>
        <v>trapped, photographed and multi observed</v>
      </c>
      <c r="P1855" s="25"/>
      <c r="Q1855" s="25"/>
      <c r="R1855" s="25"/>
      <c r="S1855" s="25"/>
      <c r="T1855" s="25"/>
      <c r="U1855" s="25"/>
      <c r="V1855" s="25"/>
      <c r="W1855" s="25"/>
      <c r="X1855" s="25"/>
      <c r="Y1855" s="25"/>
      <c r="Z1855" s="25"/>
      <c r="AA1855" s="25"/>
      <c r="AB1855" s="25"/>
      <c r="AC1855" s="25"/>
      <c r="AD1855" s="25"/>
      <c r="AE1855" s="25"/>
      <c r="AF1855" s="25"/>
      <c r="AG1855" s="25"/>
      <c r="AH1855" s="25"/>
      <c r="AI1855" s="25"/>
      <c r="AJ1855" s="25"/>
      <c r="AK1855" s="25"/>
      <c r="AL1855" s="25"/>
      <c r="AM1855" s="25"/>
      <c r="AN1855" s="25"/>
      <c r="AO1855" s="25"/>
      <c r="AP1855" s="25"/>
      <c r="AQ1855" s="25"/>
      <c r="AR1855" s="25"/>
      <c r="AS1855" s="25"/>
      <c r="AT1855" s="25"/>
      <c r="AU1855" s="25"/>
      <c r="AV1855" s="25"/>
      <c r="AW1855" s="25"/>
      <c r="AX1855" s="25"/>
      <c r="AY1855" s="25"/>
      <c r="AZ1855" s="25"/>
      <c r="BA1855" s="25"/>
      <c r="BB1855" s="25"/>
      <c r="BC1855" s="25"/>
      <c r="BD1855" s="25"/>
      <c r="BE1855" s="25"/>
      <c r="BF1855" s="25"/>
      <c r="BG1855" s="25"/>
      <c r="BH1855" s="25"/>
      <c r="BI1855" s="25"/>
      <c r="BJ1855" s="25"/>
      <c r="BK1855" s="25"/>
      <c r="BL1855" s="25"/>
      <c r="BM1855" s="25"/>
      <c r="BN1855" s="25"/>
      <c r="BO1855" s="25"/>
      <c r="BP1855" s="25"/>
      <c r="BQ1855" s="25"/>
      <c r="BR1855" s="25"/>
      <c r="BS1855" s="25"/>
      <c r="BT1855" s="25"/>
      <c r="BU1855" s="25"/>
      <c r="BV1855" s="25"/>
      <c r="BW1855" s="25"/>
      <c r="BX1855" s="25"/>
      <c r="BY1855" s="25"/>
      <c r="BZ1855" s="25"/>
      <c r="CA1855" s="25"/>
      <c r="CB1855" s="25"/>
    </row>
    <row r="1856" spans="1:80" ht="12.75" customHeight="1">
      <c r="A1856" s="10">
        <f ca="1">IFERROR(__xludf.DUMMYFUNCTION("""COMPUTED_VALUE"""),2024)</f>
        <v>2024</v>
      </c>
      <c r="B1856" s="41">
        <f ca="1">IFERROR(__xludf.DUMMYFUNCTION("""COMPUTED_VALUE"""),45786)</f>
        <v>45786</v>
      </c>
      <c r="C1856" s="41"/>
      <c r="D1856" s="42" t="str">
        <f ca="1">IFERROR(__xludf.DUMMYFUNCTION("""COMPUTED_VALUE"""),"Black Redstart")</f>
        <v>Black Redstart</v>
      </c>
      <c r="E1856" s="15">
        <f ca="1">IFERROR(__xludf.DUMMYFUNCTION("""COMPUTED_VALUE"""),1)</f>
        <v>1</v>
      </c>
      <c r="F1856" s="15"/>
      <c r="G1856" s="44" t="str">
        <f ca="1">IFERROR(__xludf.DUMMYFUNCTION("""COMPUTED_VALUE"""),"The Chase, Welsh Rd, Little Sutton, Ellesmere Port")</f>
        <v>The Chase, Welsh Rd, Little Sutton, Ellesmere Port</v>
      </c>
      <c r="H1856" s="12">
        <f ca="1">IFERROR(__xludf.DUMMYFUNCTION("""COMPUTED_VALUE"""),45403)</f>
        <v>45403</v>
      </c>
      <c r="I1856" s="13"/>
      <c r="J1856" s="14"/>
      <c r="K1856" s="15"/>
      <c r="L1856" s="16" t="str">
        <f ca="1">IFERROR(__xludf.DUMMYFUNCTION("""COMPUTED_VALUE"""),"limbo")</f>
        <v>limbo</v>
      </c>
      <c r="M1856" s="17"/>
      <c r="N1856" s="15" t="str">
        <f ca="1">IFERROR(__xludf.DUMMYFUNCTION("""COMPUTED_VALUE"""),"not submitted")</f>
        <v>not submitted</v>
      </c>
      <c r="O1856" s="18"/>
      <c r="P1856" s="15"/>
      <c r="Q1856" s="15"/>
      <c r="R1856" s="15"/>
      <c r="S1856" s="15"/>
      <c r="T1856" s="15"/>
      <c r="U1856" s="15"/>
      <c r="V1856" s="15"/>
      <c r="W1856" s="15"/>
      <c r="X1856" s="15"/>
      <c r="Y1856" s="15"/>
      <c r="Z1856" s="15"/>
      <c r="AA1856" s="15"/>
      <c r="AB1856" s="15"/>
      <c r="AC1856" s="15"/>
      <c r="AD1856" s="15"/>
      <c r="AE1856" s="15"/>
      <c r="AF1856" s="15"/>
      <c r="AG1856" s="15"/>
      <c r="AH1856" s="15"/>
      <c r="AI1856" s="15"/>
      <c r="AJ1856" s="15"/>
      <c r="AK1856" s="15"/>
      <c r="AL1856" s="15"/>
      <c r="AM1856" s="15"/>
      <c r="AN1856" s="15"/>
      <c r="AO1856" s="15"/>
      <c r="AP1856" s="15"/>
      <c r="AQ1856" s="15"/>
      <c r="AR1856" s="15"/>
      <c r="AS1856" s="15"/>
      <c r="AT1856" s="15"/>
      <c r="AU1856" s="15"/>
      <c r="AV1856" s="15"/>
      <c r="AW1856" s="15"/>
      <c r="AX1856" s="15"/>
      <c r="AY1856" s="15"/>
      <c r="AZ1856" s="15"/>
      <c r="BA1856" s="15"/>
      <c r="BB1856" s="15"/>
      <c r="BC1856" s="15"/>
      <c r="BD1856" s="15"/>
      <c r="BE1856" s="15"/>
      <c r="BF1856" s="15"/>
      <c r="BG1856" s="15"/>
      <c r="BH1856" s="15"/>
      <c r="BI1856" s="15"/>
      <c r="BJ1856" s="15"/>
      <c r="BK1856" s="15"/>
      <c r="BL1856" s="15"/>
      <c r="BM1856" s="15"/>
      <c r="BN1856" s="15"/>
      <c r="BO1856" s="15"/>
      <c r="BP1856" s="15"/>
      <c r="BQ1856" s="15"/>
      <c r="BR1856" s="15"/>
      <c r="BS1856" s="15"/>
      <c r="BT1856" s="15"/>
      <c r="BU1856" s="15"/>
      <c r="BV1856" s="15"/>
      <c r="BW1856" s="15"/>
      <c r="BX1856" s="15"/>
      <c r="BY1856" s="15"/>
      <c r="BZ1856" s="15"/>
      <c r="CA1856" s="15"/>
      <c r="CB1856" s="15"/>
    </row>
    <row r="1857" spans="1:80" ht="12.75" customHeight="1">
      <c r="A1857" s="20">
        <f ca="1">IFERROR(__xludf.DUMMYFUNCTION("""COMPUTED_VALUE"""),2024)</f>
        <v>2024</v>
      </c>
      <c r="B1857" s="46">
        <f ca="1">IFERROR(__xludf.DUMMYFUNCTION("""COMPUTED_VALUE"""),45786)</f>
        <v>45786</v>
      </c>
      <c r="C1857" s="46"/>
      <c r="D1857" s="47" t="str">
        <f ca="1">IFERROR(__xludf.DUMMYFUNCTION("""COMPUTED_VALUE"""),"Black Redstart")</f>
        <v>Black Redstart</v>
      </c>
      <c r="E1857" s="25">
        <f ca="1">IFERROR(__xludf.DUMMYFUNCTION("""COMPUTED_VALUE"""),1)</f>
        <v>1</v>
      </c>
      <c r="F1857" s="25"/>
      <c r="G1857" s="48" t="str">
        <f ca="1">IFERROR(__xludf.DUMMYFUNCTION("""COMPUTED_VALUE"""),"Greasby")</f>
        <v>Greasby</v>
      </c>
      <c r="H1857" s="22">
        <f ca="1">IFERROR(__xludf.DUMMYFUNCTION("""COMPUTED_VALUE"""),45496)</f>
        <v>45496</v>
      </c>
      <c r="I1857" s="23"/>
      <c r="J1857" s="24"/>
      <c r="K1857" s="25"/>
      <c r="L1857" s="26" t="str">
        <f ca="1">IFERROR(__xludf.DUMMYFUNCTION("""COMPUTED_VALUE"""),"limbo")</f>
        <v>limbo</v>
      </c>
      <c r="M1857" s="27"/>
      <c r="N1857" s="25" t="str">
        <f ca="1">IFERROR(__xludf.DUMMYFUNCTION("""COMPUTED_VALUE"""),"not submitted")</f>
        <v>not submitted</v>
      </c>
      <c r="O1857" s="28" t="str">
        <f ca="1">IFERROR(__xludf.DUMMYFUNCTION("""COMPUTED_VALUE"""),"Birdguides")</f>
        <v>Birdguides</v>
      </c>
      <c r="P1857" s="25"/>
      <c r="Q1857" s="25"/>
      <c r="R1857" s="25"/>
      <c r="S1857" s="25"/>
      <c r="T1857" s="25"/>
      <c r="U1857" s="25"/>
      <c r="V1857" s="25"/>
      <c r="W1857" s="25"/>
      <c r="X1857" s="25"/>
      <c r="Y1857" s="25"/>
      <c r="Z1857" s="25"/>
      <c r="AA1857" s="25"/>
      <c r="AB1857" s="25"/>
      <c r="AC1857" s="25"/>
      <c r="AD1857" s="25"/>
      <c r="AE1857" s="25"/>
      <c r="AF1857" s="25"/>
      <c r="AG1857" s="25"/>
      <c r="AH1857" s="25"/>
      <c r="AI1857" s="25"/>
      <c r="AJ1857" s="25"/>
      <c r="AK1857" s="25"/>
      <c r="AL1857" s="25"/>
      <c r="AM1857" s="25"/>
      <c r="AN1857" s="25"/>
      <c r="AO1857" s="25"/>
      <c r="AP1857" s="25"/>
      <c r="AQ1857" s="25"/>
      <c r="AR1857" s="25"/>
      <c r="AS1857" s="25"/>
      <c r="AT1857" s="25"/>
      <c r="AU1857" s="25"/>
      <c r="AV1857" s="25"/>
      <c r="AW1857" s="25"/>
      <c r="AX1857" s="25"/>
      <c r="AY1857" s="25"/>
      <c r="AZ1857" s="25"/>
      <c r="BA1857" s="25"/>
      <c r="BB1857" s="25"/>
      <c r="BC1857" s="25"/>
      <c r="BD1857" s="25"/>
      <c r="BE1857" s="25"/>
      <c r="BF1857" s="25"/>
      <c r="BG1857" s="25"/>
      <c r="BH1857" s="25"/>
      <c r="BI1857" s="25"/>
      <c r="BJ1857" s="25"/>
      <c r="BK1857" s="25"/>
      <c r="BL1857" s="25"/>
      <c r="BM1857" s="25"/>
      <c r="BN1857" s="25"/>
      <c r="BO1857" s="25"/>
      <c r="BP1857" s="25"/>
      <c r="BQ1857" s="25"/>
      <c r="BR1857" s="25"/>
      <c r="BS1857" s="25"/>
      <c r="BT1857" s="25"/>
      <c r="BU1857" s="25"/>
      <c r="BV1857" s="25"/>
      <c r="BW1857" s="25"/>
      <c r="BX1857" s="25"/>
      <c r="BY1857" s="25"/>
      <c r="BZ1857" s="25"/>
      <c r="CA1857" s="25"/>
      <c r="CB1857" s="25"/>
    </row>
    <row r="1858" spans="1:80" ht="12.75" customHeight="1">
      <c r="A1858" s="10">
        <f ca="1">IFERROR(__xludf.DUMMYFUNCTION("""COMPUTED_VALUE"""),2024)</f>
        <v>2024</v>
      </c>
      <c r="B1858" s="41">
        <f ca="1">IFERROR(__xludf.DUMMYFUNCTION("""COMPUTED_VALUE"""),45786)</f>
        <v>45786</v>
      </c>
      <c r="C1858" s="41"/>
      <c r="D1858" s="42" t="str">
        <f ca="1">IFERROR(__xludf.DUMMYFUNCTION("""COMPUTED_VALUE"""),"Black Redstart")</f>
        <v>Black Redstart</v>
      </c>
      <c r="E1858" s="15">
        <f ca="1">IFERROR(__xludf.DUMMYFUNCTION("""COMPUTED_VALUE"""),1)</f>
        <v>1</v>
      </c>
      <c r="F1858" s="15"/>
      <c r="G1858" s="44" t="str">
        <f ca="1">IFERROR(__xludf.DUMMYFUNCTION("""COMPUTED_VALUE"""),"Burton Mere Wetlands")</f>
        <v>Burton Mere Wetlands</v>
      </c>
      <c r="H1858" s="12">
        <f ca="1">IFERROR(__xludf.DUMMYFUNCTION("""COMPUTED_VALUE"""),45657)</f>
        <v>45657</v>
      </c>
      <c r="I1858" s="13"/>
      <c r="J1858" s="14"/>
      <c r="K1858" s="15"/>
      <c r="L1858" s="16" t="str">
        <f ca="1">IFERROR(__xludf.DUMMYFUNCTION("""COMPUTED_VALUE"""),"limbo")</f>
        <v>limbo</v>
      </c>
      <c r="M1858" s="17"/>
      <c r="N1858" s="15" t="str">
        <f ca="1">IFERROR(__xludf.DUMMYFUNCTION("""COMPUTED_VALUE"""),"not submitted")</f>
        <v>not submitted</v>
      </c>
      <c r="O1858" s="18" t="str">
        <f ca="1">IFERROR(__xludf.DUMMYFUNCTION("""COMPUTED_VALUE"""),"Birdguides")</f>
        <v>Birdguides</v>
      </c>
      <c r="P1858" s="15"/>
      <c r="Q1858" s="15"/>
      <c r="R1858" s="15"/>
      <c r="S1858" s="15"/>
      <c r="T1858" s="15"/>
      <c r="U1858" s="15"/>
      <c r="V1858" s="15"/>
      <c r="W1858" s="15"/>
      <c r="X1858" s="15"/>
      <c r="Y1858" s="15"/>
      <c r="Z1858" s="15"/>
      <c r="AA1858" s="15"/>
      <c r="AB1858" s="15"/>
      <c r="AC1858" s="15"/>
      <c r="AD1858" s="15"/>
      <c r="AE1858" s="15"/>
      <c r="AF1858" s="15"/>
      <c r="AG1858" s="15"/>
      <c r="AH1858" s="15"/>
      <c r="AI1858" s="15"/>
      <c r="AJ1858" s="15"/>
      <c r="AK1858" s="15"/>
      <c r="AL1858" s="15"/>
      <c r="AM1858" s="15"/>
      <c r="AN1858" s="15"/>
      <c r="AO1858" s="15"/>
      <c r="AP1858" s="15"/>
      <c r="AQ1858" s="15"/>
      <c r="AR1858" s="15"/>
      <c r="AS1858" s="15"/>
      <c r="AT1858" s="15"/>
      <c r="AU1858" s="15"/>
      <c r="AV1858" s="15"/>
      <c r="AW1858" s="15"/>
      <c r="AX1858" s="15"/>
      <c r="AY1858" s="15"/>
      <c r="AZ1858" s="15"/>
      <c r="BA1858" s="15"/>
      <c r="BB1858" s="15"/>
      <c r="BC1858" s="15"/>
      <c r="BD1858" s="15"/>
      <c r="BE1858" s="15"/>
      <c r="BF1858" s="15"/>
      <c r="BG1858" s="15"/>
      <c r="BH1858" s="15"/>
      <c r="BI1858" s="15"/>
      <c r="BJ1858" s="15"/>
      <c r="BK1858" s="15"/>
      <c r="BL1858" s="15"/>
      <c r="BM1858" s="15"/>
      <c r="BN1858" s="15"/>
      <c r="BO1858" s="15"/>
      <c r="BP1858" s="15"/>
      <c r="BQ1858" s="15"/>
      <c r="BR1858" s="15"/>
      <c r="BS1858" s="15"/>
      <c r="BT1858" s="15"/>
      <c r="BU1858" s="15"/>
      <c r="BV1858" s="15"/>
      <c r="BW1858" s="15"/>
      <c r="BX1858" s="15"/>
      <c r="BY1858" s="15"/>
      <c r="BZ1858" s="15"/>
      <c r="CA1858" s="15"/>
      <c r="CB1858" s="15"/>
    </row>
    <row r="1859" spans="1:80" ht="12.75" customHeight="1">
      <c r="A1859" s="20">
        <f ca="1">IFERROR(__xludf.DUMMYFUNCTION("""COMPUTED_VALUE"""),2024)</f>
        <v>2024</v>
      </c>
      <c r="B1859" s="46"/>
      <c r="C1859" s="46"/>
      <c r="D1859" s="47" t="str">
        <f ca="1">IFERROR(__xludf.DUMMYFUNCTION("""COMPUTED_VALUE"""),"Lapland Bunting")</f>
        <v>Lapland Bunting</v>
      </c>
      <c r="E1859" s="25">
        <f ca="1">IFERROR(__xludf.DUMMYFUNCTION("""COMPUTED_VALUE"""),1)</f>
        <v>1</v>
      </c>
      <c r="F1859" s="25"/>
      <c r="G1859" s="48" t="str">
        <f ca="1">IFERROR(__xludf.DUMMYFUNCTION("""COMPUTED_VALUE"""),"Hilbre Bird Observatory")</f>
        <v>Hilbre Bird Observatory</v>
      </c>
      <c r="H1859" s="22">
        <f ca="1">IFERROR(__xludf.DUMMYFUNCTION("""COMPUTED_VALUE"""),45570)</f>
        <v>45570</v>
      </c>
      <c r="I1859" s="23"/>
      <c r="J1859" s="24"/>
      <c r="K1859" s="25"/>
      <c r="L1859" s="26" t="str">
        <f ca="1">IFERROR(__xludf.DUMMYFUNCTION("""COMPUTED_VALUE"""),"closed")</f>
        <v>closed</v>
      </c>
      <c r="M1859" s="27"/>
      <c r="N1859" s="25" t="str">
        <f ca="1">IFERROR(__xludf.DUMMYFUNCTION("""COMPUTED_VALUE"""),"Description not needed")</f>
        <v>Description not needed</v>
      </c>
      <c r="O1859" s="28" t="str">
        <f ca="1">IFERROR(__xludf.DUMMYFUNCTION("""COMPUTED_VALUE"""),"Birdguides")</f>
        <v>Birdguides</v>
      </c>
      <c r="P1859" s="25"/>
      <c r="Q1859" s="25"/>
      <c r="R1859" s="25"/>
      <c r="S1859" s="25"/>
      <c r="T1859" s="25"/>
      <c r="U1859" s="25"/>
      <c r="V1859" s="25"/>
      <c r="W1859" s="25"/>
      <c r="X1859" s="25"/>
      <c r="Y1859" s="25"/>
      <c r="Z1859" s="25"/>
      <c r="AA1859" s="25"/>
      <c r="AB1859" s="25"/>
      <c r="AC1859" s="25"/>
      <c r="AD1859" s="25"/>
      <c r="AE1859" s="25"/>
      <c r="AF1859" s="25"/>
      <c r="AG1859" s="25"/>
      <c r="AH1859" s="25"/>
      <c r="AI1859" s="25"/>
      <c r="AJ1859" s="25"/>
      <c r="AK1859" s="25"/>
      <c r="AL1859" s="25"/>
      <c r="AM1859" s="25"/>
      <c r="AN1859" s="25"/>
      <c r="AO1859" s="25"/>
      <c r="AP1859" s="25"/>
      <c r="AQ1859" s="25"/>
      <c r="AR1859" s="25"/>
      <c r="AS1859" s="25"/>
      <c r="AT1859" s="25"/>
      <c r="AU1859" s="25"/>
      <c r="AV1859" s="25"/>
      <c r="AW1859" s="25"/>
      <c r="AX1859" s="25"/>
      <c r="AY1859" s="25"/>
      <c r="AZ1859" s="25"/>
      <c r="BA1859" s="25"/>
      <c r="BB1859" s="25"/>
      <c r="BC1859" s="25"/>
      <c r="BD1859" s="25"/>
      <c r="BE1859" s="25"/>
      <c r="BF1859" s="25"/>
      <c r="BG1859" s="25"/>
      <c r="BH1859" s="25"/>
      <c r="BI1859" s="25"/>
      <c r="BJ1859" s="25"/>
      <c r="BK1859" s="25"/>
      <c r="BL1859" s="25"/>
      <c r="BM1859" s="25"/>
      <c r="BN1859" s="25"/>
      <c r="BO1859" s="25"/>
      <c r="BP1859" s="25"/>
      <c r="BQ1859" s="25"/>
      <c r="BR1859" s="25"/>
      <c r="BS1859" s="25"/>
      <c r="BT1859" s="25"/>
      <c r="BU1859" s="25"/>
      <c r="BV1859" s="25"/>
      <c r="BW1859" s="25"/>
      <c r="BX1859" s="25"/>
      <c r="BY1859" s="25"/>
      <c r="BZ1859" s="25"/>
      <c r="CA1859" s="25"/>
      <c r="CB1859" s="25"/>
    </row>
    <row r="1860" spans="1:80" ht="12.75" customHeight="1">
      <c r="A1860" s="10">
        <f ca="1">IFERROR(__xludf.DUMMYFUNCTION("""COMPUTED_VALUE"""),2024)</f>
        <v>2024</v>
      </c>
      <c r="B1860" s="41"/>
      <c r="C1860" s="41"/>
      <c r="D1860" s="42" t="str">
        <f ca="1">IFERROR(__xludf.DUMMYFUNCTION("""COMPUTED_VALUE"""),"Lapland Bunting")</f>
        <v>Lapland Bunting</v>
      </c>
      <c r="E1860" s="15">
        <f ca="1">IFERROR(__xludf.DUMMYFUNCTION("""COMPUTED_VALUE"""),1)</f>
        <v>1</v>
      </c>
      <c r="F1860" s="15"/>
      <c r="G1860" s="44" t="str">
        <f ca="1">IFERROR(__xludf.DUMMYFUNCTION("""COMPUTED_VALUE"""),"Heswall")</f>
        <v>Heswall</v>
      </c>
      <c r="H1860" s="12">
        <f ca="1">IFERROR(__xludf.DUMMYFUNCTION("""COMPUTED_VALUE"""),45586)</f>
        <v>45586</v>
      </c>
      <c r="I1860" s="13"/>
      <c r="J1860" s="14"/>
      <c r="K1860" s="15"/>
      <c r="L1860" s="16" t="str">
        <f ca="1">IFERROR(__xludf.DUMMYFUNCTION("""COMPUTED_VALUE"""),"exemption")</f>
        <v>exemption</v>
      </c>
      <c r="M1860" s="17"/>
      <c r="N1860" s="15" t="str">
        <f ca="1">IFERROR(__xludf.DUMMYFUNCTION("""COMPUTED_VALUE"""),"Description not needed")</f>
        <v>Description not needed</v>
      </c>
      <c r="O1860" s="18" t="str">
        <f ca="1">IFERROR(__xludf.DUMMYFUNCTION("""COMPUTED_VALUE"""),"Birdguides")</f>
        <v>Birdguides</v>
      </c>
      <c r="P1860" s="15"/>
      <c r="Q1860" s="15"/>
      <c r="R1860" s="15"/>
      <c r="S1860" s="15"/>
      <c r="T1860" s="15"/>
      <c r="U1860" s="15"/>
      <c r="V1860" s="15"/>
      <c r="W1860" s="15"/>
      <c r="X1860" s="15"/>
      <c r="Y1860" s="15"/>
      <c r="Z1860" s="15"/>
      <c r="AA1860" s="15"/>
      <c r="AB1860" s="15"/>
      <c r="AC1860" s="15"/>
      <c r="AD1860" s="15"/>
      <c r="AE1860" s="15"/>
      <c r="AF1860" s="15"/>
      <c r="AG1860" s="15"/>
      <c r="AH1860" s="15"/>
      <c r="AI1860" s="15"/>
      <c r="AJ1860" s="15"/>
      <c r="AK1860" s="15"/>
      <c r="AL1860" s="15"/>
      <c r="AM1860" s="15"/>
      <c r="AN1860" s="15"/>
      <c r="AO1860" s="15"/>
      <c r="AP1860" s="15"/>
      <c r="AQ1860" s="15"/>
      <c r="AR1860" s="15"/>
      <c r="AS1860" s="15"/>
      <c r="AT1860" s="15"/>
      <c r="AU1860" s="15"/>
      <c r="AV1860" s="15"/>
      <c r="AW1860" s="15"/>
      <c r="AX1860" s="15"/>
      <c r="AY1860" s="15"/>
      <c r="AZ1860" s="15"/>
      <c r="BA1860" s="15"/>
      <c r="BB1860" s="15"/>
      <c r="BC1860" s="15"/>
      <c r="BD1860" s="15"/>
      <c r="BE1860" s="15"/>
      <c r="BF1860" s="15"/>
      <c r="BG1860" s="15"/>
      <c r="BH1860" s="15"/>
      <c r="BI1860" s="15"/>
      <c r="BJ1860" s="15"/>
      <c r="BK1860" s="15"/>
      <c r="BL1860" s="15"/>
      <c r="BM1860" s="15"/>
      <c r="BN1860" s="15"/>
      <c r="BO1860" s="15"/>
      <c r="BP1860" s="15"/>
      <c r="BQ1860" s="15"/>
      <c r="BR1860" s="15"/>
      <c r="BS1860" s="15"/>
      <c r="BT1860" s="15"/>
      <c r="BU1860" s="15"/>
      <c r="BV1860" s="15"/>
      <c r="BW1860" s="15"/>
      <c r="BX1860" s="15"/>
      <c r="BY1860" s="15"/>
      <c r="BZ1860" s="15"/>
      <c r="CA1860" s="15"/>
      <c r="CB1860" s="15"/>
    </row>
    <row r="1861" spans="1:80" ht="12.75" customHeight="1">
      <c r="A1861" s="20">
        <f ca="1">IFERROR(__xludf.DUMMYFUNCTION("""COMPUTED_VALUE"""),2024)</f>
        <v>2024</v>
      </c>
      <c r="B1861" s="46"/>
      <c r="C1861" s="46"/>
      <c r="D1861" s="47" t="str">
        <f ca="1">IFERROR(__xludf.DUMMYFUNCTION("""COMPUTED_VALUE"""),"Lapland Bunting")</f>
        <v>Lapland Bunting</v>
      </c>
      <c r="E1861" s="25">
        <f ca="1">IFERROR(__xludf.DUMMYFUNCTION("""COMPUTED_VALUE"""),1)</f>
        <v>1</v>
      </c>
      <c r="F1861" s="25"/>
      <c r="G1861" s="48" t="str">
        <f ca="1">IFERROR(__xludf.DUMMYFUNCTION("""COMPUTED_VALUE"""),"Hoylake")</f>
        <v>Hoylake</v>
      </c>
      <c r="H1861" s="22">
        <f ca="1">IFERROR(__xludf.DUMMYFUNCTION("""COMPUTED_VALUE"""),45607)</f>
        <v>45607</v>
      </c>
      <c r="I1861" s="22">
        <f ca="1">IFERROR(__xludf.DUMMYFUNCTION("""COMPUTED_VALUE"""),45607)</f>
        <v>45607</v>
      </c>
      <c r="J1861" s="24"/>
      <c r="K1861" s="25"/>
      <c r="L1861" s="26" t="str">
        <f ca="1">IFERROR(__xludf.DUMMYFUNCTION("""COMPUTED_VALUE"""),"exemption")</f>
        <v>exemption</v>
      </c>
      <c r="M1861" s="27"/>
      <c r="N1861" s="25" t="str">
        <f ca="1">IFERROR(__xludf.DUMMYFUNCTION("""COMPUTED_VALUE"""),"Description not needed")</f>
        <v>Description not needed</v>
      </c>
      <c r="O1861" s="28"/>
      <c r="P1861" s="25"/>
      <c r="Q1861" s="25"/>
      <c r="R1861" s="25"/>
      <c r="S1861" s="25"/>
      <c r="T1861" s="25"/>
      <c r="U1861" s="25"/>
      <c r="V1861" s="25"/>
      <c r="W1861" s="25"/>
      <c r="X1861" s="25"/>
      <c r="Y1861" s="25"/>
      <c r="Z1861" s="25"/>
      <c r="AA1861" s="25"/>
      <c r="AB1861" s="25"/>
      <c r="AC1861" s="25"/>
      <c r="AD1861" s="25"/>
      <c r="AE1861" s="25"/>
      <c r="AF1861" s="25"/>
      <c r="AG1861" s="25"/>
      <c r="AH1861" s="25"/>
      <c r="AI1861" s="25"/>
      <c r="AJ1861" s="25"/>
      <c r="AK1861" s="25"/>
      <c r="AL1861" s="25"/>
      <c r="AM1861" s="25"/>
      <c r="AN1861" s="25"/>
      <c r="AO1861" s="25"/>
      <c r="AP1861" s="25"/>
      <c r="AQ1861" s="25"/>
      <c r="AR1861" s="25"/>
      <c r="AS1861" s="25"/>
      <c r="AT1861" s="25"/>
      <c r="AU1861" s="25"/>
      <c r="AV1861" s="25"/>
      <c r="AW1861" s="25"/>
      <c r="AX1861" s="25"/>
      <c r="AY1861" s="25"/>
      <c r="AZ1861" s="25"/>
      <c r="BA1861" s="25"/>
      <c r="BB1861" s="25"/>
      <c r="BC1861" s="25"/>
      <c r="BD1861" s="25"/>
      <c r="BE1861" s="25"/>
      <c r="BF1861" s="25"/>
      <c r="BG1861" s="25"/>
      <c r="BH1861" s="25"/>
      <c r="BI1861" s="25"/>
      <c r="BJ1861" s="25"/>
      <c r="BK1861" s="25"/>
      <c r="BL1861" s="25"/>
      <c r="BM1861" s="25"/>
      <c r="BN1861" s="25"/>
      <c r="BO1861" s="25"/>
      <c r="BP1861" s="25"/>
      <c r="BQ1861" s="25"/>
      <c r="BR1861" s="25"/>
      <c r="BS1861" s="25"/>
      <c r="BT1861" s="25"/>
      <c r="BU1861" s="25"/>
      <c r="BV1861" s="25"/>
      <c r="BW1861" s="25"/>
      <c r="BX1861" s="25"/>
      <c r="BY1861" s="25"/>
      <c r="BZ1861" s="25"/>
      <c r="CA1861" s="25"/>
      <c r="CB1861" s="25"/>
    </row>
    <row r="1862" spans="1:80" ht="12.75" customHeight="1">
      <c r="A1862" s="10">
        <f ca="1">IFERROR(__xludf.DUMMYFUNCTION("""COMPUTED_VALUE"""),2024)</f>
        <v>2024</v>
      </c>
      <c r="B1862" s="41">
        <f ca="1">IFERROR(__xludf.DUMMYFUNCTION("""COMPUTED_VALUE"""),45786)</f>
        <v>45786</v>
      </c>
      <c r="C1862" s="41"/>
      <c r="D1862" s="42" t="str">
        <f ca="1">IFERROR(__xludf.DUMMYFUNCTION("""COMPUTED_VALUE"""),"Bearded Tit")</f>
        <v>Bearded Tit</v>
      </c>
      <c r="E1862" s="15">
        <f ca="1">IFERROR(__xludf.DUMMYFUNCTION("""COMPUTED_VALUE"""),1)</f>
        <v>1</v>
      </c>
      <c r="F1862" s="15"/>
      <c r="G1862" s="44" t="str">
        <f ca="1">IFERROR(__xludf.DUMMYFUNCTION("""COMPUTED_VALUE"""),"Neston Reed Bed")</f>
        <v>Neston Reed Bed</v>
      </c>
      <c r="H1862" s="12">
        <f ca="1">IFERROR(__xludf.DUMMYFUNCTION("""COMPUTED_VALUE"""),45293)</f>
        <v>45293</v>
      </c>
      <c r="I1862" s="13"/>
      <c r="J1862" s="14"/>
      <c r="K1862" s="15"/>
      <c r="L1862" s="16" t="str">
        <f ca="1">IFERROR(__xludf.DUMMYFUNCTION("""COMPUTED_VALUE"""),"limbo")</f>
        <v>limbo</v>
      </c>
      <c r="M1862" s="17"/>
      <c r="N1862" s="15" t="str">
        <f ca="1">IFERROR(__xludf.DUMMYFUNCTION("""COMPUTED_VALUE"""),"not submitted")</f>
        <v>not submitted</v>
      </c>
      <c r="O1862" s="18" t="str">
        <f ca="1">IFERROR(__xludf.DUMMYFUNCTION("""COMPUTED_VALUE"""),"rECOrd")</f>
        <v>rECOrd</v>
      </c>
      <c r="P1862" s="15"/>
      <c r="Q1862" s="15"/>
      <c r="R1862" s="15"/>
      <c r="S1862" s="15"/>
      <c r="T1862" s="15"/>
      <c r="U1862" s="15"/>
      <c r="V1862" s="15"/>
      <c r="W1862" s="15"/>
      <c r="X1862" s="15"/>
      <c r="Y1862" s="15"/>
      <c r="Z1862" s="15"/>
      <c r="AA1862" s="15"/>
      <c r="AB1862" s="15"/>
      <c r="AC1862" s="15"/>
      <c r="AD1862" s="15"/>
      <c r="AE1862" s="15"/>
      <c r="AF1862" s="15"/>
      <c r="AG1862" s="15"/>
      <c r="AH1862" s="15"/>
      <c r="AI1862" s="15"/>
      <c r="AJ1862" s="15"/>
      <c r="AK1862" s="15"/>
      <c r="AL1862" s="15"/>
      <c r="AM1862" s="15"/>
      <c r="AN1862" s="15"/>
      <c r="AO1862" s="15"/>
      <c r="AP1862" s="15"/>
      <c r="AQ1862" s="15"/>
      <c r="AR1862" s="15"/>
      <c r="AS1862" s="15"/>
      <c r="AT1862" s="15"/>
      <c r="AU1862" s="15"/>
      <c r="AV1862" s="15"/>
      <c r="AW1862" s="15"/>
      <c r="AX1862" s="15"/>
      <c r="AY1862" s="15"/>
      <c r="AZ1862" s="15"/>
      <c r="BA1862" s="15"/>
      <c r="BB1862" s="15"/>
      <c r="BC1862" s="15"/>
      <c r="BD1862" s="15"/>
      <c r="BE1862" s="15"/>
      <c r="BF1862" s="15"/>
      <c r="BG1862" s="15"/>
      <c r="BH1862" s="15"/>
      <c r="BI1862" s="15"/>
      <c r="BJ1862" s="15"/>
      <c r="BK1862" s="15"/>
      <c r="BL1862" s="15"/>
      <c r="BM1862" s="15"/>
      <c r="BN1862" s="15"/>
      <c r="BO1862" s="15"/>
      <c r="BP1862" s="15"/>
      <c r="BQ1862" s="15"/>
      <c r="BR1862" s="15"/>
      <c r="BS1862" s="15"/>
      <c r="BT1862" s="15"/>
      <c r="BU1862" s="15"/>
      <c r="BV1862" s="15"/>
      <c r="BW1862" s="15"/>
      <c r="BX1862" s="15"/>
      <c r="BY1862" s="15"/>
      <c r="BZ1862" s="15"/>
      <c r="CA1862" s="15"/>
      <c r="CB1862" s="15"/>
    </row>
    <row r="1863" spans="1:80" ht="12.75" customHeight="1">
      <c r="A1863" s="20">
        <f ca="1">IFERROR(__xludf.DUMMYFUNCTION("""COMPUTED_VALUE"""),2024)</f>
        <v>2024</v>
      </c>
      <c r="B1863" s="46"/>
      <c r="C1863" s="46"/>
      <c r="D1863" s="47" t="str">
        <f ca="1">IFERROR(__xludf.DUMMYFUNCTION("""COMPUTED_VALUE"""),"Bearded Tit")</f>
        <v>Bearded Tit</v>
      </c>
      <c r="E1863" s="25">
        <f ca="1">IFERROR(__xludf.DUMMYFUNCTION("""COMPUTED_VALUE"""),3)</f>
        <v>3</v>
      </c>
      <c r="F1863" s="25"/>
      <c r="G1863" s="48" t="str">
        <f ca="1">IFERROR(__xludf.DUMMYFUNCTION("""COMPUTED_VALUE"""),"Rostherne")</f>
        <v>Rostherne</v>
      </c>
      <c r="H1863" s="22">
        <f ca="1">IFERROR(__xludf.DUMMYFUNCTION("""COMPUTED_VALUE"""),45616)</f>
        <v>45616</v>
      </c>
      <c r="I1863" s="22">
        <f ca="1">IFERROR(__xludf.DUMMYFUNCTION("""COMPUTED_VALUE"""),45624)</f>
        <v>45624</v>
      </c>
      <c r="J1863" s="24" t="str">
        <f ca="1">IFERROR(__xludf.DUMMYFUNCTION("""COMPUTED_VALUE"""),"Adshead, John")</f>
        <v>Adshead, John</v>
      </c>
      <c r="K1863" s="25" t="str">
        <f ca="1">IFERROR(__xludf.DUMMYFUNCTION("""COMPUTED_VALUE"""),"Adshead, John")</f>
        <v>Adshead, John</v>
      </c>
      <c r="L1863" s="26" t="str">
        <f ca="1">IFERROR(__xludf.DUMMYFUNCTION("""COMPUTED_VALUE"""),"closed")</f>
        <v>closed</v>
      </c>
      <c r="M1863" s="27"/>
      <c r="N1863" s="25" t="str">
        <f ca="1">IFERROR(__xludf.DUMMYFUNCTION("""COMPUTED_VALUE"""),"Accepted")</f>
        <v>Accepted</v>
      </c>
      <c r="O1863" s="28" t="str">
        <f ca="1">IFERROR(__xludf.DUMMYFUNCTION("""COMPUTED_VALUE"""),"1 ad male, 1 ad female and a post juv female trapped and ringed")</f>
        <v>1 ad male, 1 ad female and a post juv female trapped and ringed</v>
      </c>
      <c r="P1863" s="25"/>
      <c r="Q1863" s="25"/>
      <c r="R1863" s="25"/>
      <c r="S1863" s="25"/>
      <c r="T1863" s="25"/>
      <c r="U1863" s="25"/>
      <c r="V1863" s="25"/>
      <c r="W1863" s="25"/>
      <c r="X1863" s="25"/>
      <c r="Y1863" s="25"/>
      <c r="Z1863" s="25"/>
      <c r="AA1863" s="25"/>
      <c r="AB1863" s="25"/>
      <c r="AC1863" s="25"/>
      <c r="AD1863" s="25"/>
      <c r="AE1863" s="25"/>
      <c r="AF1863" s="25"/>
      <c r="AG1863" s="25"/>
      <c r="AH1863" s="25"/>
      <c r="AI1863" s="25"/>
      <c r="AJ1863" s="25"/>
      <c r="AK1863" s="25"/>
      <c r="AL1863" s="25"/>
      <c r="AM1863" s="25"/>
      <c r="AN1863" s="25"/>
      <c r="AO1863" s="25"/>
      <c r="AP1863" s="25"/>
      <c r="AQ1863" s="25"/>
      <c r="AR1863" s="25"/>
      <c r="AS1863" s="25"/>
      <c r="AT1863" s="25"/>
      <c r="AU1863" s="25"/>
      <c r="AV1863" s="25"/>
      <c r="AW1863" s="25"/>
      <c r="AX1863" s="25"/>
      <c r="AY1863" s="25"/>
      <c r="AZ1863" s="25"/>
      <c r="BA1863" s="25"/>
      <c r="BB1863" s="25"/>
      <c r="BC1863" s="25"/>
      <c r="BD1863" s="25"/>
      <c r="BE1863" s="25"/>
      <c r="BF1863" s="25"/>
      <c r="BG1863" s="25"/>
      <c r="BH1863" s="25"/>
      <c r="BI1863" s="25"/>
      <c r="BJ1863" s="25"/>
      <c r="BK1863" s="25"/>
      <c r="BL1863" s="25"/>
      <c r="BM1863" s="25"/>
      <c r="BN1863" s="25"/>
      <c r="BO1863" s="25"/>
      <c r="BP1863" s="25"/>
      <c r="BQ1863" s="25"/>
      <c r="BR1863" s="25"/>
      <c r="BS1863" s="25"/>
      <c r="BT1863" s="25"/>
      <c r="BU1863" s="25"/>
      <c r="BV1863" s="25"/>
      <c r="BW1863" s="25"/>
      <c r="BX1863" s="25"/>
      <c r="BY1863" s="25"/>
      <c r="BZ1863" s="25"/>
      <c r="CA1863" s="25"/>
      <c r="CB1863" s="25"/>
    </row>
    <row r="1864" spans="1:80" ht="12.75" customHeight="1">
      <c r="A1864" s="10">
        <f ca="1">IFERROR(__xludf.DUMMYFUNCTION("""COMPUTED_VALUE"""),2024)</f>
        <v>2024</v>
      </c>
      <c r="B1864" s="41">
        <f ca="1">IFERROR(__xludf.DUMMYFUNCTION("""COMPUTED_VALUE"""),45853)</f>
        <v>45853</v>
      </c>
      <c r="C1864" s="41"/>
      <c r="D1864" s="42" t="str">
        <f ca="1">IFERROR(__xludf.DUMMYFUNCTION("""COMPUTED_VALUE"""),"Common Redpoll")</f>
        <v>Common Redpoll</v>
      </c>
      <c r="E1864" s="15">
        <f ca="1">IFERROR(__xludf.DUMMYFUNCTION("""COMPUTED_VALUE"""),1)</f>
        <v>1</v>
      </c>
      <c r="F1864" s="15"/>
      <c r="G1864" s="44" t="str">
        <f ca="1">IFERROR(__xludf.DUMMYFUNCTION("""COMPUTED_VALUE"""),"Moston, Sandbach")</f>
        <v>Moston, Sandbach</v>
      </c>
      <c r="H1864" s="12">
        <f ca="1">IFERROR(__xludf.DUMMYFUNCTION("""COMPUTED_VALUE"""),45298)</f>
        <v>45298</v>
      </c>
      <c r="I1864" s="12">
        <f ca="1">IFERROR(__xludf.DUMMYFUNCTION("""COMPUTED_VALUE"""),45313)</f>
        <v>45313</v>
      </c>
      <c r="J1864" s="14"/>
      <c r="K1864" s="15"/>
      <c r="L1864" s="16" t="str">
        <f ca="1">IFERROR(__xludf.DUMMYFUNCTION("""COMPUTED_VALUE"""),"limbo")</f>
        <v>limbo</v>
      </c>
      <c r="M1864" s="17"/>
      <c r="N1864" s="15" t="str">
        <f ca="1">IFERROR(__xludf.DUMMYFUNCTION("""COMPUTED_VALUE"""),"not submitted")</f>
        <v>not submitted</v>
      </c>
      <c r="O1864" s="18"/>
      <c r="P1864" s="15"/>
      <c r="Q1864" s="15"/>
      <c r="R1864" s="15"/>
      <c r="S1864" s="15"/>
      <c r="T1864" s="15"/>
      <c r="U1864" s="15"/>
      <c r="V1864" s="15"/>
      <c r="W1864" s="15"/>
      <c r="X1864" s="15"/>
      <c r="Y1864" s="15"/>
      <c r="Z1864" s="15"/>
      <c r="AA1864" s="15"/>
      <c r="AB1864" s="15"/>
      <c r="AC1864" s="15"/>
      <c r="AD1864" s="15"/>
      <c r="AE1864" s="15"/>
      <c r="AF1864" s="15"/>
      <c r="AG1864" s="15"/>
      <c r="AH1864" s="15"/>
      <c r="AI1864" s="15"/>
      <c r="AJ1864" s="15"/>
      <c r="AK1864" s="15"/>
      <c r="AL1864" s="15"/>
      <c r="AM1864" s="15"/>
      <c r="AN1864" s="15"/>
      <c r="AO1864" s="15"/>
      <c r="AP1864" s="15"/>
      <c r="AQ1864" s="15"/>
      <c r="AR1864" s="15"/>
      <c r="AS1864" s="15"/>
      <c r="AT1864" s="15"/>
      <c r="AU1864" s="15"/>
      <c r="AV1864" s="15"/>
      <c r="AW1864" s="15"/>
      <c r="AX1864" s="15"/>
      <c r="AY1864" s="15"/>
      <c r="AZ1864" s="15"/>
      <c r="BA1864" s="15"/>
      <c r="BB1864" s="15"/>
      <c r="BC1864" s="15"/>
      <c r="BD1864" s="15"/>
      <c r="BE1864" s="15"/>
      <c r="BF1864" s="15"/>
      <c r="BG1864" s="15"/>
      <c r="BH1864" s="15"/>
      <c r="BI1864" s="15"/>
      <c r="BJ1864" s="15"/>
      <c r="BK1864" s="15"/>
      <c r="BL1864" s="15"/>
      <c r="BM1864" s="15"/>
      <c r="BN1864" s="15"/>
      <c r="BO1864" s="15"/>
      <c r="BP1864" s="15"/>
      <c r="BQ1864" s="15"/>
      <c r="BR1864" s="15"/>
      <c r="BS1864" s="15"/>
      <c r="BT1864" s="15"/>
      <c r="BU1864" s="15"/>
      <c r="BV1864" s="15"/>
      <c r="BW1864" s="15"/>
      <c r="BX1864" s="15"/>
      <c r="BY1864" s="15"/>
      <c r="BZ1864" s="15"/>
      <c r="CA1864" s="15"/>
      <c r="CB1864" s="15"/>
    </row>
    <row r="1865" spans="1:80" ht="12.75" customHeight="1">
      <c r="A1865" s="20">
        <f ca="1">IFERROR(__xludf.DUMMYFUNCTION("""COMPUTED_VALUE"""),2025)</f>
        <v>2025</v>
      </c>
      <c r="B1865" s="46">
        <f ca="1">IFERROR(__xludf.DUMMYFUNCTION("""COMPUTED_VALUE"""),45853)</f>
        <v>45853</v>
      </c>
      <c r="C1865" s="46"/>
      <c r="D1865" s="47" t="str">
        <f ca="1">IFERROR(__xludf.DUMMYFUNCTION("""COMPUTED_VALUE"""),"Common Redpoll")</f>
        <v>Common Redpoll</v>
      </c>
      <c r="E1865" s="25">
        <f ca="1">IFERROR(__xludf.DUMMYFUNCTION("""COMPUTED_VALUE"""),1)</f>
        <v>1</v>
      </c>
      <c r="F1865" s="25"/>
      <c r="G1865" s="48" t="str">
        <f ca="1">IFERROR(__xludf.DUMMYFUNCTION("""COMPUTED_VALUE"""),"Silver Lane LWS, Risley Landfill, Warrington")</f>
        <v>Silver Lane LWS, Risley Landfill, Warrington</v>
      </c>
      <c r="H1865" s="22">
        <f ca="1">IFERROR(__xludf.DUMMYFUNCTION("""COMPUTED_VALUE"""),45707)</f>
        <v>45707</v>
      </c>
      <c r="I1865" s="23"/>
      <c r="J1865" s="24"/>
      <c r="K1865" s="25"/>
      <c r="L1865" s="26" t="str">
        <f ca="1">IFERROR(__xludf.DUMMYFUNCTION("""COMPUTED_VALUE"""),"limbo")</f>
        <v>limbo</v>
      </c>
      <c r="M1865" s="27"/>
      <c r="N1865" s="25" t="str">
        <f ca="1">IFERROR(__xludf.DUMMYFUNCTION("""COMPUTED_VALUE"""),"not submitted")</f>
        <v>not submitted</v>
      </c>
      <c r="O1865" s="28"/>
      <c r="P1865" s="25"/>
      <c r="Q1865" s="25"/>
      <c r="R1865" s="25"/>
      <c r="S1865" s="25"/>
      <c r="T1865" s="25"/>
      <c r="U1865" s="25"/>
      <c r="V1865" s="25"/>
      <c r="W1865" s="25"/>
      <c r="X1865" s="25"/>
      <c r="Y1865" s="25"/>
      <c r="Z1865" s="25"/>
      <c r="AA1865" s="25"/>
      <c r="AB1865" s="25"/>
      <c r="AC1865" s="25"/>
      <c r="AD1865" s="25"/>
      <c r="AE1865" s="25"/>
      <c r="AF1865" s="25"/>
      <c r="AG1865" s="25"/>
      <c r="AH1865" s="25"/>
      <c r="AI1865" s="25"/>
      <c r="AJ1865" s="25"/>
      <c r="AK1865" s="25"/>
      <c r="AL1865" s="25"/>
      <c r="AM1865" s="25"/>
      <c r="AN1865" s="25"/>
      <c r="AO1865" s="25"/>
      <c r="AP1865" s="25"/>
      <c r="AQ1865" s="25"/>
      <c r="AR1865" s="25"/>
      <c r="AS1865" s="25"/>
      <c r="AT1865" s="25"/>
      <c r="AU1865" s="25"/>
      <c r="AV1865" s="25"/>
      <c r="AW1865" s="25"/>
      <c r="AX1865" s="25"/>
      <c r="AY1865" s="25"/>
      <c r="AZ1865" s="25"/>
      <c r="BA1865" s="25"/>
      <c r="BB1865" s="25"/>
      <c r="BC1865" s="25"/>
      <c r="BD1865" s="25"/>
      <c r="BE1865" s="25"/>
      <c r="BF1865" s="25"/>
      <c r="BG1865" s="25"/>
      <c r="BH1865" s="25"/>
      <c r="BI1865" s="25"/>
      <c r="BJ1865" s="25"/>
      <c r="BK1865" s="25"/>
      <c r="BL1865" s="25"/>
      <c r="BM1865" s="25"/>
      <c r="BN1865" s="25"/>
      <c r="BO1865" s="25"/>
      <c r="BP1865" s="25"/>
      <c r="BQ1865" s="25"/>
      <c r="BR1865" s="25"/>
      <c r="BS1865" s="25"/>
      <c r="BT1865" s="25"/>
      <c r="BU1865" s="25"/>
      <c r="BV1865" s="25"/>
      <c r="BW1865" s="25"/>
      <c r="BX1865" s="25"/>
      <c r="BY1865" s="25"/>
      <c r="BZ1865" s="25"/>
      <c r="CA1865" s="25"/>
      <c r="CB1865" s="25"/>
    </row>
    <row r="1866" spans="1:80" ht="12.75" customHeight="1">
      <c r="A1866" s="10">
        <f ca="1">IFERROR(__xludf.DUMMYFUNCTION("""COMPUTED_VALUE"""),2025)</f>
        <v>2025</v>
      </c>
      <c r="B1866" s="41">
        <f ca="1">IFERROR(__xludf.DUMMYFUNCTION("""COMPUTED_VALUE"""),45853)</f>
        <v>45853</v>
      </c>
      <c r="C1866" s="41"/>
      <c r="D1866" s="42" t="str">
        <f ca="1">IFERROR(__xludf.DUMMYFUNCTION("""COMPUTED_VALUE"""),"Common Redpoll")</f>
        <v>Common Redpoll</v>
      </c>
      <c r="E1866" s="15">
        <f ca="1">IFERROR(__xludf.DUMMYFUNCTION("""COMPUTED_VALUE"""),1)</f>
        <v>1</v>
      </c>
      <c r="F1866" s="15"/>
      <c r="G1866" s="44" t="str">
        <f ca="1">IFERROR(__xludf.DUMMYFUNCTION("""COMPUTED_VALUE"""),"Silver Lane LWS, Risley Landfill, Warrington")</f>
        <v>Silver Lane LWS, Risley Landfill, Warrington</v>
      </c>
      <c r="H1866" s="12">
        <f ca="1">IFERROR(__xludf.DUMMYFUNCTION("""COMPUTED_VALUE"""),45980)</f>
        <v>45980</v>
      </c>
      <c r="I1866" s="13"/>
      <c r="J1866" s="14"/>
      <c r="K1866" s="15"/>
      <c r="L1866" s="16" t="str">
        <f ca="1">IFERROR(__xludf.DUMMYFUNCTION("""COMPUTED_VALUE"""),"limbo")</f>
        <v>limbo</v>
      </c>
      <c r="M1866" s="17"/>
      <c r="N1866" s="15" t="str">
        <f ca="1">IFERROR(__xludf.DUMMYFUNCTION("""COMPUTED_VALUE"""),"not submitted")</f>
        <v>not submitted</v>
      </c>
      <c r="O1866" s="18"/>
      <c r="P1866" s="15"/>
      <c r="Q1866" s="15"/>
      <c r="R1866" s="15"/>
      <c r="S1866" s="15"/>
      <c r="T1866" s="15"/>
      <c r="U1866" s="15"/>
      <c r="V1866" s="15"/>
      <c r="W1866" s="15"/>
      <c r="X1866" s="15"/>
      <c r="Y1866" s="15"/>
      <c r="Z1866" s="15"/>
      <c r="AA1866" s="15"/>
      <c r="AB1866" s="15"/>
      <c r="AC1866" s="15"/>
      <c r="AD1866" s="15"/>
      <c r="AE1866" s="15"/>
      <c r="AF1866" s="15"/>
      <c r="AG1866" s="15"/>
      <c r="AH1866" s="15"/>
      <c r="AI1866" s="15"/>
      <c r="AJ1866" s="15"/>
      <c r="AK1866" s="15"/>
      <c r="AL1866" s="15"/>
      <c r="AM1866" s="15"/>
      <c r="AN1866" s="15"/>
      <c r="AO1866" s="15"/>
      <c r="AP1866" s="15"/>
      <c r="AQ1866" s="15"/>
      <c r="AR1866" s="15"/>
      <c r="AS1866" s="15"/>
      <c r="AT1866" s="15"/>
      <c r="AU1866" s="15"/>
      <c r="AV1866" s="15"/>
      <c r="AW1866" s="15"/>
      <c r="AX1866" s="15"/>
      <c r="AY1866" s="15"/>
      <c r="AZ1866" s="15"/>
      <c r="BA1866" s="15"/>
      <c r="BB1866" s="15"/>
      <c r="BC1866" s="15"/>
      <c r="BD1866" s="15"/>
      <c r="BE1866" s="15"/>
      <c r="BF1866" s="15"/>
      <c r="BG1866" s="15"/>
      <c r="BH1866" s="15"/>
      <c r="BI1866" s="15"/>
      <c r="BJ1866" s="15"/>
      <c r="BK1866" s="15"/>
      <c r="BL1866" s="15"/>
      <c r="BM1866" s="15"/>
      <c r="BN1866" s="15"/>
      <c r="BO1866" s="15"/>
      <c r="BP1866" s="15"/>
      <c r="BQ1866" s="15"/>
      <c r="BR1866" s="15"/>
      <c r="BS1866" s="15"/>
      <c r="BT1866" s="15"/>
      <c r="BU1866" s="15"/>
      <c r="BV1866" s="15"/>
      <c r="BW1866" s="15"/>
      <c r="BX1866" s="15"/>
      <c r="BY1866" s="15"/>
      <c r="BZ1866" s="15"/>
      <c r="CA1866" s="15"/>
      <c r="CB1866" s="15"/>
    </row>
    <row r="1867" spans="1:80" ht="12.75" customHeight="1">
      <c r="A1867" s="20">
        <f ca="1">IFERROR(__xludf.DUMMYFUNCTION("""COMPUTED_VALUE"""),2024)</f>
        <v>2024</v>
      </c>
      <c r="B1867" s="46">
        <f ca="1">IFERROR(__xludf.DUMMYFUNCTION("""COMPUTED_VALUE"""),45853)</f>
        <v>45853</v>
      </c>
      <c r="C1867" s="46"/>
      <c r="D1867" s="47" t="str">
        <f ca="1">IFERROR(__xludf.DUMMYFUNCTION("""COMPUTED_VALUE"""),"Common Redpoll")</f>
        <v>Common Redpoll</v>
      </c>
      <c r="E1867" s="80">
        <f ca="1">IFERROR(__xludf.DUMMYFUNCTION("""COMPUTED_VALUE"""),45689)</f>
        <v>45689</v>
      </c>
      <c r="F1867" s="25"/>
      <c r="G1867" s="48" t="str">
        <f ca="1">IFERROR(__xludf.DUMMYFUNCTION("""COMPUTED_VALUE"""),"Bickerton Hill")</f>
        <v>Bickerton Hill</v>
      </c>
      <c r="H1867" s="22">
        <f ca="1">IFERROR(__xludf.DUMMYFUNCTION("""COMPUTED_VALUE"""),45346)</f>
        <v>45346</v>
      </c>
      <c r="I1867" s="22">
        <f ca="1">IFERROR(__xludf.DUMMYFUNCTION("""COMPUTED_VALUE"""),45362)</f>
        <v>45362</v>
      </c>
      <c r="J1867" s="24"/>
      <c r="K1867" s="25"/>
      <c r="L1867" s="26" t="str">
        <f ca="1">IFERROR(__xludf.DUMMYFUNCTION("""COMPUTED_VALUE"""),"limbo")</f>
        <v>limbo</v>
      </c>
      <c r="M1867" s="27"/>
      <c r="N1867" s="25" t="str">
        <f ca="1">IFERROR(__xludf.DUMMYFUNCTION("""COMPUTED_VALUE"""),"not submitted")</f>
        <v>not submitted</v>
      </c>
      <c r="O1867" s="28"/>
      <c r="P1867" s="25"/>
      <c r="Q1867" s="25"/>
      <c r="R1867" s="25"/>
      <c r="S1867" s="25"/>
      <c r="T1867" s="25"/>
      <c r="U1867" s="25"/>
      <c r="V1867" s="25"/>
      <c r="W1867" s="25"/>
      <c r="X1867" s="25"/>
      <c r="Y1867" s="25"/>
      <c r="Z1867" s="25"/>
      <c r="AA1867" s="25"/>
      <c r="AB1867" s="25"/>
      <c r="AC1867" s="25"/>
      <c r="AD1867" s="25"/>
      <c r="AE1867" s="25"/>
      <c r="AF1867" s="25"/>
      <c r="AG1867" s="25"/>
      <c r="AH1867" s="25"/>
      <c r="AI1867" s="25"/>
      <c r="AJ1867" s="25"/>
      <c r="AK1867" s="25"/>
      <c r="AL1867" s="25"/>
      <c r="AM1867" s="25"/>
      <c r="AN1867" s="25"/>
      <c r="AO1867" s="25"/>
      <c r="AP1867" s="25"/>
      <c r="AQ1867" s="25"/>
      <c r="AR1867" s="25"/>
      <c r="AS1867" s="25"/>
      <c r="AT1867" s="25"/>
      <c r="AU1867" s="25"/>
      <c r="AV1867" s="25"/>
      <c r="AW1867" s="25"/>
      <c r="AX1867" s="25"/>
      <c r="AY1867" s="25"/>
      <c r="AZ1867" s="25"/>
      <c r="BA1867" s="25"/>
      <c r="BB1867" s="25"/>
      <c r="BC1867" s="25"/>
      <c r="BD1867" s="25"/>
      <c r="BE1867" s="25"/>
      <c r="BF1867" s="25"/>
      <c r="BG1867" s="25"/>
      <c r="BH1867" s="25"/>
      <c r="BI1867" s="25"/>
      <c r="BJ1867" s="25"/>
      <c r="BK1867" s="25"/>
      <c r="BL1867" s="25"/>
      <c r="BM1867" s="25"/>
      <c r="BN1867" s="25"/>
      <c r="BO1867" s="25"/>
      <c r="BP1867" s="25"/>
      <c r="BQ1867" s="25"/>
      <c r="BR1867" s="25"/>
      <c r="BS1867" s="25"/>
      <c r="BT1867" s="25"/>
      <c r="BU1867" s="25"/>
      <c r="BV1867" s="25"/>
      <c r="BW1867" s="25"/>
      <c r="BX1867" s="25"/>
      <c r="BY1867" s="25"/>
      <c r="BZ1867" s="25"/>
      <c r="CA1867" s="25"/>
      <c r="CB1867" s="25"/>
    </row>
    <row r="1868" spans="1:80" ht="12.75" customHeight="1">
      <c r="A1868" s="10">
        <f ca="1">IFERROR(__xludf.DUMMYFUNCTION("""COMPUTED_VALUE"""),2024)</f>
        <v>2024</v>
      </c>
      <c r="B1868" s="41">
        <f ca="1">IFERROR(__xludf.DUMMYFUNCTION("""COMPUTED_VALUE"""),45853)</f>
        <v>45853</v>
      </c>
      <c r="C1868" s="41"/>
      <c r="D1868" s="42" t="str">
        <f ca="1">IFERROR(__xludf.DUMMYFUNCTION("""COMPUTED_VALUE"""),"Common Redpoll")</f>
        <v>Common Redpoll</v>
      </c>
      <c r="E1868" s="15">
        <f ca="1">IFERROR(__xludf.DUMMYFUNCTION("""COMPUTED_VALUE"""),1)</f>
        <v>1</v>
      </c>
      <c r="F1868" s="15"/>
      <c r="G1868" s="44" t="str">
        <f ca="1">IFERROR(__xludf.DUMMYFUNCTION("""COMPUTED_VALUE"""),"Marbury Country Park")</f>
        <v>Marbury Country Park</v>
      </c>
      <c r="H1868" s="12">
        <f ca="1">IFERROR(__xludf.DUMMYFUNCTION("""COMPUTED_VALUE"""),45315)</f>
        <v>45315</v>
      </c>
      <c r="I1868" s="13"/>
      <c r="J1868" s="14"/>
      <c r="K1868" s="15"/>
      <c r="L1868" s="16" t="str">
        <f ca="1">IFERROR(__xludf.DUMMYFUNCTION("""COMPUTED_VALUE"""),"limbo")</f>
        <v>limbo</v>
      </c>
      <c r="M1868" s="17"/>
      <c r="N1868" s="15" t="str">
        <f ca="1">IFERROR(__xludf.DUMMYFUNCTION("""COMPUTED_VALUE"""),"not submitted")</f>
        <v>not submitted</v>
      </c>
      <c r="O1868" s="18"/>
      <c r="P1868" s="15"/>
      <c r="Q1868" s="15"/>
      <c r="R1868" s="15"/>
      <c r="S1868" s="15"/>
      <c r="T1868" s="15"/>
      <c r="U1868" s="15"/>
      <c r="V1868" s="15"/>
      <c r="W1868" s="15"/>
      <c r="X1868" s="15"/>
      <c r="Y1868" s="15"/>
      <c r="Z1868" s="15"/>
      <c r="AA1868" s="15"/>
      <c r="AB1868" s="15"/>
      <c r="AC1868" s="15"/>
      <c r="AD1868" s="15"/>
      <c r="AE1868" s="15"/>
      <c r="AF1868" s="15"/>
      <c r="AG1868" s="15"/>
      <c r="AH1868" s="15"/>
      <c r="AI1868" s="15"/>
      <c r="AJ1868" s="15"/>
      <c r="AK1868" s="15"/>
      <c r="AL1868" s="15"/>
      <c r="AM1868" s="15"/>
      <c r="AN1868" s="15"/>
      <c r="AO1868" s="15"/>
      <c r="AP1868" s="15"/>
      <c r="AQ1868" s="15"/>
      <c r="AR1868" s="15"/>
      <c r="AS1868" s="15"/>
      <c r="AT1868" s="15"/>
      <c r="AU1868" s="15"/>
      <c r="AV1868" s="15"/>
      <c r="AW1868" s="15"/>
      <c r="AX1868" s="15"/>
      <c r="AY1868" s="15"/>
      <c r="AZ1868" s="15"/>
      <c r="BA1868" s="15"/>
      <c r="BB1868" s="15"/>
      <c r="BC1868" s="15"/>
      <c r="BD1868" s="15"/>
      <c r="BE1868" s="15"/>
      <c r="BF1868" s="15"/>
      <c r="BG1868" s="15"/>
      <c r="BH1868" s="15"/>
      <c r="BI1868" s="15"/>
      <c r="BJ1868" s="15"/>
      <c r="BK1868" s="15"/>
      <c r="BL1868" s="15"/>
      <c r="BM1868" s="15"/>
      <c r="BN1868" s="15"/>
      <c r="BO1868" s="15"/>
      <c r="BP1868" s="15"/>
      <c r="BQ1868" s="15"/>
      <c r="BR1868" s="15"/>
      <c r="BS1868" s="15"/>
      <c r="BT1868" s="15"/>
      <c r="BU1868" s="15"/>
      <c r="BV1868" s="15"/>
      <c r="BW1868" s="15"/>
      <c r="BX1868" s="15"/>
      <c r="BY1868" s="15"/>
      <c r="BZ1868" s="15"/>
      <c r="CA1868" s="15"/>
      <c r="CB1868" s="15"/>
    </row>
    <row r="1869" spans="1:80" ht="12.75" customHeight="1">
      <c r="A1869" s="20">
        <f ca="1">IFERROR(__xludf.DUMMYFUNCTION("""COMPUTED_VALUE"""),2024)</f>
        <v>2024</v>
      </c>
      <c r="B1869" s="46">
        <f ca="1">IFERROR(__xludf.DUMMYFUNCTION("""COMPUTED_VALUE"""),45853)</f>
        <v>45853</v>
      </c>
      <c r="C1869" s="46"/>
      <c r="D1869" s="47" t="str">
        <f ca="1">IFERROR(__xludf.DUMMYFUNCTION("""COMPUTED_VALUE"""),"Common Redpoll")</f>
        <v>Common Redpoll</v>
      </c>
      <c r="E1869" s="25">
        <f ca="1">IFERROR(__xludf.DUMMYFUNCTION("""COMPUTED_VALUE"""),1)</f>
        <v>1</v>
      </c>
      <c r="F1869" s="25"/>
      <c r="G1869" s="48" t="str">
        <f ca="1">IFERROR(__xludf.DUMMYFUNCTION("""COMPUTED_VALUE"""),"Mollington")</f>
        <v>Mollington</v>
      </c>
      <c r="H1869" s="22">
        <f ca="1">IFERROR(__xludf.DUMMYFUNCTION("""COMPUTED_VALUE"""),45391)</f>
        <v>45391</v>
      </c>
      <c r="I1869" s="23"/>
      <c r="J1869" s="24"/>
      <c r="K1869" s="25"/>
      <c r="L1869" s="26" t="str">
        <f ca="1">IFERROR(__xludf.DUMMYFUNCTION("""COMPUTED_VALUE"""),"limbo")</f>
        <v>limbo</v>
      </c>
      <c r="M1869" s="27"/>
      <c r="N1869" s="25" t="str">
        <f ca="1">IFERROR(__xludf.DUMMYFUNCTION("""COMPUTED_VALUE"""),"not submitted")</f>
        <v>not submitted</v>
      </c>
      <c r="O1869" s="28"/>
      <c r="P1869" s="25"/>
      <c r="Q1869" s="25"/>
      <c r="R1869" s="25"/>
      <c r="S1869" s="25"/>
      <c r="T1869" s="25"/>
      <c r="U1869" s="25"/>
      <c r="V1869" s="25"/>
      <c r="W1869" s="25"/>
      <c r="X1869" s="25"/>
      <c r="Y1869" s="25"/>
      <c r="Z1869" s="25"/>
      <c r="AA1869" s="25"/>
      <c r="AB1869" s="25"/>
      <c r="AC1869" s="25"/>
      <c r="AD1869" s="25"/>
      <c r="AE1869" s="25"/>
      <c r="AF1869" s="25"/>
      <c r="AG1869" s="25"/>
      <c r="AH1869" s="25"/>
      <c r="AI1869" s="25"/>
      <c r="AJ1869" s="25"/>
      <c r="AK1869" s="25"/>
      <c r="AL1869" s="25"/>
      <c r="AM1869" s="25"/>
      <c r="AN1869" s="25"/>
      <c r="AO1869" s="25"/>
      <c r="AP1869" s="25"/>
      <c r="AQ1869" s="25"/>
      <c r="AR1869" s="25"/>
      <c r="AS1869" s="25"/>
      <c r="AT1869" s="25"/>
      <c r="AU1869" s="25"/>
      <c r="AV1869" s="25"/>
      <c r="AW1869" s="25"/>
      <c r="AX1869" s="25"/>
      <c r="AY1869" s="25"/>
      <c r="AZ1869" s="25"/>
      <c r="BA1869" s="25"/>
      <c r="BB1869" s="25"/>
      <c r="BC1869" s="25"/>
      <c r="BD1869" s="25"/>
      <c r="BE1869" s="25"/>
      <c r="BF1869" s="25"/>
      <c r="BG1869" s="25"/>
      <c r="BH1869" s="25"/>
      <c r="BI1869" s="25"/>
      <c r="BJ1869" s="25"/>
      <c r="BK1869" s="25"/>
      <c r="BL1869" s="25"/>
      <c r="BM1869" s="25"/>
      <c r="BN1869" s="25"/>
      <c r="BO1869" s="25"/>
      <c r="BP1869" s="25"/>
      <c r="BQ1869" s="25"/>
      <c r="BR1869" s="25"/>
      <c r="BS1869" s="25"/>
      <c r="BT1869" s="25"/>
      <c r="BU1869" s="25"/>
      <c r="BV1869" s="25"/>
      <c r="BW1869" s="25"/>
      <c r="BX1869" s="25"/>
      <c r="BY1869" s="25"/>
      <c r="BZ1869" s="25"/>
      <c r="CA1869" s="25"/>
      <c r="CB1869" s="25"/>
    </row>
    <row r="1870" spans="1:80" ht="12.75" customHeight="1">
      <c r="A1870" s="10">
        <f ca="1">IFERROR(__xludf.DUMMYFUNCTION("""COMPUTED_VALUE"""),2024)</f>
        <v>2024</v>
      </c>
      <c r="B1870" s="41">
        <f ca="1">IFERROR(__xludf.DUMMYFUNCTION("""COMPUTED_VALUE"""),45853)</f>
        <v>45853</v>
      </c>
      <c r="C1870" s="41"/>
      <c r="D1870" s="42" t="str">
        <f ca="1">IFERROR(__xludf.DUMMYFUNCTION("""COMPUTED_VALUE"""),"Common Redpoll")</f>
        <v>Common Redpoll</v>
      </c>
      <c r="E1870" s="15">
        <f ca="1">IFERROR(__xludf.DUMMYFUNCTION("""COMPUTED_VALUE"""),1)</f>
        <v>1</v>
      </c>
      <c r="F1870" s="15"/>
      <c r="G1870" s="44" t="str">
        <f ca="1">IFERROR(__xludf.DUMMYFUNCTION("""COMPUTED_VALUE"""),"Burton Mere Wetlands")</f>
        <v>Burton Mere Wetlands</v>
      </c>
      <c r="H1870" s="12">
        <f ca="1">IFERROR(__xludf.DUMMYFUNCTION("""COMPUTED_VALUE"""),45647)</f>
        <v>45647</v>
      </c>
      <c r="I1870" s="13"/>
      <c r="J1870" s="14"/>
      <c r="K1870" s="15"/>
      <c r="L1870" s="16" t="str">
        <f ca="1">IFERROR(__xludf.DUMMYFUNCTION("""COMPUTED_VALUE"""),"limbo")</f>
        <v>limbo</v>
      </c>
      <c r="M1870" s="17"/>
      <c r="N1870" s="15" t="str">
        <f ca="1">IFERROR(__xludf.DUMMYFUNCTION("""COMPUTED_VALUE"""),"not submitted")</f>
        <v>not submitted</v>
      </c>
      <c r="O1870" s="18"/>
      <c r="P1870" s="15"/>
      <c r="Q1870" s="15"/>
      <c r="R1870" s="15"/>
      <c r="S1870" s="15"/>
      <c r="T1870" s="15"/>
      <c r="U1870" s="15"/>
      <c r="V1870" s="15"/>
      <c r="W1870" s="15"/>
      <c r="X1870" s="15"/>
      <c r="Y1870" s="15"/>
      <c r="Z1870" s="15"/>
      <c r="AA1870" s="15"/>
      <c r="AB1870" s="15"/>
      <c r="AC1870" s="15"/>
      <c r="AD1870" s="15"/>
      <c r="AE1870" s="15"/>
      <c r="AF1870" s="15"/>
      <c r="AG1870" s="15"/>
      <c r="AH1870" s="15"/>
      <c r="AI1870" s="15"/>
      <c r="AJ1870" s="15"/>
      <c r="AK1870" s="15"/>
      <c r="AL1870" s="15"/>
      <c r="AM1870" s="15"/>
      <c r="AN1870" s="15"/>
      <c r="AO1870" s="15"/>
      <c r="AP1870" s="15"/>
      <c r="AQ1870" s="15"/>
      <c r="AR1870" s="15"/>
      <c r="AS1870" s="15"/>
      <c r="AT1870" s="15"/>
      <c r="AU1870" s="15"/>
      <c r="AV1870" s="15"/>
      <c r="AW1870" s="15"/>
      <c r="AX1870" s="15"/>
      <c r="AY1870" s="15"/>
      <c r="AZ1870" s="15"/>
      <c r="BA1870" s="15"/>
      <c r="BB1870" s="15"/>
      <c r="BC1870" s="15"/>
      <c r="BD1870" s="15"/>
      <c r="BE1870" s="15"/>
      <c r="BF1870" s="15"/>
      <c r="BG1870" s="15"/>
      <c r="BH1870" s="15"/>
      <c r="BI1870" s="15"/>
      <c r="BJ1870" s="15"/>
      <c r="BK1870" s="15"/>
      <c r="BL1870" s="15"/>
      <c r="BM1870" s="15"/>
      <c r="BN1870" s="15"/>
      <c r="BO1870" s="15"/>
      <c r="BP1870" s="15"/>
      <c r="BQ1870" s="15"/>
      <c r="BR1870" s="15"/>
      <c r="BS1870" s="15"/>
      <c r="BT1870" s="15"/>
      <c r="BU1870" s="15"/>
      <c r="BV1870" s="15"/>
      <c r="BW1870" s="15"/>
      <c r="BX1870" s="15"/>
      <c r="BY1870" s="15"/>
      <c r="BZ1870" s="15"/>
      <c r="CA1870" s="15"/>
      <c r="CB1870" s="15"/>
    </row>
    <row r="1871" spans="1:80" ht="12.75" customHeight="1">
      <c r="A1871" s="20">
        <f ca="1">IFERROR(__xludf.DUMMYFUNCTION("""COMPUTED_VALUE"""),2024)</f>
        <v>2024</v>
      </c>
      <c r="B1871" s="46">
        <f ca="1">IFERROR(__xludf.DUMMYFUNCTION("""COMPUTED_VALUE"""),45853)</f>
        <v>45853</v>
      </c>
      <c r="C1871" s="46"/>
      <c r="D1871" s="47" t="str">
        <f ca="1">IFERROR(__xludf.DUMMYFUNCTION("""COMPUTED_VALUE"""),"Common Redpoll")</f>
        <v>Common Redpoll</v>
      </c>
      <c r="E1871" s="25">
        <f ca="1">IFERROR(__xludf.DUMMYFUNCTION("""COMPUTED_VALUE"""),1)</f>
        <v>1</v>
      </c>
      <c r="F1871" s="25"/>
      <c r="G1871" s="48" t="str">
        <f ca="1">IFERROR(__xludf.DUMMYFUNCTION("""COMPUTED_VALUE"""),"Mollington")</f>
        <v>Mollington</v>
      </c>
      <c r="H1871" s="22">
        <f ca="1">IFERROR(__xludf.DUMMYFUNCTION("""COMPUTED_VALUE"""),45590)</f>
        <v>45590</v>
      </c>
      <c r="I1871" s="22">
        <f ca="1">IFERROR(__xludf.DUMMYFUNCTION("""COMPUTED_VALUE"""),45611)</f>
        <v>45611</v>
      </c>
      <c r="J1871" s="24"/>
      <c r="K1871" s="25"/>
      <c r="L1871" s="26" t="str">
        <f ca="1">IFERROR(__xludf.DUMMYFUNCTION("""COMPUTED_VALUE"""),"limbo")</f>
        <v>limbo</v>
      </c>
      <c r="M1871" s="27"/>
      <c r="N1871" s="25" t="str">
        <f ca="1">IFERROR(__xludf.DUMMYFUNCTION("""COMPUTED_VALUE"""),"not submitted")</f>
        <v>not submitted</v>
      </c>
      <c r="O1871" s="28"/>
      <c r="P1871" s="25"/>
      <c r="Q1871" s="25"/>
      <c r="R1871" s="25"/>
      <c r="S1871" s="25"/>
      <c r="T1871" s="25"/>
      <c r="U1871" s="25"/>
      <c r="V1871" s="25"/>
      <c r="W1871" s="25"/>
      <c r="X1871" s="25"/>
      <c r="Y1871" s="25"/>
      <c r="Z1871" s="25"/>
      <c r="AA1871" s="25"/>
      <c r="AB1871" s="25"/>
      <c r="AC1871" s="25"/>
      <c r="AD1871" s="25"/>
      <c r="AE1871" s="25"/>
      <c r="AF1871" s="25"/>
      <c r="AG1871" s="25"/>
      <c r="AH1871" s="25"/>
      <c r="AI1871" s="25"/>
      <c r="AJ1871" s="25"/>
      <c r="AK1871" s="25"/>
      <c r="AL1871" s="25"/>
      <c r="AM1871" s="25"/>
      <c r="AN1871" s="25"/>
      <c r="AO1871" s="25"/>
      <c r="AP1871" s="25"/>
      <c r="AQ1871" s="25"/>
      <c r="AR1871" s="25"/>
      <c r="AS1871" s="25"/>
      <c r="AT1871" s="25"/>
      <c r="AU1871" s="25"/>
      <c r="AV1871" s="25"/>
      <c r="AW1871" s="25"/>
      <c r="AX1871" s="25"/>
      <c r="AY1871" s="25"/>
      <c r="AZ1871" s="25"/>
      <c r="BA1871" s="25"/>
      <c r="BB1871" s="25"/>
      <c r="BC1871" s="25"/>
      <c r="BD1871" s="25"/>
      <c r="BE1871" s="25"/>
      <c r="BF1871" s="25"/>
      <c r="BG1871" s="25"/>
      <c r="BH1871" s="25"/>
      <c r="BI1871" s="25"/>
      <c r="BJ1871" s="25"/>
      <c r="BK1871" s="25"/>
      <c r="BL1871" s="25"/>
      <c r="BM1871" s="25"/>
      <c r="BN1871" s="25"/>
      <c r="BO1871" s="25"/>
      <c r="BP1871" s="25"/>
      <c r="BQ1871" s="25"/>
      <c r="BR1871" s="25"/>
      <c r="BS1871" s="25"/>
      <c r="BT1871" s="25"/>
      <c r="BU1871" s="25"/>
      <c r="BV1871" s="25"/>
      <c r="BW1871" s="25"/>
      <c r="BX1871" s="25"/>
      <c r="BY1871" s="25"/>
      <c r="BZ1871" s="25"/>
      <c r="CA1871" s="25"/>
      <c r="CB1871" s="25"/>
    </row>
    <row r="1872" spans="1:80" ht="12.75" customHeight="1">
      <c r="A1872" s="10">
        <f ca="1">IFERROR(__xludf.DUMMYFUNCTION("""COMPUTED_VALUE"""),2024)</f>
        <v>2024</v>
      </c>
      <c r="B1872" s="41">
        <f ca="1">IFERROR(__xludf.DUMMYFUNCTION("""COMPUTED_VALUE"""),45853)</f>
        <v>45853</v>
      </c>
      <c r="C1872" s="41"/>
      <c r="D1872" s="42" t="str">
        <f ca="1">IFERROR(__xludf.DUMMYFUNCTION("""COMPUTED_VALUE"""),"Common Redpoll")</f>
        <v>Common Redpoll</v>
      </c>
      <c r="E1872" s="15" t="str">
        <f ca="1">IFERROR(__xludf.DUMMYFUNCTION("""COMPUTED_VALUE"""),"2cy+")</f>
        <v>2cy+</v>
      </c>
      <c r="F1872" s="15" t="str">
        <f ca="1">IFERROR(__xludf.DUMMYFUNCTION("""COMPUTED_VALUE"""),"male")</f>
        <v>male</v>
      </c>
      <c r="G1872" s="44" t="str">
        <f ca="1">IFERROR(__xludf.DUMMYFUNCTION("""COMPUTED_VALUE"""),"Hoylake")</f>
        <v>Hoylake</v>
      </c>
      <c r="H1872" s="12">
        <f ca="1">IFERROR(__xludf.DUMMYFUNCTION("""COMPUTED_VALUE"""),45409)</f>
        <v>45409</v>
      </c>
      <c r="I1872" s="13"/>
      <c r="J1872" s="14" t="str">
        <f ca="1">IFERROR(__xludf.DUMMYFUNCTION("""COMPUTED_VALUE"""),"Turner, Jane")</f>
        <v>Turner, Jane</v>
      </c>
      <c r="K1872" s="15" t="str">
        <f ca="1">IFERROR(__xludf.DUMMYFUNCTION("""COMPUTED_VALUE"""),"Turner, Jane")</f>
        <v>Turner, Jane</v>
      </c>
      <c r="L1872" s="16" t="str">
        <f ca="1">IFERROR(__xludf.DUMMYFUNCTION("""COMPUTED_VALUE"""),"open")</f>
        <v>open</v>
      </c>
      <c r="M1872" s="17"/>
      <c r="N1872" s="15" t="str">
        <f ca="1">IFERROR(__xludf.DUMMYFUNCTION("""COMPUTED_VALUE"""),"in circulation")</f>
        <v>in circulation</v>
      </c>
      <c r="O1872" s="18" t="str">
        <f ca="1">IFERROR(__xludf.DUMMYFUNCTION("""COMPUTED_VALUE"""),"trapped/photo")</f>
        <v>trapped/photo</v>
      </c>
      <c r="P1872" s="15"/>
      <c r="Q1872" s="15"/>
      <c r="R1872" s="15"/>
      <c r="S1872" s="15"/>
      <c r="T1872" s="15"/>
      <c r="U1872" s="15"/>
      <c r="V1872" s="15"/>
      <c r="W1872" s="15"/>
      <c r="X1872" s="15"/>
      <c r="Y1872" s="15"/>
      <c r="Z1872" s="15"/>
      <c r="AA1872" s="15"/>
      <c r="AB1872" s="15"/>
      <c r="AC1872" s="15"/>
      <c r="AD1872" s="15"/>
      <c r="AE1872" s="15"/>
      <c r="AF1872" s="15"/>
      <c r="AG1872" s="15"/>
      <c r="AH1872" s="15"/>
      <c r="AI1872" s="15"/>
      <c r="AJ1872" s="15"/>
      <c r="AK1872" s="15"/>
      <c r="AL1872" s="15"/>
      <c r="AM1872" s="15"/>
      <c r="AN1872" s="15"/>
      <c r="AO1872" s="15"/>
      <c r="AP1872" s="15"/>
      <c r="AQ1872" s="15"/>
      <c r="AR1872" s="15"/>
      <c r="AS1872" s="15"/>
      <c r="AT1872" s="15"/>
      <c r="AU1872" s="15"/>
      <c r="AV1872" s="15"/>
      <c r="AW1872" s="15"/>
      <c r="AX1872" s="15"/>
      <c r="AY1872" s="15"/>
      <c r="AZ1872" s="15"/>
      <c r="BA1872" s="15"/>
      <c r="BB1872" s="15"/>
      <c r="BC1872" s="15"/>
      <c r="BD1872" s="15"/>
      <c r="BE1872" s="15"/>
      <c r="BF1872" s="15"/>
      <c r="BG1872" s="15"/>
      <c r="BH1872" s="15"/>
      <c r="BI1872" s="15"/>
      <c r="BJ1872" s="15"/>
      <c r="BK1872" s="15"/>
      <c r="BL1872" s="15"/>
      <c r="BM1872" s="15"/>
      <c r="BN1872" s="15"/>
      <c r="BO1872" s="15"/>
      <c r="BP1872" s="15"/>
      <c r="BQ1872" s="15"/>
      <c r="BR1872" s="15"/>
      <c r="BS1872" s="15"/>
      <c r="BT1872" s="15"/>
      <c r="BU1872" s="15"/>
      <c r="BV1872" s="15"/>
      <c r="BW1872" s="15"/>
      <c r="BX1872" s="15"/>
      <c r="BY1872" s="15"/>
      <c r="BZ1872" s="15"/>
      <c r="CA1872" s="15"/>
      <c r="CB1872" s="15"/>
    </row>
    <row r="1873" spans="1:80" ht="12.75" customHeight="1">
      <c r="A1873" s="20">
        <f ca="1">IFERROR(__xludf.DUMMYFUNCTION("""COMPUTED_VALUE"""),2024)</f>
        <v>2024</v>
      </c>
      <c r="B1873" s="46">
        <f ca="1">IFERROR(__xludf.DUMMYFUNCTION("""COMPUTED_VALUE"""),45813)</f>
        <v>45813</v>
      </c>
      <c r="C1873" s="46"/>
      <c r="D1873" s="47" t="str">
        <f ca="1">IFERROR(__xludf.DUMMYFUNCTION("""COMPUTED_VALUE"""),"Honey-Buzzard")</f>
        <v>Honey-Buzzard</v>
      </c>
      <c r="E1873" s="25">
        <f ca="1">IFERROR(__xludf.DUMMYFUNCTION("""COMPUTED_VALUE"""),1)</f>
        <v>1</v>
      </c>
      <c r="F1873" s="25"/>
      <c r="G1873" s="48" t="str">
        <f ca="1">IFERROR(__xludf.DUMMYFUNCTION("""COMPUTED_VALUE"""),"Burton Mere Wetlands")</f>
        <v>Burton Mere Wetlands</v>
      </c>
      <c r="H1873" s="22">
        <f ca="1">IFERROR(__xludf.DUMMYFUNCTION("""COMPUTED_VALUE"""),45438)</f>
        <v>45438</v>
      </c>
      <c r="I1873" s="23"/>
      <c r="J1873" s="24"/>
      <c r="K1873" s="25"/>
      <c r="L1873" s="26" t="str">
        <f ca="1">IFERROR(__xludf.DUMMYFUNCTION("""COMPUTED_VALUE"""),"limbo")</f>
        <v>limbo</v>
      </c>
      <c r="M1873" s="27"/>
      <c r="N1873" s="25" t="str">
        <f ca="1">IFERROR(__xludf.DUMMYFUNCTION("""COMPUTED_VALUE"""),"not submitted")</f>
        <v>not submitted</v>
      </c>
      <c r="O1873" s="28" t="str">
        <f ca="1">IFERROR(__xludf.DUMMYFUNCTION("""COMPUTED_VALUE"""),"Birdguides")</f>
        <v>Birdguides</v>
      </c>
      <c r="P1873" s="25"/>
      <c r="Q1873" s="25"/>
      <c r="R1873" s="25"/>
      <c r="S1873" s="25"/>
      <c r="T1873" s="25"/>
      <c r="U1873" s="25"/>
      <c r="V1873" s="25"/>
      <c r="W1873" s="25"/>
      <c r="X1873" s="25"/>
      <c r="Y1873" s="25"/>
      <c r="Z1873" s="25"/>
      <c r="AA1873" s="25"/>
      <c r="AB1873" s="25"/>
      <c r="AC1873" s="25"/>
      <c r="AD1873" s="25"/>
      <c r="AE1873" s="25"/>
      <c r="AF1873" s="25"/>
      <c r="AG1873" s="25"/>
      <c r="AH1873" s="25"/>
      <c r="AI1873" s="25"/>
      <c r="AJ1873" s="25"/>
      <c r="AK1873" s="25"/>
      <c r="AL1873" s="25"/>
      <c r="AM1873" s="25"/>
      <c r="AN1873" s="25"/>
      <c r="AO1873" s="25"/>
      <c r="AP1873" s="25"/>
      <c r="AQ1873" s="25"/>
      <c r="AR1873" s="25"/>
      <c r="AS1873" s="25"/>
      <c r="AT1873" s="25"/>
      <c r="AU1873" s="25"/>
      <c r="AV1873" s="25"/>
      <c r="AW1873" s="25"/>
      <c r="AX1873" s="25"/>
      <c r="AY1873" s="25"/>
      <c r="AZ1873" s="25"/>
      <c r="BA1873" s="25"/>
      <c r="BB1873" s="25"/>
      <c r="BC1873" s="25"/>
      <c r="BD1873" s="25"/>
      <c r="BE1873" s="25"/>
      <c r="BF1873" s="25"/>
      <c r="BG1873" s="25"/>
      <c r="BH1873" s="25"/>
      <c r="BI1873" s="25"/>
      <c r="BJ1873" s="25"/>
      <c r="BK1873" s="25"/>
      <c r="BL1873" s="25"/>
      <c r="BM1873" s="25"/>
      <c r="BN1873" s="25"/>
      <c r="BO1873" s="25"/>
      <c r="BP1873" s="25"/>
      <c r="BQ1873" s="25"/>
      <c r="BR1873" s="25"/>
      <c r="BS1873" s="25"/>
      <c r="BT1873" s="25"/>
      <c r="BU1873" s="25"/>
      <c r="BV1873" s="25"/>
      <c r="BW1873" s="25"/>
      <c r="BX1873" s="25"/>
      <c r="BY1873" s="25"/>
      <c r="BZ1873" s="25"/>
      <c r="CA1873" s="25"/>
      <c r="CB1873" s="25"/>
    </row>
    <row r="1874" spans="1:80" ht="12.75" customHeight="1">
      <c r="A1874" s="10">
        <f ca="1">IFERROR(__xludf.DUMMYFUNCTION("""COMPUTED_VALUE"""),2024)</f>
        <v>2024</v>
      </c>
      <c r="B1874" s="41">
        <f ca="1">IFERROR(__xludf.DUMMYFUNCTION("""COMPUTED_VALUE"""),45813)</f>
        <v>45813</v>
      </c>
      <c r="C1874" s="41"/>
      <c r="D1874" s="42" t="str">
        <f ca="1">IFERROR(__xludf.DUMMYFUNCTION("""COMPUTED_VALUE"""),"Hooded Crow")</f>
        <v>Hooded Crow</v>
      </c>
      <c r="E1874" s="15">
        <f ca="1">IFERROR(__xludf.DUMMYFUNCTION("""COMPUTED_VALUE"""),1)</f>
        <v>1</v>
      </c>
      <c r="F1874" s="15"/>
      <c r="G1874" s="44" t="str">
        <f ca="1">IFERROR(__xludf.DUMMYFUNCTION("""COMPUTED_VALUE"""),"National Trust Helsby Hill")</f>
        <v>National Trust Helsby Hill</v>
      </c>
      <c r="H1874" s="12">
        <f ca="1">IFERROR(__xludf.DUMMYFUNCTION("""COMPUTED_VALUE"""),45655)</f>
        <v>45655</v>
      </c>
      <c r="I1874" s="13"/>
      <c r="J1874" s="14"/>
      <c r="K1874" s="15"/>
      <c r="L1874" s="16" t="str">
        <f ca="1">IFERROR(__xludf.DUMMYFUNCTION("""COMPUTED_VALUE"""),"limbo")</f>
        <v>limbo</v>
      </c>
      <c r="M1874" s="17"/>
      <c r="N1874" s="15" t="str">
        <f ca="1">IFERROR(__xludf.DUMMYFUNCTION("""COMPUTED_VALUE"""),"not submitted")</f>
        <v>not submitted</v>
      </c>
      <c r="O1874" s="18"/>
      <c r="P1874" s="15"/>
      <c r="Q1874" s="15"/>
      <c r="R1874" s="15"/>
      <c r="S1874" s="15"/>
      <c r="T1874" s="15"/>
      <c r="U1874" s="15"/>
      <c r="V1874" s="15"/>
      <c r="W1874" s="15"/>
      <c r="X1874" s="15"/>
      <c r="Y1874" s="15"/>
      <c r="Z1874" s="15"/>
      <c r="AA1874" s="15"/>
      <c r="AB1874" s="15"/>
      <c r="AC1874" s="15"/>
      <c r="AD1874" s="15"/>
      <c r="AE1874" s="15"/>
      <c r="AF1874" s="15"/>
      <c r="AG1874" s="15"/>
      <c r="AH1874" s="15"/>
      <c r="AI1874" s="15"/>
      <c r="AJ1874" s="15"/>
      <c r="AK1874" s="15"/>
      <c r="AL1874" s="15"/>
      <c r="AM1874" s="15"/>
      <c r="AN1874" s="15"/>
      <c r="AO1874" s="15"/>
      <c r="AP1874" s="15"/>
      <c r="AQ1874" s="15"/>
      <c r="AR1874" s="15"/>
      <c r="AS1874" s="15"/>
      <c r="AT1874" s="15"/>
      <c r="AU1874" s="15"/>
      <c r="AV1874" s="15"/>
      <c r="AW1874" s="15"/>
      <c r="AX1874" s="15"/>
      <c r="AY1874" s="15"/>
      <c r="AZ1874" s="15"/>
      <c r="BA1874" s="15"/>
      <c r="BB1874" s="15"/>
      <c r="BC1874" s="15"/>
      <c r="BD1874" s="15"/>
      <c r="BE1874" s="15"/>
      <c r="BF1874" s="15"/>
      <c r="BG1874" s="15"/>
      <c r="BH1874" s="15"/>
      <c r="BI1874" s="15"/>
      <c r="BJ1874" s="15"/>
      <c r="BK1874" s="15"/>
      <c r="BL1874" s="15"/>
      <c r="BM1874" s="15"/>
      <c r="BN1874" s="15"/>
      <c r="BO1874" s="15"/>
      <c r="BP1874" s="15"/>
      <c r="BQ1874" s="15"/>
      <c r="BR1874" s="15"/>
      <c r="BS1874" s="15"/>
      <c r="BT1874" s="15"/>
      <c r="BU1874" s="15"/>
      <c r="BV1874" s="15"/>
      <c r="BW1874" s="15"/>
      <c r="BX1874" s="15"/>
      <c r="BY1874" s="15"/>
      <c r="BZ1874" s="15"/>
      <c r="CA1874" s="15"/>
      <c r="CB1874" s="15"/>
    </row>
    <row r="1875" spans="1:80" ht="12.75" customHeight="1">
      <c r="A1875" s="20">
        <f ca="1">IFERROR(__xludf.DUMMYFUNCTION("""COMPUTED_VALUE"""),2024)</f>
        <v>2024</v>
      </c>
      <c r="B1875" s="46">
        <f ca="1">IFERROR(__xludf.DUMMYFUNCTION("""COMPUTED_VALUE"""),45813)</f>
        <v>45813</v>
      </c>
      <c r="C1875" s="46"/>
      <c r="D1875" s="47" t="str">
        <f ca="1">IFERROR(__xludf.DUMMYFUNCTION("""COMPUTED_VALUE"""),"Hooded Crow")</f>
        <v>Hooded Crow</v>
      </c>
      <c r="E1875" s="25">
        <f ca="1">IFERROR(__xludf.DUMMYFUNCTION("""COMPUTED_VALUE"""),1)</f>
        <v>1</v>
      </c>
      <c r="F1875" s="25"/>
      <c r="G1875" s="48" t="str">
        <f ca="1">IFERROR(__xludf.DUMMYFUNCTION("""COMPUTED_VALUE"""),"Peckforton, Tarporley CW6 9TW")</f>
        <v>Peckforton, Tarporley CW6 9TW</v>
      </c>
      <c r="H1875" s="22">
        <f ca="1">IFERROR(__xludf.DUMMYFUNCTION("""COMPUTED_VALUE"""),45651)</f>
        <v>45651</v>
      </c>
      <c r="I1875" s="23"/>
      <c r="J1875" s="24"/>
      <c r="K1875" s="25"/>
      <c r="L1875" s="26" t="str">
        <f ca="1">IFERROR(__xludf.DUMMYFUNCTION("""COMPUTED_VALUE"""),"limbo")</f>
        <v>limbo</v>
      </c>
      <c r="M1875" s="27"/>
      <c r="N1875" s="25" t="str">
        <f ca="1">IFERROR(__xludf.DUMMYFUNCTION("""COMPUTED_VALUE"""),"not submitted")</f>
        <v>not submitted</v>
      </c>
      <c r="O1875" s="28"/>
      <c r="P1875" s="25"/>
      <c r="Q1875" s="25"/>
      <c r="R1875" s="25"/>
      <c r="S1875" s="25"/>
      <c r="T1875" s="25"/>
      <c r="U1875" s="25"/>
      <c r="V1875" s="25"/>
      <c r="W1875" s="25"/>
      <c r="X1875" s="25"/>
      <c r="Y1875" s="25"/>
      <c r="Z1875" s="25"/>
      <c r="AA1875" s="25"/>
      <c r="AB1875" s="25"/>
      <c r="AC1875" s="25"/>
      <c r="AD1875" s="25"/>
      <c r="AE1875" s="25"/>
      <c r="AF1875" s="25"/>
      <c r="AG1875" s="25"/>
      <c r="AH1875" s="25"/>
      <c r="AI1875" s="25"/>
      <c r="AJ1875" s="25"/>
      <c r="AK1875" s="25"/>
      <c r="AL1875" s="25"/>
      <c r="AM1875" s="25"/>
      <c r="AN1875" s="25"/>
      <c r="AO1875" s="25"/>
      <c r="AP1875" s="25"/>
      <c r="AQ1875" s="25"/>
      <c r="AR1875" s="25"/>
      <c r="AS1875" s="25"/>
      <c r="AT1875" s="25"/>
      <c r="AU1875" s="25"/>
      <c r="AV1875" s="25"/>
      <c r="AW1875" s="25"/>
      <c r="AX1875" s="25"/>
      <c r="AY1875" s="25"/>
      <c r="AZ1875" s="25"/>
      <c r="BA1875" s="25"/>
      <c r="BB1875" s="25"/>
      <c r="BC1875" s="25"/>
      <c r="BD1875" s="25"/>
      <c r="BE1875" s="25"/>
      <c r="BF1875" s="25"/>
      <c r="BG1875" s="25"/>
      <c r="BH1875" s="25"/>
      <c r="BI1875" s="25"/>
      <c r="BJ1875" s="25"/>
      <c r="BK1875" s="25"/>
      <c r="BL1875" s="25"/>
      <c r="BM1875" s="25"/>
      <c r="BN1875" s="25"/>
      <c r="BO1875" s="25"/>
      <c r="BP1875" s="25"/>
      <c r="BQ1875" s="25"/>
      <c r="BR1875" s="25"/>
      <c r="BS1875" s="25"/>
      <c r="BT1875" s="25"/>
      <c r="BU1875" s="25"/>
      <c r="BV1875" s="25"/>
      <c r="BW1875" s="25"/>
      <c r="BX1875" s="25"/>
      <c r="BY1875" s="25"/>
      <c r="BZ1875" s="25"/>
      <c r="CA1875" s="25"/>
      <c r="CB1875" s="25"/>
    </row>
    <row r="1876" spans="1:80" ht="12.75" customHeight="1">
      <c r="A1876" s="10">
        <f ca="1">IFERROR(__xludf.DUMMYFUNCTION("""COMPUTED_VALUE"""),2024)</f>
        <v>2024</v>
      </c>
      <c r="B1876" s="41">
        <f ca="1">IFERROR(__xludf.DUMMYFUNCTION("""COMPUTED_VALUE"""),45813)</f>
        <v>45813</v>
      </c>
      <c r="C1876" s="41"/>
      <c r="D1876" s="42" t="str">
        <f ca="1">IFERROR(__xludf.DUMMYFUNCTION("""COMPUTED_VALUE"""),"Hooded Crow")</f>
        <v>Hooded Crow</v>
      </c>
      <c r="E1876" s="15">
        <f ca="1">IFERROR(__xludf.DUMMYFUNCTION("""COMPUTED_VALUE"""),1)</f>
        <v>1</v>
      </c>
      <c r="F1876" s="15"/>
      <c r="G1876" s="44" t="str">
        <f ca="1">IFERROR(__xludf.DUMMYFUNCTION("""COMPUTED_VALUE"""),"Leasowe Lighthouse")</f>
        <v>Leasowe Lighthouse</v>
      </c>
      <c r="H1876" s="12">
        <f ca="1">IFERROR(__xludf.DUMMYFUNCTION("""COMPUTED_VALUE"""),45431)</f>
        <v>45431</v>
      </c>
      <c r="I1876" s="13"/>
      <c r="J1876" s="14"/>
      <c r="K1876" s="15"/>
      <c r="L1876" s="16" t="str">
        <f ca="1">IFERROR(__xludf.DUMMYFUNCTION("""COMPUTED_VALUE"""),"limbo")</f>
        <v>limbo</v>
      </c>
      <c r="M1876" s="17"/>
      <c r="N1876" s="15" t="str">
        <f ca="1">IFERROR(__xludf.DUMMYFUNCTION("""COMPUTED_VALUE"""),"not submitted")</f>
        <v>not submitted</v>
      </c>
      <c r="O1876" s="18"/>
      <c r="P1876" s="15"/>
      <c r="Q1876" s="15"/>
      <c r="R1876" s="15"/>
      <c r="S1876" s="15"/>
      <c r="T1876" s="15"/>
      <c r="U1876" s="15"/>
      <c r="V1876" s="15"/>
      <c r="W1876" s="15"/>
      <c r="X1876" s="15"/>
      <c r="Y1876" s="15"/>
      <c r="Z1876" s="15"/>
      <c r="AA1876" s="15"/>
      <c r="AB1876" s="15"/>
      <c r="AC1876" s="15"/>
      <c r="AD1876" s="15"/>
      <c r="AE1876" s="15"/>
      <c r="AF1876" s="15"/>
      <c r="AG1876" s="15"/>
      <c r="AH1876" s="15"/>
      <c r="AI1876" s="15"/>
      <c r="AJ1876" s="15"/>
      <c r="AK1876" s="15"/>
      <c r="AL1876" s="15"/>
      <c r="AM1876" s="15"/>
      <c r="AN1876" s="15"/>
      <c r="AO1876" s="15"/>
      <c r="AP1876" s="15"/>
      <c r="AQ1876" s="15"/>
      <c r="AR1876" s="15"/>
      <c r="AS1876" s="15"/>
      <c r="AT1876" s="15"/>
      <c r="AU1876" s="15"/>
      <c r="AV1876" s="15"/>
      <c r="AW1876" s="15"/>
      <c r="AX1876" s="15"/>
      <c r="AY1876" s="15"/>
      <c r="AZ1876" s="15"/>
      <c r="BA1876" s="15"/>
      <c r="BB1876" s="15"/>
      <c r="BC1876" s="15"/>
      <c r="BD1876" s="15"/>
      <c r="BE1876" s="15"/>
      <c r="BF1876" s="15"/>
      <c r="BG1876" s="15"/>
      <c r="BH1876" s="15"/>
      <c r="BI1876" s="15"/>
      <c r="BJ1876" s="15"/>
      <c r="BK1876" s="15"/>
      <c r="BL1876" s="15"/>
      <c r="BM1876" s="15"/>
      <c r="BN1876" s="15"/>
      <c r="BO1876" s="15"/>
      <c r="BP1876" s="15"/>
      <c r="BQ1876" s="15"/>
      <c r="BR1876" s="15"/>
      <c r="BS1876" s="15"/>
      <c r="BT1876" s="15"/>
      <c r="BU1876" s="15"/>
      <c r="BV1876" s="15"/>
      <c r="BW1876" s="15"/>
      <c r="BX1876" s="15"/>
      <c r="BY1876" s="15"/>
      <c r="BZ1876" s="15"/>
      <c r="CA1876" s="15"/>
      <c r="CB1876" s="15"/>
    </row>
    <row r="1877" spans="1:80" ht="12.75" customHeight="1">
      <c r="A1877" s="20">
        <f ca="1">IFERROR(__xludf.DUMMYFUNCTION("""COMPUTED_VALUE"""),2024)</f>
        <v>2024</v>
      </c>
      <c r="B1877" s="46">
        <f ca="1">IFERROR(__xludf.DUMMYFUNCTION("""COMPUTED_VALUE"""),45813)</f>
        <v>45813</v>
      </c>
      <c r="C1877" s="46"/>
      <c r="D1877" s="47" t="str">
        <f ca="1">IFERROR(__xludf.DUMMYFUNCTION("""COMPUTED_VALUE"""),"Hooded Crow")</f>
        <v>Hooded Crow</v>
      </c>
      <c r="E1877" s="25">
        <f ca="1">IFERROR(__xludf.DUMMYFUNCTION("""COMPUTED_VALUE"""),1)</f>
        <v>1</v>
      </c>
      <c r="F1877" s="25"/>
      <c r="G1877" s="48" t="str">
        <f ca="1">IFERROR(__xludf.DUMMYFUNCTION("""COMPUTED_VALUE"""),"The Chase, Welsh Rd, Little Sutton, Ellesmere Port CH66 4QR, UK")</f>
        <v>The Chase, Welsh Rd, Little Sutton, Ellesmere Port CH66 4QR, UK</v>
      </c>
      <c r="H1877" s="22">
        <f ca="1">IFERROR(__xludf.DUMMYFUNCTION("""COMPUTED_VALUE"""),45421)</f>
        <v>45421</v>
      </c>
      <c r="I1877" s="23"/>
      <c r="J1877" s="24"/>
      <c r="K1877" s="25"/>
      <c r="L1877" s="26" t="str">
        <f ca="1">IFERROR(__xludf.DUMMYFUNCTION("""COMPUTED_VALUE"""),"limbo")</f>
        <v>limbo</v>
      </c>
      <c r="M1877" s="27"/>
      <c r="N1877" s="25" t="str">
        <f ca="1">IFERROR(__xludf.DUMMYFUNCTION("""COMPUTED_VALUE"""),"not submitted")</f>
        <v>not submitted</v>
      </c>
      <c r="O1877" s="28"/>
      <c r="P1877" s="25"/>
      <c r="Q1877" s="25"/>
      <c r="R1877" s="25"/>
      <c r="S1877" s="25"/>
      <c r="T1877" s="25"/>
      <c r="U1877" s="25"/>
      <c r="V1877" s="25"/>
      <c r="W1877" s="25"/>
      <c r="X1877" s="25"/>
      <c r="Y1877" s="25"/>
      <c r="Z1877" s="25"/>
      <c r="AA1877" s="25"/>
      <c r="AB1877" s="25"/>
      <c r="AC1877" s="25"/>
      <c r="AD1877" s="25"/>
      <c r="AE1877" s="25"/>
      <c r="AF1877" s="25"/>
      <c r="AG1877" s="25"/>
      <c r="AH1877" s="25"/>
      <c r="AI1877" s="25"/>
      <c r="AJ1877" s="25"/>
      <c r="AK1877" s="25"/>
      <c r="AL1877" s="25"/>
      <c r="AM1877" s="25"/>
      <c r="AN1877" s="25"/>
      <c r="AO1877" s="25"/>
      <c r="AP1877" s="25"/>
      <c r="AQ1877" s="25"/>
      <c r="AR1877" s="25"/>
      <c r="AS1877" s="25"/>
      <c r="AT1877" s="25"/>
      <c r="AU1877" s="25"/>
      <c r="AV1877" s="25"/>
      <c r="AW1877" s="25"/>
      <c r="AX1877" s="25"/>
      <c r="AY1877" s="25"/>
      <c r="AZ1877" s="25"/>
      <c r="BA1877" s="25"/>
      <c r="BB1877" s="25"/>
      <c r="BC1877" s="25"/>
      <c r="BD1877" s="25"/>
      <c r="BE1877" s="25"/>
      <c r="BF1877" s="25"/>
      <c r="BG1877" s="25"/>
      <c r="BH1877" s="25"/>
      <c r="BI1877" s="25"/>
      <c r="BJ1877" s="25"/>
      <c r="BK1877" s="25"/>
      <c r="BL1877" s="25"/>
      <c r="BM1877" s="25"/>
      <c r="BN1877" s="25"/>
      <c r="BO1877" s="25"/>
      <c r="BP1877" s="25"/>
      <c r="BQ1877" s="25"/>
      <c r="BR1877" s="25"/>
      <c r="BS1877" s="25"/>
      <c r="BT1877" s="25"/>
      <c r="BU1877" s="25"/>
      <c r="BV1877" s="25"/>
      <c r="BW1877" s="25"/>
      <c r="BX1877" s="25"/>
      <c r="BY1877" s="25"/>
      <c r="BZ1877" s="25"/>
      <c r="CA1877" s="25"/>
      <c r="CB1877" s="25"/>
    </row>
    <row r="1878" spans="1:80" ht="12.75" customHeight="1">
      <c r="A1878" s="10">
        <f ca="1">IFERROR(__xludf.DUMMYFUNCTION("""COMPUTED_VALUE"""),2024)</f>
        <v>2024</v>
      </c>
      <c r="B1878" s="41">
        <f ca="1">IFERROR(__xludf.DUMMYFUNCTION("""COMPUTED_VALUE"""),45813)</f>
        <v>45813</v>
      </c>
      <c r="C1878" s="41"/>
      <c r="D1878" s="42" t="str">
        <f ca="1">IFERROR(__xludf.DUMMYFUNCTION("""COMPUTED_VALUE"""),"Hooded Crow")</f>
        <v>Hooded Crow</v>
      </c>
      <c r="E1878" s="15">
        <f ca="1">IFERROR(__xludf.DUMMYFUNCTION("""COMPUTED_VALUE"""),1)</f>
        <v>1</v>
      </c>
      <c r="F1878" s="15"/>
      <c r="G1878" s="44" t="str">
        <f ca="1">IFERROR(__xludf.DUMMYFUNCTION("""COMPUTED_VALUE"""),"Egerton Park, Birkenhead, Merseyside CH42 4QZ")</f>
        <v>Egerton Park, Birkenhead, Merseyside CH42 4QZ</v>
      </c>
      <c r="H1878" s="12">
        <f ca="1">IFERROR(__xludf.DUMMYFUNCTION("""COMPUTED_VALUE"""),45419)</f>
        <v>45419</v>
      </c>
      <c r="I1878" s="13"/>
      <c r="J1878" s="14"/>
      <c r="K1878" s="15"/>
      <c r="L1878" s="16" t="str">
        <f ca="1">IFERROR(__xludf.DUMMYFUNCTION("""COMPUTED_VALUE"""),"limbo")</f>
        <v>limbo</v>
      </c>
      <c r="M1878" s="17"/>
      <c r="N1878" s="15" t="str">
        <f ca="1">IFERROR(__xludf.DUMMYFUNCTION("""COMPUTED_VALUE"""),"not submitted")</f>
        <v>not submitted</v>
      </c>
      <c r="O1878" s="18"/>
      <c r="P1878" s="15"/>
      <c r="Q1878" s="15"/>
      <c r="R1878" s="15"/>
      <c r="S1878" s="15"/>
      <c r="T1878" s="15"/>
      <c r="U1878" s="15"/>
      <c r="V1878" s="15"/>
      <c r="W1878" s="15"/>
      <c r="X1878" s="15"/>
      <c r="Y1878" s="15"/>
      <c r="Z1878" s="15"/>
      <c r="AA1878" s="15"/>
      <c r="AB1878" s="15"/>
      <c r="AC1878" s="15"/>
      <c r="AD1878" s="15"/>
      <c r="AE1878" s="15"/>
      <c r="AF1878" s="15"/>
      <c r="AG1878" s="15"/>
      <c r="AH1878" s="15"/>
      <c r="AI1878" s="15"/>
      <c r="AJ1878" s="15"/>
      <c r="AK1878" s="15"/>
      <c r="AL1878" s="15"/>
      <c r="AM1878" s="15"/>
      <c r="AN1878" s="15"/>
      <c r="AO1878" s="15"/>
      <c r="AP1878" s="15"/>
      <c r="AQ1878" s="15"/>
      <c r="AR1878" s="15"/>
      <c r="AS1878" s="15"/>
      <c r="AT1878" s="15"/>
      <c r="AU1878" s="15"/>
      <c r="AV1878" s="15"/>
      <c r="AW1878" s="15"/>
      <c r="AX1878" s="15"/>
      <c r="AY1878" s="15"/>
      <c r="AZ1878" s="15"/>
      <c r="BA1878" s="15"/>
      <c r="BB1878" s="15"/>
      <c r="BC1878" s="15"/>
      <c r="BD1878" s="15"/>
      <c r="BE1878" s="15"/>
      <c r="BF1878" s="15"/>
      <c r="BG1878" s="15"/>
      <c r="BH1878" s="15"/>
      <c r="BI1878" s="15"/>
      <c r="BJ1878" s="15"/>
      <c r="BK1878" s="15"/>
      <c r="BL1878" s="15"/>
      <c r="BM1878" s="15"/>
      <c r="BN1878" s="15"/>
      <c r="BO1878" s="15"/>
      <c r="BP1878" s="15"/>
      <c r="BQ1878" s="15"/>
      <c r="BR1878" s="15"/>
      <c r="BS1878" s="15"/>
      <c r="BT1878" s="15"/>
      <c r="BU1878" s="15"/>
      <c r="BV1878" s="15"/>
      <c r="BW1878" s="15"/>
      <c r="BX1878" s="15"/>
      <c r="BY1878" s="15"/>
      <c r="BZ1878" s="15"/>
      <c r="CA1878" s="15"/>
      <c r="CB1878" s="15"/>
    </row>
    <row r="1879" spans="1:80" ht="12.75" customHeight="1">
      <c r="A1879" s="20">
        <f ca="1">IFERROR(__xludf.DUMMYFUNCTION("""COMPUTED_VALUE"""),2025)</f>
        <v>2025</v>
      </c>
      <c r="B1879" s="46">
        <f ca="1">IFERROR(__xludf.DUMMYFUNCTION("""COMPUTED_VALUE"""),45794)</f>
        <v>45794</v>
      </c>
      <c r="C1879" s="46">
        <f ca="1">IFERROR(__xludf.DUMMYFUNCTION("""COMPUTED_VALUE"""),45794)</f>
        <v>45794</v>
      </c>
      <c r="D1879" s="47" t="str">
        <f ca="1">IFERROR(__xludf.DUMMYFUNCTION("""COMPUTED_VALUE"""),"Purple Heron")</f>
        <v>Purple Heron</v>
      </c>
      <c r="E1879" s="25">
        <f ca="1">IFERROR(__xludf.DUMMYFUNCTION("""COMPUTED_VALUE"""),1)</f>
        <v>1</v>
      </c>
      <c r="F1879" s="25" t="str">
        <f ca="1">IFERROR(__xludf.DUMMYFUNCTION("""COMPUTED_VALUE"""),"Ad")</f>
        <v>Ad</v>
      </c>
      <c r="G1879" s="48" t="str">
        <f ca="1">IFERROR(__xludf.DUMMYFUNCTION("""COMPUTED_VALUE"""),"Lache pits (SJ383632)")</f>
        <v>Lache pits (SJ383632)</v>
      </c>
      <c r="H1879" s="22">
        <f ca="1">IFERROR(__xludf.DUMMYFUNCTION("""COMPUTED_VALUE"""),45789)</f>
        <v>45789</v>
      </c>
      <c r="I1879" s="23"/>
      <c r="J1879" s="24"/>
      <c r="K1879" s="25"/>
      <c r="L1879" s="26" t="str">
        <f ca="1">IFERROR(__xludf.DUMMYFUNCTION("""COMPUTED_VALUE"""),"open")</f>
        <v>open</v>
      </c>
      <c r="M1879" s="27"/>
      <c r="N1879" s="25" t="str">
        <f ca="1">IFERROR(__xludf.DUMMYFUNCTION("""COMPUTED_VALUE"""),"in Circulation")</f>
        <v>in Circulation</v>
      </c>
      <c r="O1879" s="28"/>
      <c r="P1879" s="25"/>
      <c r="Q1879" s="25"/>
      <c r="R1879" s="25"/>
      <c r="S1879" s="25"/>
      <c r="T1879" s="25"/>
      <c r="U1879" s="25"/>
      <c r="V1879" s="25"/>
      <c r="W1879" s="25"/>
      <c r="X1879" s="25"/>
      <c r="Y1879" s="25"/>
      <c r="Z1879" s="25"/>
      <c r="AA1879" s="25"/>
      <c r="AB1879" s="25"/>
      <c r="AC1879" s="25"/>
      <c r="AD1879" s="25"/>
      <c r="AE1879" s="25"/>
      <c r="AF1879" s="25"/>
      <c r="AG1879" s="25"/>
      <c r="AH1879" s="25"/>
      <c r="AI1879" s="25"/>
      <c r="AJ1879" s="25"/>
      <c r="AK1879" s="25"/>
      <c r="AL1879" s="25"/>
      <c r="AM1879" s="25"/>
      <c r="AN1879" s="25"/>
      <c r="AO1879" s="25"/>
      <c r="AP1879" s="25"/>
      <c r="AQ1879" s="25"/>
      <c r="AR1879" s="25"/>
      <c r="AS1879" s="25"/>
      <c r="AT1879" s="25"/>
      <c r="AU1879" s="25"/>
      <c r="AV1879" s="25"/>
      <c r="AW1879" s="25"/>
      <c r="AX1879" s="25"/>
      <c r="AY1879" s="25"/>
      <c r="AZ1879" s="25"/>
      <c r="BA1879" s="25"/>
      <c r="BB1879" s="25"/>
      <c r="BC1879" s="25"/>
      <c r="BD1879" s="25"/>
      <c r="BE1879" s="25"/>
      <c r="BF1879" s="25"/>
      <c r="BG1879" s="25"/>
      <c r="BH1879" s="25"/>
      <c r="BI1879" s="25"/>
      <c r="BJ1879" s="25"/>
      <c r="BK1879" s="25"/>
      <c r="BL1879" s="25"/>
      <c r="BM1879" s="25"/>
      <c r="BN1879" s="25"/>
      <c r="BO1879" s="25"/>
      <c r="BP1879" s="25"/>
      <c r="BQ1879" s="25"/>
      <c r="BR1879" s="25"/>
      <c r="BS1879" s="25"/>
      <c r="BT1879" s="25"/>
      <c r="BU1879" s="25"/>
      <c r="BV1879" s="25"/>
      <c r="BW1879" s="25"/>
      <c r="BX1879" s="25"/>
      <c r="BY1879" s="25"/>
      <c r="BZ1879" s="25"/>
      <c r="CA1879" s="25"/>
      <c r="CB1879" s="25"/>
    </row>
    <row r="1880" spans="1:80" ht="12.75" customHeight="1">
      <c r="A1880" s="10">
        <f ca="1">IFERROR(__xludf.DUMMYFUNCTION("""COMPUTED_VALUE"""),2025)</f>
        <v>2025</v>
      </c>
      <c r="B1880" s="41">
        <f ca="1">IFERROR(__xludf.DUMMYFUNCTION("""COMPUTED_VALUE"""),45778)</f>
        <v>45778</v>
      </c>
      <c r="C1880" s="41">
        <f ca="1">IFERROR(__xludf.DUMMYFUNCTION("""COMPUTED_VALUE"""),45778)</f>
        <v>45778</v>
      </c>
      <c r="D1880" s="42" t="str">
        <f ca="1">IFERROR(__xludf.DUMMYFUNCTION("""COMPUTED_VALUE"""),"Hoopoe")</f>
        <v>Hoopoe</v>
      </c>
      <c r="E1880" s="15">
        <f ca="1">IFERROR(__xludf.DUMMYFUNCTION("""COMPUTED_VALUE"""),1)</f>
        <v>1</v>
      </c>
      <c r="F1880" s="15"/>
      <c r="G1880" s="44" t="str">
        <f ca="1">IFERROR(__xludf.DUMMYFUNCTION("""COMPUTED_VALUE"""),"Higher Disley")</f>
        <v>Higher Disley</v>
      </c>
      <c r="H1880" s="12">
        <f ca="1">IFERROR(__xludf.DUMMYFUNCTION("""COMPUTED_VALUE"""),45777)</f>
        <v>45777</v>
      </c>
      <c r="I1880" s="13"/>
      <c r="J1880" s="14"/>
      <c r="K1880" s="15"/>
      <c r="L1880" s="16" t="str">
        <f ca="1">IFERROR(__xludf.DUMMYFUNCTION("""COMPUTED_VALUE"""),"open")</f>
        <v>open</v>
      </c>
      <c r="M1880" s="17"/>
      <c r="N1880" s="15" t="str">
        <f ca="1">IFERROR(__xludf.DUMMYFUNCTION("""COMPUTED_VALUE"""),"in Circulation")</f>
        <v>in Circulation</v>
      </c>
      <c r="O1880" s="18"/>
      <c r="P1880" s="15"/>
      <c r="Q1880" s="15"/>
      <c r="R1880" s="15"/>
      <c r="S1880" s="15"/>
      <c r="T1880" s="15"/>
      <c r="U1880" s="15"/>
      <c r="V1880" s="15"/>
      <c r="W1880" s="15"/>
      <c r="X1880" s="15"/>
      <c r="Y1880" s="15"/>
      <c r="Z1880" s="15"/>
      <c r="AA1880" s="15"/>
      <c r="AB1880" s="15"/>
      <c r="AC1880" s="15"/>
      <c r="AD1880" s="15"/>
      <c r="AE1880" s="15"/>
      <c r="AF1880" s="15"/>
      <c r="AG1880" s="15"/>
      <c r="AH1880" s="15"/>
      <c r="AI1880" s="15"/>
      <c r="AJ1880" s="15"/>
      <c r="AK1880" s="15"/>
      <c r="AL1880" s="15"/>
      <c r="AM1880" s="15"/>
      <c r="AN1880" s="15"/>
      <c r="AO1880" s="15"/>
      <c r="AP1880" s="15"/>
      <c r="AQ1880" s="15"/>
      <c r="AR1880" s="15"/>
      <c r="AS1880" s="15"/>
      <c r="AT1880" s="15"/>
      <c r="AU1880" s="15"/>
      <c r="AV1880" s="15"/>
      <c r="AW1880" s="15"/>
      <c r="AX1880" s="15"/>
      <c r="AY1880" s="15"/>
      <c r="AZ1880" s="15"/>
      <c r="BA1880" s="15"/>
      <c r="BB1880" s="15"/>
      <c r="BC1880" s="15"/>
      <c r="BD1880" s="15"/>
      <c r="BE1880" s="15"/>
      <c r="BF1880" s="15"/>
      <c r="BG1880" s="15"/>
      <c r="BH1880" s="15"/>
      <c r="BI1880" s="15"/>
      <c r="BJ1880" s="15"/>
      <c r="BK1880" s="15"/>
      <c r="BL1880" s="15"/>
      <c r="BM1880" s="15"/>
      <c r="BN1880" s="15"/>
      <c r="BO1880" s="15"/>
      <c r="BP1880" s="15"/>
      <c r="BQ1880" s="15"/>
      <c r="BR1880" s="15"/>
      <c r="BS1880" s="15"/>
      <c r="BT1880" s="15"/>
      <c r="BU1880" s="15"/>
      <c r="BV1880" s="15"/>
      <c r="BW1880" s="15"/>
      <c r="BX1880" s="15"/>
      <c r="BY1880" s="15"/>
      <c r="BZ1880" s="15"/>
      <c r="CA1880" s="15"/>
      <c r="CB1880" s="15"/>
    </row>
    <row r="1881" spans="1:80" ht="12.75" customHeight="1">
      <c r="A1881" s="20">
        <f ca="1">IFERROR(__xludf.DUMMYFUNCTION("""COMPUTED_VALUE"""),2025)</f>
        <v>2025</v>
      </c>
      <c r="B1881" s="46"/>
      <c r="C1881" s="46"/>
      <c r="D1881" s="47" t="str">
        <f ca="1">IFERROR(__xludf.DUMMYFUNCTION("""COMPUTED_VALUE"""),"Grey Phalarope")</f>
        <v>Grey Phalarope</v>
      </c>
      <c r="E1881" s="25">
        <f ca="1">IFERROR(__xludf.DUMMYFUNCTION("""COMPUTED_VALUE"""),1)</f>
        <v>1</v>
      </c>
      <c r="F1881" s="25"/>
      <c r="G1881" s="48" t="str">
        <f ca="1">IFERROR(__xludf.DUMMYFUNCTION("""COMPUTED_VALUE"""),"Leasowe Gunsite")</f>
        <v>Leasowe Gunsite</v>
      </c>
      <c r="H1881" s="22">
        <f ca="1">IFERROR(__xludf.DUMMYFUNCTION("""COMPUTED_VALUE"""),45910)</f>
        <v>45910</v>
      </c>
      <c r="I1881" s="23"/>
      <c r="J1881" s="24"/>
      <c r="K1881" s="25"/>
      <c r="L1881" s="26" t="str">
        <f ca="1">IFERROR(__xludf.DUMMYFUNCTION("""COMPUTED_VALUE"""),"limbo")</f>
        <v>limbo</v>
      </c>
      <c r="M1881" s="27"/>
      <c r="N1881" s="25" t="str">
        <f ca="1">IFERROR(__xludf.DUMMYFUNCTION("""COMPUTED_VALUE"""),"not submitted")</f>
        <v>not submitted</v>
      </c>
      <c r="O1881" s="28"/>
      <c r="P1881" s="25"/>
      <c r="Q1881" s="25"/>
      <c r="R1881" s="25"/>
      <c r="S1881" s="25"/>
      <c r="T1881" s="25"/>
      <c r="U1881" s="25"/>
      <c r="V1881" s="25"/>
      <c r="W1881" s="25"/>
      <c r="X1881" s="25"/>
      <c r="Y1881" s="25"/>
      <c r="Z1881" s="25"/>
      <c r="AA1881" s="25"/>
      <c r="AB1881" s="25"/>
      <c r="AC1881" s="25"/>
      <c r="AD1881" s="25"/>
      <c r="AE1881" s="25"/>
      <c r="AF1881" s="25"/>
      <c r="AG1881" s="25"/>
      <c r="AH1881" s="25"/>
      <c r="AI1881" s="25"/>
      <c r="AJ1881" s="25"/>
      <c r="AK1881" s="25"/>
      <c r="AL1881" s="25"/>
      <c r="AM1881" s="25"/>
      <c r="AN1881" s="25"/>
      <c r="AO1881" s="25"/>
      <c r="AP1881" s="25"/>
      <c r="AQ1881" s="25"/>
      <c r="AR1881" s="25"/>
      <c r="AS1881" s="25"/>
      <c r="AT1881" s="25"/>
      <c r="AU1881" s="25"/>
      <c r="AV1881" s="25"/>
      <c r="AW1881" s="25"/>
      <c r="AX1881" s="25"/>
      <c r="AY1881" s="25"/>
      <c r="AZ1881" s="25"/>
      <c r="BA1881" s="25"/>
      <c r="BB1881" s="25"/>
      <c r="BC1881" s="25"/>
      <c r="BD1881" s="25"/>
      <c r="BE1881" s="25"/>
      <c r="BF1881" s="25"/>
      <c r="BG1881" s="25"/>
      <c r="BH1881" s="25"/>
      <c r="BI1881" s="25"/>
      <c r="BJ1881" s="25"/>
      <c r="BK1881" s="25"/>
      <c r="BL1881" s="25"/>
      <c r="BM1881" s="25"/>
      <c r="BN1881" s="25"/>
      <c r="BO1881" s="25"/>
      <c r="BP1881" s="25"/>
      <c r="BQ1881" s="25"/>
      <c r="BR1881" s="25"/>
      <c r="BS1881" s="25"/>
      <c r="BT1881" s="25"/>
      <c r="BU1881" s="25"/>
      <c r="BV1881" s="25"/>
      <c r="BW1881" s="25"/>
      <c r="BX1881" s="25"/>
      <c r="BY1881" s="25"/>
      <c r="BZ1881" s="25"/>
      <c r="CA1881" s="25"/>
      <c r="CB1881" s="25"/>
    </row>
    <row r="1882" spans="1:80" ht="12.75" customHeight="1">
      <c r="A1882" s="10">
        <f ca="1">IFERROR(__xludf.DUMMYFUNCTION("""COMPUTED_VALUE"""),2024)</f>
        <v>2024</v>
      </c>
      <c r="B1882" s="41">
        <f ca="1">IFERROR(__xludf.DUMMYFUNCTION("""COMPUTED_VALUE"""),46067)</f>
        <v>46067</v>
      </c>
      <c r="C1882" s="41"/>
      <c r="D1882" s="42" t="str">
        <f ca="1">IFERROR(__xludf.DUMMYFUNCTION("""COMPUTED_VALUE"""),"Slavonian Grebe")</f>
        <v>Slavonian Grebe</v>
      </c>
      <c r="E1882" s="15">
        <f ca="1">IFERROR(__xludf.DUMMYFUNCTION("""COMPUTED_VALUE"""),1)</f>
        <v>1</v>
      </c>
      <c r="F1882" s="15"/>
      <c r="G1882" s="44" t="str">
        <f ca="1">IFERROR(__xludf.DUMMYFUNCTION("""COMPUTED_VALUE"""),"Woolston Eyes")</f>
        <v>Woolston Eyes</v>
      </c>
      <c r="H1882" s="12">
        <f ca="1">IFERROR(__xludf.DUMMYFUNCTION("""COMPUTED_VALUE"""),45400)</f>
        <v>45400</v>
      </c>
      <c r="I1882" s="12">
        <f ca="1">IFERROR(__xludf.DUMMYFUNCTION("""COMPUTED_VALUE"""),45401)</f>
        <v>45401</v>
      </c>
      <c r="J1882" s="14"/>
      <c r="K1882" s="15"/>
      <c r="L1882" s="16" t="str">
        <f ca="1">IFERROR(__xludf.DUMMYFUNCTION("""COMPUTED_VALUE"""),"limbo")</f>
        <v>limbo</v>
      </c>
      <c r="M1882" s="17"/>
      <c r="N1882" s="15" t="str">
        <f ca="1">IFERROR(__xludf.DUMMYFUNCTION("""COMPUTED_VALUE"""),"not submitted")</f>
        <v>not submitted</v>
      </c>
      <c r="O1882" s="18"/>
      <c r="P1882" s="15"/>
      <c r="Q1882" s="15"/>
      <c r="R1882" s="15"/>
      <c r="S1882" s="15"/>
      <c r="T1882" s="15"/>
      <c r="U1882" s="15"/>
      <c r="V1882" s="15"/>
      <c r="W1882" s="15"/>
      <c r="X1882" s="15"/>
      <c r="Y1882" s="15"/>
      <c r="Z1882" s="15"/>
      <c r="AA1882" s="15"/>
      <c r="AB1882" s="15"/>
      <c r="AC1882" s="15"/>
      <c r="AD1882" s="15"/>
      <c r="AE1882" s="15"/>
      <c r="AF1882" s="15"/>
      <c r="AG1882" s="15"/>
      <c r="AH1882" s="15"/>
      <c r="AI1882" s="15"/>
      <c r="AJ1882" s="15"/>
      <c r="AK1882" s="15"/>
      <c r="AL1882" s="15"/>
      <c r="AM1882" s="15"/>
      <c r="AN1882" s="15"/>
      <c r="AO1882" s="15"/>
      <c r="AP1882" s="15"/>
      <c r="AQ1882" s="15"/>
      <c r="AR1882" s="15"/>
      <c r="AS1882" s="15"/>
      <c r="AT1882" s="15"/>
      <c r="AU1882" s="15"/>
      <c r="AV1882" s="15"/>
      <c r="AW1882" s="15"/>
      <c r="AX1882" s="15"/>
      <c r="AY1882" s="15"/>
      <c r="AZ1882" s="15"/>
      <c r="BA1882" s="15"/>
      <c r="BB1882" s="15"/>
      <c r="BC1882" s="15"/>
      <c r="BD1882" s="15"/>
      <c r="BE1882" s="15"/>
      <c r="BF1882" s="15"/>
      <c r="BG1882" s="15"/>
      <c r="BH1882" s="15"/>
      <c r="BI1882" s="15"/>
      <c r="BJ1882" s="15"/>
      <c r="BK1882" s="15"/>
      <c r="BL1882" s="15"/>
      <c r="BM1882" s="15"/>
      <c r="BN1882" s="15"/>
      <c r="BO1882" s="15"/>
      <c r="BP1882" s="15"/>
      <c r="BQ1882" s="15"/>
      <c r="BR1882" s="15"/>
      <c r="BS1882" s="15"/>
      <c r="BT1882" s="15"/>
      <c r="BU1882" s="15"/>
      <c r="BV1882" s="15"/>
      <c r="BW1882" s="15"/>
      <c r="BX1882" s="15"/>
      <c r="BY1882" s="15"/>
      <c r="BZ1882" s="15"/>
      <c r="CA1882" s="15"/>
      <c r="CB1882" s="15"/>
    </row>
    <row r="1883" spans="1:80" ht="12.75" customHeight="1">
      <c r="A1883" s="20"/>
      <c r="B1883" s="46"/>
      <c r="C1883" s="46"/>
      <c r="D1883" s="47" t="str">
        <f ca="1">IFERROR(__xludf.DUMMYFUNCTION("""COMPUTED_VALUE"""),"Grey Phalarope")</f>
        <v>Grey Phalarope</v>
      </c>
      <c r="E1883" s="25">
        <f ca="1">IFERROR(__xludf.DUMMYFUNCTION("""COMPUTED_VALUE"""),1)</f>
        <v>1</v>
      </c>
      <c r="F1883" s="25"/>
      <c r="G1883" s="48" t="str">
        <f ca="1">IFERROR(__xludf.DUMMYFUNCTION("""COMPUTED_VALUE"""),"Wallasey Coastguards, Leasowe Gunsite, Hoylake")</f>
        <v>Wallasey Coastguards, Leasowe Gunsite, Hoylake</v>
      </c>
      <c r="H1883" s="22">
        <f ca="1">IFERROR(__xludf.DUMMYFUNCTION("""COMPUTED_VALUE"""),45911)</f>
        <v>45911</v>
      </c>
      <c r="I1883" s="23"/>
      <c r="J1883" s="24"/>
      <c r="K1883" s="25"/>
      <c r="L1883" s="26" t="str">
        <f ca="1">IFERROR(__xludf.DUMMYFUNCTION("""COMPUTED_VALUE"""),"limbo")</f>
        <v>limbo</v>
      </c>
      <c r="M1883" s="27"/>
      <c r="N1883" s="25" t="str">
        <f ca="1">IFERROR(__xludf.DUMMYFUNCTION("""COMPUTED_VALUE"""),"not submitted")</f>
        <v>not submitted</v>
      </c>
      <c r="O1883" s="28"/>
      <c r="P1883" s="25"/>
      <c r="Q1883" s="25"/>
      <c r="R1883" s="25"/>
      <c r="S1883" s="25"/>
      <c r="T1883" s="25"/>
      <c r="U1883" s="25"/>
      <c r="V1883" s="25"/>
      <c r="W1883" s="25"/>
      <c r="X1883" s="25"/>
      <c r="Y1883" s="25"/>
      <c r="Z1883" s="25"/>
      <c r="AA1883" s="25"/>
      <c r="AB1883" s="25"/>
      <c r="AC1883" s="25"/>
      <c r="AD1883" s="25"/>
      <c r="AE1883" s="25"/>
      <c r="AF1883" s="25"/>
      <c r="AG1883" s="25"/>
      <c r="AH1883" s="25"/>
      <c r="AI1883" s="25"/>
      <c r="AJ1883" s="25"/>
      <c r="AK1883" s="25"/>
      <c r="AL1883" s="25"/>
      <c r="AM1883" s="25"/>
      <c r="AN1883" s="25"/>
      <c r="AO1883" s="25"/>
      <c r="AP1883" s="25"/>
      <c r="AQ1883" s="25"/>
      <c r="AR1883" s="25"/>
      <c r="AS1883" s="25"/>
      <c r="AT1883" s="25"/>
      <c r="AU1883" s="25"/>
      <c r="AV1883" s="25"/>
      <c r="AW1883" s="25"/>
      <c r="AX1883" s="25"/>
      <c r="AY1883" s="25"/>
      <c r="AZ1883" s="25"/>
      <c r="BA1883" s="25"/>
      <c r="BB1883" s="25"/>
      <c r="BC1883" s="25"/>
      <c r="BD1883" s="25"/>
      <c r="BE1883" s="25"/>
      <c r="BF1883" s="25"/>
      <c r="BG1883" s="25"/>
      <c r="BH1883" s="25"/>
      <c r="BI1883" s="25"/>
      <c r="BJ1883" s="25"/>
      <c r="BK1883" s="25"/>
      <c r="BL1883" s="25"/>
      <c r="BM1883" s="25"/>
      <c r="BN1883" s="25"/>
      <c r="BO1883" s="25"/>
      <c r="BP1883" s="25"/>
      <c r="BQ1883" s="25"/>
      <c r="BR1883" s="25"/>
      <c r="BS1883" s="25"/>
      <c r="BT1883" s="25"/>
      <c r="BU1883" s="25"/>
      <c r="BV1883" s="25"/>
      <c r="BW1883" s="25"/>
      <c r="BX1883" s="25"/>
      <c r="BY1883" s="25"/>
      <c r="BZ1883" s="25"/>
      <c r="CA1883" s="25"/>
      <c r="CB1883" s="25"/>
    </row>
    <row r="1884" spans="1:80" ht="12.75" customHeight="1">
      <c r="A1884" s="10"/>
      <c r="B1884" s="41"/>
      <c r="C1884" s="41">
        <f ca="1">IFERROR(__xludf.DUMMYFUNCTION("""COMPUTED_VALUE"""),45805)</f>
        <v>45805</v>
      </c>
      <c r="D1884" s="42" t="str">
        <f ca="1">IFERROR(__xludf.DUMMYFUNCTION("""COMPUTED_VALUE"""),"Pectoral Sandpiper")</f>
        <v>Pectoral Sandpiper</v>
      </c>
      <c r="E1884" s="15">
        <f ca="1">IFERROR(__xludf.DUMMYFUNCTION("""COMPUTED_VALUE"""),1)</f>
        <v>1</v>
      </c>
      <c r="F1884" s="15"/>
      <c r="G1884" s="44" t="str">
        <f ca="1">IFERROR(__xludf.DUMMYFUNCTION("""COMPUTED_VALUE"""),"Burton Mere Wetlands")</f>
        <v>Burton Mere Wetlands</v>
      </c>
      <c r="H1884" s="12">
        <f ca="1">IFERROR(__xludf.DUMMYFUNCTION("""COMPUTED_VALUE"""),45802)</f>
        <v>45802</v>
      </c>
      <c r="I1884" s="13"/>
      <c r="J1884" s="14"/>
      <c r="K1884" s="15"/>
      <c r="L1884" s="16" t="str">
        <f ca="1">IFERROR(__xludf.DUMMYFUNCTION("""COMPUTED_VALUE"""),"open")</f>
        <v>open</v>
      </c>
      <c r="M1884" s="17"/>
      <c r="N1884" s="15" t="str">
        <f ca="1">IFERROR(__xludf.DUMMYFUNCTION("""COMPUTED_VALUE"""),"in Circulation")</f>
        <v>in Circulation</v>
      </c>
      <c r="O1884" s="18"/>
      <c r="P1884" s="15"/>
      <c r="Q1884" s="15"/>
      <c r="R1884" s="15"/>
      <c r="S1884" s="15"/>
      <c r="T1884" s="15"/>
      <c r="U1884" s="15"/>
      <c r="V1884" s="15"/>
      <c r="W1884" s="15"/>
      <c r="X1884" s="15"/>
      <c r="Y1884" s="15"/>
      <c r="Z1884" s="15"/>
      <c r="AA1884" s="15"/>
      <c r="AB1884" s="15"/>
      <c r="AC1884" s="15"/>
      <c r="AD1884" s="15"/>
      <c r="AE1884" s="15"/>
      <c r="AF1884" s="15"/>
      <c r="AG1884" s="15"/>
      <c r="AH1884" s="15"/>
      <c r="AI1884" s="15"/>
      <c r="AJ1884" s="15"/>
      <c r="AK1884" s="15"/>
      <c r="AL1884" s="15"/>
      <c r="AM1884" s="15"/>
      <c r="AN1884" s="15"/>
      <c r="AO1884" s="15"/>
      <c r="AP1884" s="15"/>
      <c r="AQ1884" s="15"/>
      <c r="AR1884" s="15"/>
      <c r="AS1884" s="15"/>
      <c r="AT1884" s="15"/>
      <c r="AU1884" s="15"/>
      <c r="AV1884" s="15"/>
      <c r="AW1884" s="15"/>
      <c r="AX1884" s="15"/>
      <c r="AY1884" s="15"/>
      <c r="AZ1884" s="15"/>
      <c r="BA1884" s="15"/>
      <c r="BB1884" s="15"/>
      <c r="BC1884" s="15"/>
      <c r="BD1884" s="15"/>
      <c r="BE1884" s="15"/>
      <c r="BF1884" s="15"/>
      <c r="BG1884" s="15"/>
      <c r="BH1884" s="15"/>
      <c r="BI1884" s="15"/>
      <c r="BJ1884" s="15"/>
      <c r="BK1884" s="15"/>
      <c r="BL1884" s="15"/>
      <c r="BM1884" s="15"/>
      <c r="BN1884" s="15"/>
      <c r="BO1884" s="15"/>
      <c r="BP1884" s="15"/>
      <c r="BQ1884" s="15"/>
      <c r="BR1884" s="15"/>
      <c r="BS1884" s="15"/>
      <c r="BT1884" s="15"/>
      <c r="BU1884" s="15"/>
      <c r="BV1884" s="15"/>
      <c r="BW1884" s="15"/>
      <c r="BX1884" s="15"/>
      <c r="BY1884" s="15"/>
      <c r="BZ1884" s="15"/>
      <c r="CA1884" s="15"/>
      <c r="CB1884" s="15"/>
    </row>
    <row r="1885" spans="1:80" ht="12.75" customHeight="1">
      <c r="A1885" s="20">
        <f ca="1">IFERROR(__xludf.DUMMYFUNCTION("""COMPUTED_VALUE"""),2023)</f>
        <v>2023</v>
      </c>
      <c r="B1885" s="46">
        <f ca="1">IFERROR(__xludf.DUMMYFUNCTION("""COMPUTED_VALUE"""),45859)</f>
        <v>45859</v>
      </c>
      <c r="C1885" s="46"/>
      <c r="D1885" s="47" t="str">
        <f ca="1">IFERROR(__xludf.DUMMYFUNCTION("""COMPUTED_VALUE"""),"Great Northern Diver")</f>
        <v>Great Northern Diver</v>
      </c>
      <c r="E1885" s="25">
        <f ca="1">IFERROR(__xludf.DUMMYFUNCTION("""COMPUTED_VALUE"""),1)</f>
        <v>1</v>
      </c>
      <c r="F1885" s="25"/>
      <c r="G1885" s="48" t="str">
        <f ca="1">IFERROR(__xludf.DUMMYFUNCTION("""COMPUTED_VALUE"""),"Hilbre")</f>
        <v>Hilbre</v>
      </c>
      <c r="H1885" s="22">
        <f ca="1">IFERROR(__xludf.DUMMYFUNCTION("""COMPUTED_VALUE"""),45352)</f>
        <v>45352</v>
      </c>
      <c r="I1885" s="23"/>
      <c r="J1885" s="24"/>
      <c r="K1885" s="25"/>
      <c r="L1885" s="26" t="str">
        <f ca="1">IFERROR(__xludf.DUMMYFUNCTION("""COMPUTED_VALUE"""),"limbo")</f>
        <v>limbo</v>
      </c>
      <c r="M1885" s="27"/>
      <c r="N1885" s="25" t="str">
        <f ca="1">IFERROR(__xludf.DUMMYFUNCTION("""COMPUTED_VALUE"""),"not submitted")</f>
        <v>not submitted</v>
      </c>
      <c r="O1885" s="28"/>
      <c r="P1885" s="25"/>
      <c r="Q1885" s="25"/>
      <c r="R1885" s="25"/>
      <c r="S1885" s="25"/>
      <c r="T1885" s="25"/>
      <c r="U1885" s="25"/>
      <c r="V1885" s="25"/>
      <c r="W1885" s="25"/>
      <c r="X1885" s="25"/>
      <c r="Y1885" s="25"/>
      <c r="Z1885" s="25"/>
      <c r="AA1885" s="25"/>
      <c r="AB1885" s="25"/>
      <c r="AC1885" s="25"/>
      <c r="AD1885" s="25"/>
      <c r="AE1885" s="25"/>
      <c r="AF1885" s="25"/>
      <c r="AG1885" s="25"/>
      <c r="AH1885" s="25"/>
      <c r="AI1885" s="25"/>
      <c r="AJ1885" s="25"/>
      <c r="AK1885" s="25"/>
      <c r="AL1885" s="25"/>
      <c r="AM1885" s="25"/>
      <c r="AN1885" s="25"/>
      <c r="AO1885" s="25"/>
      <c r="AP1885" s="25"/>
      <c r="AQ1885" s="25"/>
      <c r="AR1885" s="25"/>
      <c r="AS1885" s="25"/>
      <c r="AT1885" s="25"/>
      <c r="AU1885" s="25"/>
      <c r="AV1885" s="25"/>
      <c r="AW1885" s="25"/>
      <c r="AX1885" s="25"/>
      <c r="AY1885" s="25"/>
      <c r="AZ1885" s="25"/>
      <c r="BA1885" s="25"/>
      <c r="BB1885" s="25"/>
      <c r="BC1885" s="25"/>
      <c r="BD1885" s="25"/>
      <c r="BE1885" s="25"/>
      <c r="BF1885" s="25"/>
      <c r="BG1885" s="25"/>
      <c r="BH1885" s="25"/>
      <c r="BI1885" s="25"/>
      <c r="BJ1885" s="25"/>
      <c r="BK1885" s="25"/>
      <c r="BL1885" s="25"/>
      <c r="BM1885" s="25"/>
      <c r="BN1885" s="25"/>
      <c r="BO1885" s="25"/>
      <c r="BP1885" s="25"/>
      <c r="BQ1885" s="25"/>
      <c r="BR1885" s="25"/>
      <c r="BS1885" s="25"/>
      <c r="BT1885" s="25"/>
      <c r="BU1885" s="25"/>
      <c r="BV1885" s="25"/>
      <c r="BW1885" s="25"/>
      <c r="BX1885" s="25"/>
      <c r="BY1885" s="25"/>
      <c r="BZ1885" s="25"/>
      <c r="CA1885" s="25"/>
      <c r="CB1885" s="25"/>
    </row>
    <row r="1886" spans="1:80" ht="12.75" customHeight="1">
      <c r="A1886" s="10">
        <f ca="1">IFERROR(__xludf.DUMMYFUNCTION("""COMPUTED_VALUE"""),2024)</f>
        <v>2024</v>
      </c>
      <c r="B1886" s="41">
        <f ca="1">IFERROR(__xludf.DUMMYFUNCTION("""COMPUTED_VALUE"""),45809)</f>
        <v>45809</v>
      </c>
      <c r="C1886" s="41"/>
      <c r="D1886" s="42" t="str">
        <f ca="1">IFERROR(__xludf.DUMMYFUNCTION("""COMPUTED_VALUE"""),"Great Northern Diver")</f>
        <v>Great Northern Diver</v>
      </c>
      <c r="E1886" s="15">
        <f ca="1">IFERROR(__xludf.DUMMYFUNCTION("""COMPUTED_VALUE"""),1)</f>
        <v>1</v>
      </c>
      <c r="F1886" s="15"/>
      <c r="G1886" s="44" t="str">
        <f ca="1">IFERROR(__xludf.DUMMYFUNCTION("""COMPUTED_VALUE"""),"Meadow Lane, Ellesmere Port, Cheshire West and Chester CH65 4EH")</f>
        <v>Meadow Lane, Ellesmere Port, Cheshire West and Chester CH65 4EH</v>
      </c>
      <c r="H1886" s="12">
        <f ca="1">IFERROR(__xludf.DUMMYFUNCTION("""COMPUTED_VALUE"""),45528)</f>
        <v>45528</v>
      </c>
      <c r="I1886" s="13"/>
      <c r="J1886" s="14"/>
      <c r="K1886" s="15"/>
      <c r="L1886" s="16" t="str">
        <f ca="1">IFERROR(__xludf.DUMMYFUNCTION("""COMPUTED_VALUE"""),"limbo")</f>
        <v>limbo</v>
      </c>
      <c r="M1886" s="17"/>
      <c r="N1886" s="15" t="str">
        <f ca="1">IFERROR(__xludf.DUMMYFUNCTION("""COMPUTED_VALUE"""),"not submitted")</f>
        <v>not submitted</v>
      </c>
      <c r="O1886" s="18" t="str">
        <f ca="1">IFERROR(__xludf.DUMMYFUNCTION("""COMPUTED_VALUE"""),"record needs checking might be a typo")</f>
        <v>record needs checking might be a typo</v>
      </c>
      <c r="P1886" s="15"/>
      <c r="Q1886" s="15"/>
      <c r="R1886" s="15"/>
      <c r="S1886" s="15"/>
      <c r="T1886" s="15"/>
      <c r="U1886" s="15"/>
      <c r="V1886" s="15"/>
      <c r="W1886" s="15"/>
      <c r="X1886" s="15"/>
      <c r="Y1886" s="15"/>
      <c r="Z1886" s="15"/>
      <c r="AA1886" s="15"/>
      <c r="AB1886" s="15"/>
      <c r="AC1886" s="15"/>
      <c r="AD1886" s="15"/>
      <c r="AE1886" s="15"/>
      <c r="AF1886" s="15"/>
      <c r="AG1886" s="15"/>
      <c r="AH1886" s="15"/>
      <c r="AI1886" s="15"/>
      <c r="AJ1886" s="15"/>
      <c r="AK1886" s="15"/>
      <c r="AL1886" s="15"/>
      <c r="AM1886" s="15"/>
      <c r="AN1886" s="15"/>
      <c r="AO1886" s="15"/>
      <c r="AP1886" s="15"/>
      <c r="AQ1886" s="15"/>
      <c r="AR1886" s="15"/>
      <c r="AS1886" s="15"/>
      <c r="AT1886" s="15"/>
      <c r="AU1886" s="15"/>
      <c r="AV1886" s="15"/>
      <c r="AW1886" s="15"/>
      <c r="AX1886" s="15"/>
      <c r="AY1886" s="15"/>
      <c r="AZ1886" s="15"/>
      <c r="BA1886" s="15"/>
      <c r="BB1886" s="15"/>
      <c r="BC1886" s="15"/>
      <c r="BD1886" s="15"/>
      <c r="BE1886" s="15"/>
      <c r="BF1886" s="15"/>
      <c r="BG1886" s="15"/>
      <c r="BH1886" s="15"/>
      <c r="BI1886" s="15"/>
      <c r="BJ1886" s="15"/>
      <c r="BK1886" s="15"/>
      <c r="BL1886" s="15"/>
      <c r="BM1886" s="15"/>
      <c r="BN1886" s="15"/>
      <c r="BO1886" s="15"/>
      <c r="BP1886" s="15"/>
      <c r="BQ1886" s="15"/>
      <c r="BR1886" s="15"/>
      <c r="BS1886" s="15"/>
      <c r="BT1886" s="15"/>
      <c r="BU1886" s="15"/>
      <c r="BV1886" s="15"/>
      <c r="BW1886" s="15"/>
      <c r="BX1886" s="15"/>
      <c r="BY1886" s="15"/>
      <c r="BZ1886" s="15"/>
      <c r="CA1886" s="15"/>
      <c r="CB1886" s="15"/>
    </row>
    <row r="1887" spans="1:80" ht="12.75" customHeight="1">
      <c r="A1887" s="20"/>
      <c r="B1887" s="46"/>
      <c r="C1887" s="46"/>
      <c r="D1887" s="47"/>
      <c r="E1887" s="25"/>
      <c r="F1887" s="25"/>
      <c r="G1887" s="48"/>
      <c r="H1887" s="22"/>
      <c r="I1887" s="23"/>
      <c r="J1887" s="24"/>
      <c r="K1887" s="25"/>
      <c r="L1887" s="26"/>
      <c r="M1887" s="27"/>
      <c r="N1887" s="25"/>
      <c r="O1887" s="28"/>
      <c r="P1887" s="25"/>
      <c r="Q1887" s="25"/>
      <c r="R1887" s="25"/>
      <c r="S1887" s="25"/>
      <c r="T1887" s="25"/>
      <c r="U1887" s="25"/>
      <c r="V1887" s="25"/>
      <c r="W1887" s="25"/>
      <c r="X1887" s="25"/>
      <c r="Y1887" s="25"/>
      <c r="Z1887" s="25"/>
      <c r="AA1887" s="25"/>
      <c r="AB1887" s="25"/>
      <c r="AC1887" s="25"/>
      <c r="AD1887" s="25"/>
      <c r="AE1887" s="25"/>
      <c r="AF1887" s="25"/>
      <c r="AG1887" s="25"/>
      <c r="AH1887" s="25"/>
      <c r="AI1887" s="25"/>
      <c r="AJ1887" s="25"/>
      <c r="AK1887" s="25"/>
      <c r="AL1887" s="25"/>
      <c r="AM1887" s="25"/>
      <c r="AN1887" s="25"/>
      <c r="AO1887" s="25"/>
      <c r="AP1887" s="25"/>
      <c r="AQ1887" s="25"/>
      <c r="AR1887" s="25"/>
      <c r="AS1887" s="25"/>
      <c r="AT1887" s="25"/>
      <c r="AU1887" s="25"/>
      <c r="AV1887" s="25"/>
      <c r="AW1887" s="25"/>
      <c r="AX1887" s="25"/>
      <c r="AY1887" s="25"/>
      <c r="AZ1887" s="25"/>
      <c r="BA1887" s="25"/>
      <c r="BB1887" s="25"/>
      <c r="BC1887" s="25"/>
      <c r="BD1887" s="25"/>
      <c r="BE1887" s="25"/>
      <c r="BF1887" s="25"/>
      <c r="BG1887" s="25"/>
      <c r="BH1887" s="25"/>
      <c r="BI1887" s="25"/>
      <c r="BJ1887" s="25"/>
      <c r="BK1887" s="25"/>
      <c r="BL1887" s="25"/>
      <c r="BM1887" s="25"/>
      <c r="BN1887" s="25"/>
      <c r="BO1887" s="25"/>
      <c r="BP1887" s="25"/>
      <c r="BQ1887" s="25"/>
      <c r="BR1887" s="25"/>
      <c r="BS1887" s="25"/>
      <c r="BT1887" s="25"/>
      <c r="BU1887" s="25"/>
      <c r="BV1887" s="25"/>
      <c r="BW1887" s="25"/>
      <c r="BX1887" s="25"/>
      <c r="BY1887" s="25"/>
      <c r="BZ1887" s="25"/>
      <c r="CA1887" s="25"/>
      <c r="CB1887" s="25"/>
    </row>
    <row r="1888" spans="1:80" ht="12.75" customHeight="1">
      <c r="A1888" s="10"/>
      <c r="B1888" s="41"/>
      <c r="C1888" s="41"/>
      <c r="D1888" s="42"/>
      <c r="E1888" s="15"/>
      <c r="F1888" s="15"/>
      <c r="G1888" s="44"/>
      <c r="H1888" s="12"/>
      <c r="I1888" s="13"/>
      <c r="J1888" s="14"/>
      <c r="K1888" s="15"/>
      <c r="L1888" s="16"/>
      <c r="M1888" s="17"/>
      <c r="N1888" s="15"/>
      <c r="O1888" s="18"/>
      <c r="P1888" s="15"/>
      <c r="Q1888" s="15"/>
      <c r="R1888" s="15"/>
      <c r="S1888" s="15"/>
      <c r="T1888" s="15"/>
      <c r="U1888" s="15"/>
      <c r="V1888" s="15"/>
      <c r="W1888" s="15"/>
      <c r="X1888" s="15"/>
      <c r="Y1888" s="15"/>
      <c r="Z1888" s="15"/>
      <c r="AA1888" s="15"/>
      <c r="AB1888" s="15"/>
      <c r="AC1888" s="15"/>
      <c r="AD1888" s="15"/>
      <c r="AE1888" s="15"/>
      <c r="AF1888" s="15"/>
      <c r="AG1888" s="15"/>
      <c r="AH1888" s="15"/>
      <c r="AI1888" s="15"/>
      <c r="AJ1888" s="15"/>
      <c r="AK1888" s="15"/>
      <c r="AL1888" s="15"/>
      <c r="AM1888" s="15"/>
      <c r="AN1888" s="15"/>
      <c r="AO1888" s="15"/>
      <c r="AP1888" s="15"/>
      <c r="AQ1888" s="15"/>
      <c r="AR1888" s="15"/>
      <c r="AS1888" s="15"/>
      <c r="AT1888" s="15"/>
      <c r="AU1888" s="15"/>
      <c r="AV1888" s="15"/>
      <c r="AW1888" s="15"/>
      <c r="AX1888" s="15"/>
      <c r="AY1888" s="15"/>
      <c r="AZ1888" s="15"/>
      <c r="BA1888" s="15"/>
      <c r="BB1888" s="15"/>
      <c r="BC1888" s="15"/>
      <c r="BD1888" s="15"/>
      <c r="BE1888" s="15"/>
      <c r="BF1888" s="15"/>
      <c r="BG1888" s="15"/>
      <c r="BH1888" s="15"/>
      <c r="BI1888" s="15"/>
      <c r="BJ1888" s="15"/>
      <c r="BK1888" s="15"/>
      <c r="BL1888" s="15"/>
      <c r="BM1888" s="15"/>
      <c r="BN1888" s="15"/>
      <c r="BO1888" s="15"/>
      <c r="BP1888" s="15"/>
      <c r="BQ1888" s="15"/>
      <c r="BR1888" s="15"/>
      <c r="BS1888" s="15"/>
      <c r="BT1888" s="15"/>
      <c r="BU1888" s="15"/>
      <c r="BV1888" s="15"/>
      <c r="BW1888" s="15"/>
      <c r="BX1888" s="15"/>
      <c r="BY1888" s="15"/>
      <c r="BZ1888" s="15"/>
      <c r="CA1888" s="15"/>
      <c r="CB1888" s="15"/>
    </row>
    <row r="1889" spans="1:80" ht="12.75" customHeight="1">
      <c r="A1889" s="20"/>
      <c r="B1889" s="46"/>
      <c r="C1889" s="46"/>
      <c r="D1889" s="47"/>
      <c r="E1889" s="25"/>
      <c r="F1889" s="25"/>
      <c r="G1889" s="48"/>
      <c r="H1889" s="22"/>
      <c r="I1889" s="23"/>
      <c r="J1889" s="24"/>
      <c r="K1889" s="25"/>
      <c r="L1889" s="26"/>
      <c r="M1889" s="27"/>
      <c r="N1889" s="25"/>
      <c r="O1889" s="28"/>
      <c r="P1889" s="25"/>
      <c r="Q1889" s="25"/>
      <c r="R1889" s="25"/>
      <c r="S1889" s="25"/>
      <c r="T1889" s="25"/>
      <c r="U1889" s="25"/>
      <c r="V1889" s="25"/>
      <c r="W1889" s="25"/>
      <c r="X1889" s="25"/>
      <c r="Y1889" s="25"/>
      <c r="Z1889" s="25"/>
      <c r="AA1889" s="25"/>
      <c r="AB1889" s="25"/>
      <c r="AC1889" s="25"/>
      <c r="AD1889" s="25"/>
      <c r="AE1889" s="25"/>
      <c r="AF1889" s="25"/>
      <c r="AG1889" s="25"/>
      <c r="AH1889" s="25"/>
      <c r="AI1889" s="25"/>
      <c r="AJ1889" s="25"/>
      <c r="AK1889" s="25"/>
      <c r="AL1889" s="25"/>
      <c r="AM1889" s="25"/>
      <c r="AN1889" s="25"/>
      <c r="AO1889" s="25"/>
      <c r="AP1889" s="25"/>
      <c r="AQ1889" s="25"/>
      <c r="AR1889" s="25"/>
      <c r="AS1889" s="25"/>
      <c r="AT1889" s="25"/>
      <c r="AU1889" s="25"/>
      <c r="AV1889" s="25"/>
      <c r="AW1889" s="25"/>
      <c r="AX1889" s="25"/>
      <c r="AY1889" s="25"/>
      <c r="AZ1889" s="25"/>
      <c r="BA1889" s="25"/>
      <c r="BB1889" s="25"/>
      <c r="BC1889" s="25"/>
      <c r="BD1889" s="25"/>
      <c r="BE1889" s="25"/>
      <c r="BF1889" s="25"/>
      <c r="BG1889" s="25"/>
      <c r="BH1889" s="25"/>
      <c r="BI1889" s="25"/>
      <c r="BJ1889" s="25"/>
      <c r="BK1889" s="25"/>
      <c r="BL1889" s="25"/>
      <c r="BM1889" s="25"/>
      <c r="BN1889" s="25"/>
      <c r="BO1889" s="25"/>
      <c r="BP1889" s="25"/>
      <c r="BQ1889" s="25"/>
      <c r="BR1889" s="25"/>
      <c r="BS1889" s="25"/>
      <c r="BT1889" s="25"/>
      <c r="BU1889" s="25"/>
      <c r="BV1889" s="25"/>
      <c r="BW1889" s="25"/>
      <c r="BX1889" s="25"/>
      <c r="BY1889" s="25"/>
      <c r="BZ1889" s="25"/>
      <c r="CA1889" s="25"/>
      <c r="CB1889" s="25"/>
    </row>
    <row r="1890" spans="1:80" ht="12.75" customHeight="1">
      <c r="A1890" s="10"/>
      <c r="B1890" s="41"/>
      <c r="C1890" s="41"/>
      <c r="D1890" s="42"/>
      <c r="E1890" s="15"/>
      <c r="F1890" s="15"/>
      <c r="G1890" s="44"/>
      <c r="H1890" s="12"/>
      <c r="I1890" s="13"/>
      <c r="J1890" s="14"/>
      <c r="K1890" s="15"/>
      <c r="L1890" s="16"/>
      <c r="M1890" s="17"/>
      <c r="N1890" s="15"/>
      <c r="O1890" s="18"/>
      <c r="P1890" s="15"/>
      <c r="Q1890" s="15"/>
      <c r="R1890" s="15"/>
      <c r="S1890" s="15"/>
      <c r="T1890" s="15"/>
      <c r="U1890" s="15"/>
      <c r="V1890" s="15"/>
      <c r="W1890" s="15"/>
      <c r="X1890" s="15"/>
      <c r="Y1890" s="15"/>
      <c r="Z1890" s="15"/>
      <c r="AA1890" s="15"/>
      <c r="AB1890" s="15"/>
      <c r="AC1890" s="15"/>
      <c r="AD1890" s="15"/>
      <c r="AE1890" s="15"/>
      <c r="AF1890" s="15"/>
      <c r="AG1890" s="15"/>
      <c r="AH1890" s="15"/>
      <c r="AI1890" s="15"/>
      <c r="AJ1890" s="15"/>
      <c r="AK1890" s="15"/>
      <c r="AL1890" s="15"/>
      <c r="AM1890" s="15"/>
      <c r="AN1890" s="15"/>
      <c r="AO1890" s="15"/>
      <c r="AP1890" s="15"/>
      <c r="AQ1890" s="15"/>
      <c r="AR1890" s="15"/>
      <c r="AS1890" s="15"/>
      <c r="AT1890" s="15"/>
      <c r="AU1890" s="15"/>
      <c r="AV1890" s="15"/>
      <c r="AW1890" s="15"/>
      <c r="AX1890" s="15"/>
      <c r="AY1890" s="15"/>
      <c r="AZ1890" s="15"/>
      <c r="BA1890" s="15"/>
      <c r="BB1890" s="15"/>
      <c r="BC1890" s="15"/>
      <c r="BD1890" s="15"/>
      <c r="BE1890" s="15"/>
      <c r="BF1890" s="15"/>
      <c r="BG1890" s="15"/>
      <c r="BH1890" s="15"/>
      <c r="BI1890" s="15"/>
      <c r="BJ1890" s="15"/>
      <c r="BK1890" s="15"/>
      <c r="BL1890" s="15"/>
      <c r="BM1890" s="15"/>
      <c r="BN1890" s="15"/>
      <c r="BO1890" s="15"/>
      <c r="BP1890" s="15"/>
      <c r="BQ1890" s="15"/>
      <c r="BR1890" s="15"/>
      <c r="BS1890" s="15"/>
      <c r="BT1890" s="15"/>
      <c r="BU1890" s="15"/>
      <c r="BV1890" s="15"/>
      <c r="BW1890" s="15"/>
      <c r="BX1890" s="15"/>
      <c r="BY1890" s="15"/>
      <c r="BZ1890" s="15"/>
      <c r="CA1890" s="15"/>
      <c r="CB1890" s="15"/>
    </row>
    <row r="1891" spans="1:80" ht="12.75" customHeight="1">
      <c r="A1891" s="20"/>
      <c r="B1891" s="46"/>
      <c r="C1891" s="46"/>
      <c r="D1891" s="47"/>
      <c r="E1891" s="25"/>
      <c r="F1891" s="25"/>
      <c r="G1891" s="48"/>
      <c r="H1891" s="22"/>
      <c r="I1891" s="23"/>
      <c r="J1891" s="24"/>
      <c r="K1891" s="25"/>
      <c r="L1891" s="26"/>
      <c r="M1891" s="27"/>
      <c r="N1891" s="25"/>
      <c r="O1891" s="28"/>
      <c r="P1891" s="25"/>
      <c r="Q1891" s="25"/>
      <c r="R1891" s="25"/>
      <c r="S1891" s="25"/>
      <c r="T1891" s="25"/>
      <c r="U1891" s="25"/>
      <c r="V1891" s="25"/>
      <c r="W1891" s="25"/>
      <c r="X1891" s="25"/>
      <c r="Y1891" s="25"/>
      <c r="Z1891" s="25"/>
      <c r="AA1891" s="25"/>
      <c r="AB1891" s="25"/>
      <c r="AC1891" s="25"/>
      <c r="AD1891" s="25"/>
      <c r="AE1891" s="25"/>
      <c r="AF1891" s="25"/>
      <c r="AG1891" s="25"/>
      <c r="AH1891" s="25"/>
      <c r="AI1891" s="25"/>
      <c r="AJ1891" s="25"/>
      <c r="AK1891" s="25"/>
      <c r="AL1891" s="25"/>
      <c r="AM1891" s="25"/>
      <c r="AN1891" s="25"/>
      <c r="AO1891" s="25"/>
      <c r="AP1891" s="25"/>
      <c r="AQ1891" s="25"/>
      <c r="AR1891" s="25"/>
      <c r="AS1891" s="25"/>
      <c r="AT1891" s="25"/>
      <c r="AU1891" s="25"/>
      <c r="AV1891" s="25"/>
      <c r="AW1891" s="25"/>
      <c r="AX1891" s="25"/>
      <c r="AY1891" s="25"/>
      <c r="AZ1891" s="25"/>
      <c r="BA1891" s="25"/>
      <c r="BB1891" s="25"/>
      <c r="BC1891" s="25"/>
      <c r="BD1891" s="25"/>
      <c r="BE1891" s="25"/>
      <c r="BF1891" s="25"/>
      <c r="BG1891" s="25"/>
      <c r="BH1891" s="25"/>
      <c r="BI1891" s="25"/>
      <c r="BJ1891" s="25"/>
      <c r="BK1891" s="25"/>
      <c r="BL1891" s="25"/>
      <c r="BM1891" s="25"/>
      <c r="BN1891" s="25"/>
      <c r="BO1891" s="25"/>
      <c r="BP1891" s="25"/>
      <c r="BQ1891" s="25"/>
      <c r="BR1891" s="25"/>
      <c r="BS1891" s="25"/>
      <c r="BT1891" s="25"/>
      <c r="BU1891" s="25"/>
      <c r="BV1891" s="25"/>
      <c r="BW1891" s="25"/>
      <c r="BX1891" s="25"/>
      <c r="BY1891" s="25"/>
      <c r="BZ1891" s="25"/>
      <c r="CA1891" s="25"/>
      <c r="CB1891" s="25"/>
    </row>
    <row r="1892" spans="1:80" ht="12.75" customHeight="1">
      <c r="A1892" s="10"/>
      <c r="B1892" s="41"/>
      <c r="C1892" s="41"/>
      <c r="D1892" s="42"/>
      <c r="E1892" s="15"/>
      <c r="F1892" s="15"/>
      <c r="G1892" s="44"/>
      <c r="H1892" s="12"/>
      <c r="I1892" s="13"/>
      <c r="J1892" s="14"/>
      <c r="K1892" s="15"/>
      <c r="L1892" s="16"/>
      <c r="M1892" s="17"/>
      <c r="N1892" s="15"/>
      <c r="O1892" s="18"/>
      <c r="P1892" s="15"/>
      <c r="Q1892" s="15"/>
      <c r="R1892" s="15"/>
      <c r="S1892" s="15"/>
      <c r="T1892" s="15"/>
      <c r="U1892" s="15"/>
      <c r="V1892" s="15"/>
      <c r="W1892" s="15"/>
      <c r="X1892" s="15"/>
      <c r="Y1892" s="15"/>
      <c r="Z1892" s="15"/>
      <c r="AA1892" s="15"/>
      <c r="AB1892" s="15"/>
      <c r="AC1892" s="15"/>
      <c r="AD1892" s="15"/>
      <c r="AE1892" s="15"/>
      <c r="AF1892" s="15"/>
      <c r="AG1892" s="15"/>
      <c r="AH1892" s="15"/>
      <c r="AI1892" s="15"/>
      <c r="AJ1892" s="15"/>
      <c r="AK1892" s="15"/>
      <c r="AL1892" s="15"/>
      <c r="AM1892" s="15"/>
      <c r="AN1892" s="15"/>
      <c r="AO1892" s="15"/>
      <c r="AP1892" s="15"/>
      <c r="AQ1892" s="15"/>
      <c r="AR1892" s="15"/>
      <c r="AS1892" s="15"/>
      <c r="AT1892" s="15"/>
      <c r="AU1892" s="15"/>
      <c r="AV1892" s="15"/>
      <c r="AW1892" s="15"/>
      <c r="AX1892" s="15"/>
      <c r="AY1892" s="15"/>
      <c r="AZ1892" s="15"/>
      <c r="BA1892" s="15"/>
      <c r="BB1892" s="15"/>
      <c r="BC1892" s="15"/>
      <c r="BD1892" s="15"/>
      <c r="BE1892" s="15"/>
      <c r="BF1892" s="15"/>
      <c r="BG1892" s="15"/>
      <c r="BH1892" s="15"/>
      <c r="BI1892" s="15"/>
      <c r="BJ1892" s="15"/>
      <c r="BK1892" s="15"/>
      <c r="BL1892" s="15"/>
      <c r="BM1892" s="15"/>
      <c r="BN1892" s="15"/>
      <c r="BO1892" s="15"/>
      <c r="BP1892" s="15"/>
      <c r="BQ1892" s="15"/>
      <c r="BR1892" s="15"/>
      <c r="BS1892" s="15"/>
      <c r="BT1892" s="15"/>
      <c r="BU1892" s="15"/>
      <c r="BV1892" s="15"/>
      <c r="BW1892" s="15"/>
      <c r="BX1892" s="15"/>
      <c r="BY1892" s="15"/>
      <c r="BZ1892" s="15"/>
      <c r="CA1892" s="15"/>
      <c r="CB1892" s="15"/>
    </row>
    <row r="1893" spans="1:80" ht="12.75" customHeight="1">
      <c r="A1893" s="20"/>
      <c r="B1893" s="46"/>
      <c r="C1893" s="46"/>
      <c r="D1893" s="47"/>
      <c r="E1893" s="25"/>
      <c r="F1893" s="25"/>
      <c r="G1893" s="48"/>
      <c r="H1893" s="22"/>
      <c r="I1893" s="23"/>
      <c r="J1893" s="24"/>
      <c r="K1893" s="25"/>
      <c r="L1893" s="26"/>
      <c r="M1893" s="27"/>
      <c r="N1893" s="25"/>
      <c r="O1893" s="28"/>
      <c r="P1893" s="25"/>
      <c r="Q1893" s="25"/>
      <c r="R1893" s="25"/>
      <c r="S1893" s="25"/>
      <c r="T1893" s="25"/>
      <c r="U1893" s="25"/>
      <c r="V1893" s="25"/>
      <c r="W1893" s="25"/>
      <c r="X1893" s="25"/>
      <c r="Y1893" s="25"/>
      <c r="Z1893" s="25"/>
      <c r="AA1893" s="25"/>
      <c r="AB1893" s="25"/>
      <c r="AC1893" s="25"/>
      <c r="AD1893" s="25"/>
      <c r="AE1893" s="25"/>
      <c r="AF1893" s="25"/>
      <c r="AG1893" s="25"/>
      <c r="AH1893" s="25"/>
      <c r="AI1893" s="25"/>
      <c r="AJ1893" s="25"/>
      <c r="AK1893" s="25"/>
      <c r="AL1893" s="25"/>
      <c r="AM1893" s="25"/>
      <c r="AN1893" s="25"/>
      <c r="AO1893" s="25"/>
      <c r="AP1893" s="25"/>
      <c r="AQ1893" s="25"/>
      <c r="AR1893" s="25"/>
      <c r="AS1893" s="25"/>
      <c r="AT1893" s="25"/>
      <c r="AU1893" s="25"/>
      <c r="AV1893" s="25"/>
      <c r="AW1893" s="25"/>
      <c r="AX1893" s="25"/>
      <c r="AY1893" s="25"/>
      <c r="AZ1893" s="25"/>
      <c r="BA1893" s="25"/>
      <c r="BB1893" s="25"/>
      <c r="BC1893" s="25"/>
      <c r="BD1893" s="25"/>
      <c r="BE1893" s="25"/>
      <c r="BF1893" s="25"/>
      <c r="BG1893" s="25"/>
      <c r="BH1893" s="25"/>
      <c r="BI1893" s="25"/>
      <c r="BJ1893" s="25"/>
      <c r="BK1893" s="25"/>
      <c r="BL1893" s="25"/>
      <c r="BM1893" s="25"/>
      <c r="BN1893" s="25"/>
      <c r="BO1893" s="25"/>
      <c r="BP1893" s="25"/>
      <c r="BQ1893" s="25"/>
      <c r="BR1893" s="25"/>
      <c r="BS1893" s="25"/>
      <c r="BT1893" s="25"/>
      <c r="BU1893" s="25"/>
      <c r="BV1893" s="25"/>
      <c r="BW1893" s="25"/>
      <c r="BX1893" s="25"/>
      <c r="BY1893" s="25"/>
      <c r="BZ1893" s="25"/>
      <c r="CA1893" s="25"/>
      <c r="CB1893" s="25"/>
    </row>
    <row r="1894" spans="1:80" ht="12.75" customHeight="1">
      <c r="A1894" s="10"/>
      <c r="B1894" s="41"/>
      <c r="C1894" s="41"/>
      <c r="D1894" s="42"/>
      <c r="E1894" s="15"/>
      <c r="F1894" s="15"/>
      <c r="G1894" s="44"/>
      <c r="H1894" s="12"/>
      <c r="I1894" s="13"/>
      <c r="J1894" s="14"/>
      <c r="K1894" s="15"/>
      <c r="L1894" s="16"/>
      <c r="M1894" s="17"/>
      <c r="N1894" s="15"/>
      <c r="O1894" s="18"/>
      <c r="P1894" s="15"/>
      <c r="Q1894" s="15"/>
      <c r="R1894" s="15"/>
      <c r="S1894" s="15"/>
      <c r="T1894" s="15"/>
      <c r="U1894" s="15"/>
      <c r="V1894" s="15"/>
      <c r="W1894" s="15"/>
      <c r="X1894" s="15"/>
      <c r="Y1894" s="15"/>
      <c r="Z1894" s="15"/>
      <c r="AA1894" s="15"/>
      <c r="AB1894" s="15"/>
      <c r="AC1894" s="15"/>
      <c r="AD1894" s="15"/>
      <c r="AE1894" s="15"/>
      <c r="AF1894" s="15"/>
      <c r="AG1894" s="15"/>
      <c r="AH1894" s="15"/>
      <c r="AI1894" s="15"/>
      <c r="AJ1894" s="15"/>
      <c r="AK1894" s="15"/>
      <c r="AL1894" s="15"/>
      <c r="AM1894" s="15"/>
      <c r="AN1894" s="15"/>
      <c r="AO1894" s="15"/>
      <c r="AP1894" s="15"/>
      <c r="AQ1894" s="15"/>
      <c r="AR1894" s="15"/>
      <c r="AS1894" s="15"/>
      <c r="AT1894" s="15"/>
      <c r="AU1894" s="15"/>
      <c r="AV1894" s="15"/>
      <c r="AW1894" s="15"/>
      <c r="AX1894" s="15"/>
      <c r="AY1894" s="15"/>
      <c r="AZ1894" s="15"/>
      <c r="BA1894" s="15"/>
      <c r="BB1894" s="15"/>
      <c r="BC1894" s="15"/>
      <c r="BD1894" s="15"/>
      <c r="BE1894" s="15"/>
      <c r="BF1894" s="15"/>
      <c r="BG1894" s="15"/>
      <c r="BH1894" s="15"/>
      <c r="BI1894" s="15"/>
      <c r="BJ1894" s="15"/>
      <c r="BK1894" s="15"/>
      <c r="BL1894" s="15"/>
      <c r="BM1894" s="15"/>
      <c r="BN1894" s="15"/>
      <c r="BO1894" s="15"/>
      <c r="BP1894" s="15"/>
      <c r="BQ1894" s="15"/>
      <c r="BR1894" s="15"/>
      <c r="BS1894" s="15"/>
      <c r="BT1894" s="15"/>
      <c r="BU1894" s="15"/>
      <c r="BV1894" s="15"/>
      <c r="BW1894" s="15"/>
      <c r="BX1894" s="15"/>
      <c r="BY1894" s="15"/>
      <c r="BZ1894" s="15"/>
      <c r="CA1894" s="15"/>
      <c r="CB1894" s="15"/>
    </row>
    <row r="1895" spans="1:80" ht="12.75" customHeight="1">
      <c r="A1895" s="20"/>
      <c r="B1895" s="46"/>
      <c r="C1895" s="46"/>
      <c r="D1895" s="47"/>
      <c r="E1895" s="25"/>
      <c r="F1895" s="25"/>
      <c r="G1895" s="48"/>
      <c r="H1895" s="22"/>
      <c r="I1895" s="23"/>
      <c r="J1895" s="24"/>
      <c r="K1895" s="25"/>
      <c r="L1895" s="26"/>
      <c r="M1895" s="27"/>
      <c r="N1895" s="25"/>
      <c r="O1895" s="28"/>
      <c r="P1895" s="25"/>
      <c r="Q1895" s="25"/>
      <c r="R1895" s="25"/>
      <c r="S1895" s="25"/>
      <c r="T1895" s="25"/>
      <c r="U1895" s="25"/>
      <c r="V1895" s="25"/>
      <c r="W1895" s="25"/>
      <c r="X1895" s="25"/>
      <c r="Y1895" s="25"/>
      <c r="Z1895" s="25"/>
      <c r="AA1895" s="25"/>
      <c r="AB1895" s="25"/>
      <c r="AC1895" s="25"/>
      <c r="AD1895" s="25"/>
      <c r="AE1895" s="25"/>
      <c r="AF1895" s="25"/>
      <c r="AG1895" s="25"/>
      <c r="AH1895" s="25"/>
      <c r="AI1895" s="25"/>
      <c r="AJ1895" s="25"/>
      <c r="AK1895" s="25"/>
      <c r="AL1895" s="25"/>
      <c r="AM1895" s="25"/>
      <c r="AN1895" s="25"/>
      <c r="AO1895" s="25"/>
      <c r="AP1895" s="25"/>
      <c r="AQ1895" s="25"/>
      <c r="AR1895" s="25"/>
      <c r="AS1895" s="25"/>
      <c r="AT1895" s="25"/>
      <c r="AU1895" s="25"/>
      <c r="AV1895" s="25"/>
      <c r="AW1895" s="25"/>
      <c r="AX1895" s="25"/>
      <c r="AY1895" s="25"/>
      <c r="AZ1895" s="25"/>
      <c r="BA1895" s="25"/>
      <c r="BB1895" s="25"/>
      <c r="BC1895" s="25"/>
      <c r="BD1895" s="25"/>
      <c r="BE1895" s="25"/>
      <c r="BF1895" s="25"/>
      <c r="BG1895" s="25"/>
      <c r="BH1895" s="25"/>
      <c r="BI1895" s="25"/>
      <c r="BJ1895" s="25"/>
      <c r="BK1895" s="25"/>
      <c r="BL1895" s="25"/>
      <c r="BM1895" s="25"/>
      <c r="BN1895" s="25"/>
      <c r="BO1895" s="25"/>
      <c r="BP1895" s="25"/>
      <c r="BQ1895" s="25"/>
      <c r="BR1895" s="25"/>
      <c r="BS1895" s="25"/>
      <c r="BT1895" s="25"/>
      <c r="BU1895" s="25"/>
      <c r="BV1895" s="25"/>
      <c r="BW1895" s="25"/>
      <c r="BX1895" s="25"/>
      <c r="BY1895" s="25"/>
      <c r="BZ1895" s="25"/>
      <c r="CA1895" s="25"/>
      <c r="CB1895" s="25"/>
    </row>
    <row r="1896" spans="1:80" ht="12.75" customHeight="1">
      <c r="A1896" s="10"/>
      <c r="B1896" s="41"/>
      <c r="C1896" s="41"/>
      <c r="D1896" s="42"/>
      <c r="E1896" s="15"/>
      <c r="F1896" s="15"/>
      <c r="G1896" s="44"/>
      <c r="H1896" s="12"/>
      <c r="I1896" s="13"/>
      <c r="J1896" s="14"/>
      <c r="K1896" s="15"/>
      <c r="L1896" s="16"/>
      <c r="M1896" s="17"/>
      <c r="N1896" s="15"/>
      <c r="O1896" s="18"/>
      <c r="P1896" s="15"/>
      <c r="Q1896" s="15"/>
      <c r="R1896" s="15"/>
      <c r="S1896" s="15"/>
      <c r="T1896" s="15"/>
      <c r="U1896" s="15"/>
      <c r="V1896" s="15"/>
      <c r="W1896" s="15"/>
      <c r="X1896" s="15"/>
      <c r="Y1896" s="15"/>
      <c r="Z1896" s="15"/>
      <c r="AA1896" s="15"/>
      <c r="AB1896" s="15"/>
      <c r="AC1896" s="15"/>
      <c r="AD1896" s="15"/>
      <c r="AE1896" s="15"/>
      <c r="AF1896" s="15"/>
      <c r="AG1896" s="15"/>
      <c r="AH1896" s="15"/>
      <c r="AI1896" s="15"/>
      <c r="AJ1896" s="15"/>
      <c r="AK1896" s="15"/>
      <c r="AL1896" s="15"/>
      <c r="AM1896" s="15"/>
      <c r="AN1896" s="15"/>
      <c r="AO1896" s="15"/>
      <c r="AP1896" s="15"/>
      <c r="AQ1896" s="15"/>
      <c r="AR1896" s="15"/>
      <c r="AS1896" s="15"/>
      <c r="AT1896" s="15"/>
      <c r="AU1896" s="15"/>
      <c r="AV1896" s="15"/>
      <c r="AW1896" s="15"/>
      <c r="AX1896" s="15"/>
      <c r="AY1896" s="15"/>
      <c r="AZ1896" s="15"/>
      <c r="BA1896" s="15"/>
      <c r="BB1896" s="15"/>
      <c r="BC1896" s="15"/>
      <c r="BD1896" s="15"/>
      <c r="BE1896" s="15"/>
      <c r="BF1896" s="15"/>
      <c r="BG1896" s="15"/>
      <c r="BH1896" s="15"/>
      <c r="BI1896" s="15"/>
      <c r="BJ1896" s="15"/>
      <c r="BK1896" s="15"/>
      <c r="BL1896" s="15"/>
      <c r="BM1896" s="15"/>
      <c r="BN1896" s="15"/>
      <c r="BO1896" s="15"/>
      <c r="BP1896" s="15"/>
      <c r="BQ1896" s="15"/>
      <c r="BR1896" s="15"/>
      <c r="BS1896" s="15"/>
      <c r="BT1896" s="15"/>
      <c r="BU1896" s="15"/>
      <c r="BV1896" s="15"/>
      <c r="BW1896" s="15"/>
      <c r="BX1896" s="15"/>
      <c r="BY1896" s="15"/>
      <c r="BZ1896" s="15"/>
      <c r="CA1896" s="15"/>
      <c r="CB1896" s="15"/>
    </row>
    <row r="1897" spans="1:80" ht="12.75" customHeight="1">
      <c r="A1897" s="20"/>
      <c r="B1897" s="46"/>
      <c r="C1897" s="46"/>
      <c r="D1897" s="47"/>
      <c r="E1897" s="25"/>
      <c r="F1897" s="25"/>
      <c r="G1897" s="48"/>
      <c r="H1897" s="22"/>
      <c r="I1897" s="23"/>
      <c r="J1897" s="24"/>
      <c r="K1897" s="25"/>
      <c r="L1897" s="26"/>
      <c r="M1897" s="27"/>
      <c r="N1897" s="25"/>
      <c r="O1897" s="28"/>
      <c r="P1897" s="25"/>
      <c r="Q1897" s="25"/>
      <c r="R1897" s="25"/>
      <c r="S1897" s="25"/>
      <c r="T1897" s="25"/>
      <c r="U1897" s="25"/>
      <c r="V1897" s="25"/>
      <c r="W1897" s="25"/>
      <c r="X1897" s="25"/>
      <c r="Y1897" s="25"/>
      <c r="Z1897" s="25"/>
      <c r="AA1897" s="25"/>
      <c r="AB1897" s="25"/>
      <c r="AC1897" s="25"/>
      <c r="AD1897" s="25"/>
      <c r="AE1897" s="25"/>
      <c r="AF1897" s="25"/>
      <c r="AG1897" s="25"/>
      <c r="AH1897" s="25"/>
      <c r="AI1897" s="25"/>
      <c r="AJ1897" s="25"/>
      <c r="AK1897" s="25"/>
      <c r="AL1897" s="25"/>
      <c r="AM1897" s="25"/>
      <c r="AN1897" s="25"/>
      <c r="AO1897" s="25"/>
      <c r="AP1897" s="25"/>
      <c r="AQ1897" s="25"/>
      <c r="AR1897" s="25"/>
      <c r="AS1897" s="25"/>
      <c r="AT1897" s="25"/>
      <c r="AU1897" s="25"/>
      <c r="AV1897" s="25"/>
      <c r="AW1897" s="25"/>
      <c r="AX1897" s="25"/>
      <c r="AY1897" s="25"/>
      <c r="AZ1897" s="25"/>
      <c r="BA1897" s="25"/>
      <c r="BB1897" s="25"/>
      <c r="BC1897" s="25"/>
      <c r="BD1897" s="25"/>
      <c r="BE1897" s="25"/>
      <c r="BF1897" s="25"/>
      <c r="BG1897" s="25"/>
      <c r="BH1897" s="25"/>
      <c r="BI1897" s="25"/>
      <c r="BJ1897" s="25"/>
      <c r="BK1897" s="25"/>
      <c r="BL1897" s="25"/>
      <c r="BM1897" s="25"/>
      <c r="BN1897" s="25"/>
      <c r="BO1897" s="25"/>
      <c r="BP1897" s="25"/>
      <c r="BQ1897" s="25"/>
      <c r="BR1897" s="25"/>
      <c r="BS1897" s="25"/>
      <c r="BT1897" s="25"/>
      <c r="BU1897" s="25"/>
      <c r="BV1897" s="25"/>
      <c r="BW1897" s="25"/>
      <c r="BX1897" s="25"/>
      <c r="BY1897" s="25"/>
      <c r="BZ1897" s="25"/>
      <c r="CA1897" s="25"/>
      <c r="CB1897" s="25"/>
    </row>
    <row r="1898" spans="1:80" ht="12.75" customHeight="1">
      <c r="A1898" s="10"/>
      <c r="B1898" s="41"/>
      <c r="C1898" s="41"/>
      <c r="D1898" s="42"/>
      <c r="E1898" s="15"/>
      <c r="F1898" s="15"/>
      <c r="G1898" s="44"/>
      <c r="H1898" s="12"/>
      <c r="I1898" s="13"/>
      <c r="J1898" s="14"/>
      <c r="K1898" s="15"/>
      <c r="L1898" s="16"/>
      <c r="M1898" s="17"/>
      <c r="N1898" s="15"/>
      <c r="O1898" s="18"/>
      <c r="P1898" s="15"/>
      <c r="Q1898" s="15"/>
      <c r="R1898" s="15"/>
      <c r="S1898" s="15"/>
      <c r="T1898" s="15"/>
      <c r="U1898" s="15"/>
      <c r="V1898" s="15"/>
      <c r="W1898" s="15"/>
      <c r="X1898" s="15"/>
      <c r="Y1898" s="15"/>
      <c r="Z1898" s="15"/>
      <c r="AA1898" s="15"/>
      <c r="AB1898" s="15"/>
      <c r="AC1898" s="15"/>
      <c r="AD1898" s="15"/>
      <c r="AE1898" s="15"/>
      <c r="AF1898" s="15"/>
      <c r="AG1898" s="15"/>
      <c r="AH1898" s="15"/>
      <c r="AI1898" s="15"/>
      <c r="AJ1898" s="15"/>
      <c r="AK1898" s="15"/>
      <c r="AL1898" s="15"/>
      <c r="AM1898" s="15"/>
      <c r="AN1898" s="15"/>
      <c r="AO1898" s="15"/>
      <c r="AP1898" s="15"/>
      <c r="AQ1898" s="15"/>
      <c r="AR1898" s="15"/>
      <c r="AS1898" s="15"/>
      <c r="AT1898" s="15"/>
      <c r="AU1898" s="15"/>
      <c r="AV1898" s="15"/>
      <c r="AW1898" s="15"/>
      <c r="AX1898" s="15"/>
      <c r="AY1898" s="15"/>
      <c r="AZ1898" s="15"/>
      <c r="BA1898" s="15"/>
      <c r="BB1898" s="15"/>
      <c r="BC1898" s="15"/>
      <c r="BD1898" s="15"/>
      <c r="BE1898" s="15"/>
      <c r="BF1898" s="15"/>
      <c r="BG1898" s="15"/>
      <c r="BH1898" s="15"/>
      <c r="BI1898" s="15"/>
      <c r="BJ1898" s="15"/>
      <c r="BK1898" s="15"/>
      <c r="BL1898" s="15"/>
      <c r="BM1898" s="15"/>
      <c r="BN1898" s="15"/>
      <c r="BO1898" s="15"/>
      <c r="BP1898" s="15"/>
      <c r="BQ1898" s="15"/>
      <c r="BR1898" s="15"/>
      <c r="BS1898" s="15"/>
      <c r="BT1898" s="15"/>
      <c r="BU1898" s="15"/>
      <c r="BV1898" s="15"/>
      <c r="BW1898" s="15"/>
      <c r="BX1898" s="15"/>
      <c r="BY1898" s="15"/>
      <c r="BZ1898" s="15"/>
      <c r="CA1898" s="15"/>
      <c r="CB1898" s="15"/>
    </row>
    <row r="1899" spans="1:80" ht="12.75" customHeight="1">
      <c r="A1899" s="20"/>
      <c r="B1899" s="46"/>
      <c r="C1899" s="46"/>
      <c r="D1899" s="47"/>
      <c r="E1899" s="25"/>
      <c r="F1899" s="25"/>
      <c r="G1899" s="48"/>
      <c r="H1899" s="22"/>
      <c r="I1899" s="23"/>
      <c r="J1899" s="24"/>
      <c r="K1899" s="25"/>
      <c r="L1899" s="26"/>
      <c r="M1899" s="27"/>
      <c r="N1899" s="25"/>
      <c r="O1899" s="28"/>
      <c r="P1899" s="25"/>
      <c r="Q1899" s="25"/>
      <c r="R1899" s="25"/>
      <c r="S1899" s="25"/>
      <c r="T1899" s="25"/>
      <c r="U1899" s="25"/>
      <c r="V1899" s="25"/>
      <c r="W1899" s="25"/>
      <c r="X1899" s="25"/>
      <c r="Y1899" s="25"/>
      <c r="Z1899" s="25"/>
      <c r="AA1899" s="25"/>
      <c r="AB1899" s="25"/>
      <c r="AC1899" s="25"/>
      <c r="AD1899" s="25"/>
      <c r="AE1899" s="25"/>
      <c r="AF1899" s="25"/>
      <c r="AG1899" s="25"/>
      <c r="AH1899" s="25"/>
      <c r="AI1899" s="25"/>
      <c r="AJ1899" s="25"/>
      <c r="AK1899" s="25"/>
      <c r="AL1899" s="25"/>
      <c r="AM1899" s="25"/>
      <c r="AN1899" s="25"/>
      <c r="AO1899" s="25"/>
      <c r="AP1899" s="25"/>
      <c r="AQ1899" s="25"/>
      <c r="AR1899" s="25"/>
      <c r="AS1899" s="25"/>
      <c r="AT1899" s="25"/>
      <c r="AU1899" s="25"/>
      <c r="AV1899" s="25"/>
      <c r="AW1899" s="25"/>
      <c r="AX1899" s="25"/>
      <c r="AY1899" s="25"/>
      <c r="AZ1899" s="25"/>
      <c r="BA1899" s="25"/>
      <c r="BB1899" s="25"/>
      <c r="BC1899" s="25"/>
      <c r="BD1899" s="25"/>
      <c r="BE1899" s="25"/>
      <c r="BF1899" s="25"/>
      <c r="BG1899" s="25"/>
      <c r="BH1899" s="25"/>
      <c r="BI1899" s="25"/>
      <c r="BJ1899" s="25"/>
      <c r="BK1899" s="25"/>
      <c r="BL1899" s="25"/>
      <c r="BM1899" s="25"/>
      <c r="BN1899" s="25"/>
      <c r="BO1899" s="25"/>
      <c r="BP1899" s="25"/>
      <c r="BQ1899" s="25"/>
      <c r="BR1899" s="25"/>
      <c r="BS1899" s="25"/>
      <c r="BT1899" s="25"/>
      <c r="BU1899" s="25"/>
      <c r="BV1899" s="25"/>
      <c r="BW1899" s="25"/>
      <c r="BX1899" s="25"/>
      <c r="BY1899" s="25"/>
      <c r="BZ1899" s="25"/>
      <c r="CA1899" s="25"/>
      <c r="CB1899" s="25"/>
    </row>
    <row r="1900" spans="1:80" ht="12.75" customHeight="1">
      <c r="A1900" s="10"/>
      <c r="B1900" s="41"/>
      <c r="C1900" s="41"/>
      <c r="D1900" s="42"/>
      <c r="E1900" s="15"/>
      <c r="F1900" s="15"/>
      <c r="G1900" s="44"/>
      <c r="H1900" s="12"/>
      <c r="I1900" s="13"/>
      <c r="J1900" s="14"/>
      <c r="K1900" s="15"/>
      <c r="L1900" s="16"/>
      <c r="M1900" s="17"/>
      <c r="N1900" s="15"/>
      <c r="O1900" s="18"/>
      <c r="P1900" s="15"/>
      <c r="Q1900" s="15"/>
      <c r="R1900" s="15"/>
      <c r="S1900" s="15"/>
      <c r="T1900" s="15"/>
      <c r="U1900" s="15"/>
      <c r="V1900" s="15"/>
      <c r="W1900" s="15"/>
      <c r="X1900" s="15"/>
      <c r="Y1900" s="15"/>
      <c r="Z1900" s="15"/>
      <c r="AA1900" s="15"/>
      <c r="AB1900" s="15"/>
      <c r="AC1900" s="15"/>
      <c r="AD1900" s="15"/>
      <c r="AE1900" s="15"/>
      <c r="AF1900" s="15"/>
      <c r="AG1900" s="15"/>
      <c r="AH1900" s="15"/>
      <c r="AI1900" s="15"/>
      <c r="AJ1900" s="15"/>
      <c r="AK1900" s="15"/>
      <c r="AL1900" s="15"/>
      <c r="AM1900" s="15"/>
      <c r="AN1900" s="15"/>
      <c r="AO1900" s="15"/>
      <c r="AP1900" s="15"/>
      <c r="AQ1900" s="15"/>
      <c r="AR1900" s="15"/>
      <c r="AS1900" s="15"/>
      <c r="AT1900" s="15"/>
      <c r="AU1900" s="15"/>
      <c r="AV1900" s="15"/>
      <c r="AW1900" s="15"/>
      <c r="AX1900" s="15"/>
      <c r="AY1900" s="15"/>
      <c r="AZ1900" s="15"/>
      <c r="BA1900" s="15"/>
      <c r="BB1900" s="15"/>
      <c r="BC1900" s="15"/>
      <c r="BD1900" s="15"/>
      <c r="BE1900" s="15"/>
      <c r="BF1900" s="15"/>
      <c r="BG1900" s="15"/>
      <c r="BH1900" s="15"/>
      <c r="BI1900" s="15"/>
      <c r="BJ1900" s="15"/>
      <c r="BK1900" s="15"/>
      <c r="BL1900" s="15"/>
      <c r="BM1900" s="15"/>
      <c r="BN1900" s="15"/>
      <c r="BO1900" s="15"/>
      <c r="BP1900" s="15"/>
      <c r="BQ1900" s="15"/>
      <c r="BR1900" s="15"/>
      <c r="BS1900" s="15"/>
      <c r="BT1900" s="15"/>
      <c r="BU1900" s="15"/>
      <c r="BV1900" s="15"/>
      <c r="BW1900" s="15"/>
      <c r="BX1900" s="15"/>
      <c r="BY1900" s="15"/>
      <c r="BZ1900" s="15"/>
      <c r="CA1900" s="15"/>
      <c r="CB1900" s="15"/>
    </row>
    <row r="1901" spans="1:80" ht="12.75" customHeight="1">
      <c r="A1901" s="20"/>
      <c r="B1901" s="46"/>
      <c r="C1901" s="46"/>
      <c r="D1901" s="47"/>
      <c r="E1901" s="25"/>
      <c r="F1901" s="25"/>
      <c r="G1901" s="48"/>
      <c r="H1901" s="22"/>
      <c r="I1901" s="23"/>
      <c r="J1901" s="24"/>
      <c r="K1901" s="25"/>
      <c r="L1901" s="26"/>
      <c r="M1901" s="27"/>
      <c r="N1901" s="25"/>
      <c r="O1901" s="28"/>
      <c r="P1901" s="25"/>
      <c r="Q1901" s="25"/>
      <c r="R1901" s="25"/>
      <c r="S1901" s="25"/>
      <c r="T1901" s="25"/>
      <c r="U1901" s="25"/>
      <c r="V1901" s="25"/>
      <c r="W1901" s="25"/>
      <c r="X1901" s="25"/>
      <c r="Y1901" s="25"/>
      <c r="Z1901" s="25"/>
      <c r="AA1901" s="25"/>
      <c r="AB1901" s="25"/>
      <c r="AC1901" s="25"/>
      <c r="AD1901" s="25"/>
      <c r="AE1901" s="25"/>
      <c r="AF1901" s="25"/>
      <c r="AG1901" s="25"/>
      <c r="AH1901" s="25"/>
      <c r="AI1901" s="25"/>
      <c r="AJ1901" s="25"/>
      <c r="AK1901" s="25"/>
      <c r="AL1901" s="25"/>
      <c r="AM1901" s="25"/>
      <c r="AN1901" s="25"/>
      <c r="AO1901" s="25"/>
      <c r="AP1901" s="25"/>
      <c r="AQ1901" s="25"/>
      <c r="AR1901" s="25"/>
      <c r="AS1901" s="25"/>
      <c r="AT1901" s="25"/>
      <c r="AU1901" s="25"/>
      <c r="AV1901" s="25"/>
      <c r="AW1901" s="25"/>
      <c r="AX1901" s="25"/>
      <c r="AY1901" s="25"/>
      <c r="AZ1901" s="25"/>
      <c r="BA1901" s="25"/>
      <c r="BB1901" s="25"/>
      <c r="BC1901" s="25"/>
      <c r="BD1901" s="25"/>
      <c r="BE1901" s="25"/>
      <c r="BF1901" s="25"/>
      <c r="BG1901" s="25"/>
      <c r="BH1901" s="25"/>
      <c r="BI1901" s="25"/>
      <c r="BJ1901" s="25"/>
      <c r="BK1901" s="25"/>
      <c r="BL1901" s="25"/>
      <c r="BM1901" s="25"/>
      <c r="BN1901" s="25"/>
      <c r="BO1901" s="25"/>
      <c r="BP1901" s="25"/>
      <c r="BQ1901" s="25"/>
      <c r="BR1901" s="25"/>
      <c r="BS1901" s="25"/>
      <c r="BT1901" s="25"/>
      <c r="BU1901" s="25"/>
      <c r="BV1901" s="25"/>
      <c r="BW1901" s="25"/>
      <c r="BX1901" s="25"/>
      <c r="BY1901" s="25"/>
      <c r="BZ1901" s="25"/>
      <c r="CA1901" s="25"/>
      <c r="CB1901" s="25"/>
    </row>
    <row r="1902" spans="1:80" ht="12.75" customHeight="1">
      <c r="A1902" s="10"/>
      <c r="B1902" s="41"/>
      <c r="C1902" s="41"/>
      <c r="D1902" s="42"/>
      <c r="E1902" s="15"/>
      <c r="F1902" s="15"/>
      <c r="G1902" s="44"/>
      <c r="H1902" s="12"/>
      <c r="I1902" s="13"/>
      <c r="J1902" s="14"/>
      <c r="K1902" s="15"/>
      <c r="L1902" s="16"/>
      <c r="M1902" s="17"/>
      <c r="N1902" s="15"/>
      <c r="O1902" s="18"/>
      <c r="P1902" s="15"/>
      <c r="Q1902" s="15"/>
      <c r="R1902" s="15"/>
      <c r="S1902" s="15"/>
      <c r="T1902" s="15"/>
      <c r="U1902" s="15"/>
      <c r="V1902" s="15"/>
      <c r="W1902" s="15"/>
      <c r="X1902" s="15"/>
      <c r="Y1902" s="15"/>
      <c r="Z1902" s="15"/>
      <c r="AA1902" s="15"/>
      <c r="AB1902" s="15"/>
      <c r="AC1902" s="15"/>
      <c r="AD1902" s="15"/>
      <c r="AE1902" s="15"/>
      <c r="AF1902" s="15"/>
      <c r="AG1902" s="15"/>
      <c r="AH1902" s="15"/>
      <c r="AI1902" s="15"/>
      <c r="AJ1902" s="15"/>
      <c r="AK1902" s="15"/>
      <c r="AL1902" s="15"/>
      <c r="AM1902" s="15"/>
      <c r="AN1902" s="15"/>
      <c r="AO1902" s="15"/>
      <c r="AP1902" s="15"/>
      <c r="AQ1902" s="15"/>
      <c r="AR1902" s="15"/>
      <c r="AS1902" s="15"/>
      <c r="AT1902" s="15"/>
      <c r="AU1902" s="15"/>
      <c r="AV1902" s="15"/>
      <c r="AW1902" s="15"/>
      <c r="AX1902" s="15"/>
      <c r="AY1902" s="15"/>
      <c r="AZ1902" s="15"/>
      <c r="BA1902" s="15"/>
      <c r="BB1902" s="15"/>
      <c r="BC1902" s="15"/>
      <c r="BD1902" s="15"/>
      <c r="BE1902" s="15"/>
      <c r="BF1902" s="15"/>
      <c r="BG1902" s="15"/>
      <c r="BH1902" s="15"/>
      <c r="BI1902" s="15"/>
      <c r="BJ1902" s="15"/>
      <c r="BK1902" s="15"/>
      <c r="BL1902" s="15"/>
      <c r="BM1902" s="15"/>
      <c r="BN1902" s="15"/>
      <c r="BO1902" s="15"/>
      <c r="BP1902" s="15"/>
      <c r="BQ1902" s="15"/>
      <c r="BR1902" s="15"/>
      <c r="BS1902" s="15"/>
      <c r="BT1902" s="15"/>
      <c r="BU1902" s="15"/>
      <c r="BV1902" s="15"/>
      <c r="BW1902" s="15"/>
      <c r="BX1902" s="15"/>
      <c r="BY1902" s="15"/>
      <c r="BZ1902" s="15"/>
      <c r="CA1902" s="15"/>
      <c r="CB1902" s="15"/>
    </row>
    <row r="1903" spans="1:80" ht="12.75" customHeight="1">
      <c r="A1903" s="20"/>
      <c r="B1903" s="46"/>
      <c r="C1903" s="46"/>
      <c r="D1903" s="47"/>
      <c r="E1903" s="25"/>
      <c r="F1903" s="25"/>
      <c r="G1903" s="48"/>
      <c r="H1903" s="22"/>
      <c r="I1903" s="23"/>
      <c r="J1903" s="24"/>
      <c r="K1903" s="25"/>
      <c r="L1903" s="26"/>
      <c r="M1903" s="27"/>
      <c r="N1903" s="25"/>
      <c r="O1903" s="28"/>
      <c r="P1903" s="25"/>
      <c r="Q1903" s="25"/>
      <c r="R1903" s="25"/>
      <c r="S1903" s="25"/>
      <c r="T1903" s="25"/>
      <c r="U1903" s="25"/>
      <c r="V1903" s="25"/>
      <c r="W1903" s="25"/>
      <c r="X1903" s="25"/>
      <c r="Y1903" s="25"/>
      <c r="Z1903" s="25"/>
      <c r="AA1903" s="25"/>
      <c r="AB1903" s="25"/>
      <c r="AC1903" s="25"/>
      <c r="AD1903" s="25"/>
      <c r="AE1903" s="25"/>
      <c r="AF1903" s="25"/>
      <c r="AG1903" s="25"/>
      <c r="AH1903" s="25"/>
      <c r="AI1903" s="25"/>
      <c r="AJ1903" s="25"/>
      <c r="AK1903" s="25"/>
      <c r="AL1903" s="25"/>
      <c r="AM1903" s="25"/>
      <c r="AN1903" s="25"/>
      <c r="AO1903" s="25"/>
      <c r="AP1903" s="25"/>
      <c r="AQ1903" s="25"/>
      <c r="AR1903" s="25"/>
      <c r="AS1903" s="25"/>
      <c r="AT1903" s="25"/>
      <c r="AU1903" s="25"/>
      <c r="AV1903" s="25"/>
      <c r="AW1903" s="25"/>
      <c r="AX1903" s="25"/>
      <c r="AY1903" s="25"/>
      <c r="AZ1903" s="25"/>
      <c r="BA1903" s="25"/>
      <c r="BB1903" s="25"/>
      <c r="BC1903" s="25"/>
      <c r="BD1903" s="25"/>
      <c r="BE1903" s="25"/>
      <c r="BF1903" s="25"/>
      <c r="BG1903" s="25"/>
      <c r="BH1903" s="25"/>
      <c r="BI1903" s="25"/>
      <c r="BJ1903" s="25"/>
      <c r="BK1903" s="25"/>
      <c r="BL1903" s="25"/>
      <c r="BM1903" s="25"/>
      <c r="BN1903" s="25"/>
      <c r="BO1903" s="25"/>
      <c r="BP1903" s="25"/>
      <c r="BQ1903" s="25"/>
      <c r="BR1903" s="25"/>
      <c r="BS1903" s="25"/>
      <c r="BT1903" s="25"/>
      <c r="BU1903" s="25"/>
      <c r="BV1903" s="25"/>
      <c r="BW1903" s="25"/>
      <c r="BX1903" s="25"/>
      <c r="BY1903" s="25"/>
      <c r="BZ1903" s="25"/>
      <c r="CA1903" s="25"/>
      <c r="CB1903" s="25"/>
    </row>
    <row r="1904" spans="1:80" ht="12.75" customHeight="1">
      <c r="A1904" s="10"/>
      <c r="B1904" s="41"/>
      <c r="C1904" s="41"/>
      <c r="D1904" s="42"/>
      <c r="E1904" s="15"/>
      <c r="F1904" s="15"/>
      <c r="G1904" s="44"/>
      <c r="H1904" s="12"/>
      <c r="I1904" s="13"/>
      <c r="J1904" s="14"/>
      <c r="K1904" s="15"/>
      <c r="L1904" s="16"/>
      <c r="M1904" s="17"/>
      <c r="N1904" s="15"/>
      <c r="O1904" s="18"/>
      <c r="P1904" s="15"/>
      <c r="Q1904" s="15"/>
      <c r="R1904" s="15"/>
      <c r="S1904" s="15"/>
      <c r="T1904" s="15"/>
      <c r="U1904" s="15"/>
      <c r="V1904" s="15"/>
      <c r="W1904" s="15"/>
      <c r="X1904" s="15"/>
      <c r="Y1904" s="15"/>
      <c r="Z1904" s="15"/>
      <c r="AA1904" s="15"/>
      <c r="AB1904" s="15"/>
      <c r="AC1904" s="15"/>
      <c r="AD1904" s="15"/>
      <c r="AE1904" s="15"/>
      <c r="AF1904" s="15"/>
      <c r="AG1904" s="15"/>
      <c r="AH1904" s="15"/>
      <c r="AI1904" s="15"/>
      <c r="AJ1904" s="15"/>
      <c r="AK1904" s="15"/>
      <c r="AL1904" s="15"/>
      <c r="AM1904" s="15"/>
      <c r="AN1904" s="15"/>
      <c r="AO1904" s="15"/>
      <c r="AP1904" s="15"/>
      <c r="AQ1904" s="15"/>
      <c r="AR1904" s="15"/>
      <c r="AS1904" s="15"/>
      <c r="AT1904" s="15"/>
      <c r="AU1904" s="15"/>
      <c r="AV1904" s="15"/>
      <c r="AW1904" s="15"/>
      <c r="AX1904" s="15"/>
      <c r="AY1904" s="15"/>
      <c r="AZ1904" s="15"/>
      <c r="BA1904" s="15"/>
      <c r="BB1904" s="15"/>
      <c r="BC1904" s="15"/>
      <c r="BD1904" s="15"/>
      <c r="BE1904" s="15"/>
      <c r="BF1904" s="15"/>
      <c r="BG1904" s="15"/>
      <c r="BH1904" s="15"/>
      <c r="BI1904" s="15"/>
      <c r="BJ1904" s="15"/>
      <c r="BK1904" s="15"/>
      <c r="BL1904" s="15"/>
      <c r="BM1904" s="15"/>
      <c r="BN1904" s="15"/>
      <c r="BO1904" s="15"/>
      <c r="BP1904" s="15"/>
      <c r="BQ1904" s="15"/>
      <c r="BR1904" s="15"/>
      <c r="BS1904" s="15"/>
      <c r="BT1904" s="15"/>
      <c r="BU1904" s="15"/>
      <c r="BV1904" s="15"/>
      <c r="BW1904" s="15"/>
      <c r="BX1904" s="15"/>
      <c r="BY1904" s="15"/>
      <c r="BZ1904" s="15"/>
      <c r="CA1904" s="15"/>
      <c r="CB1904" s="15"/>
    </row>
    <row r="1905" spans="1:80" ht="12.75" customHeight="1">
      <c r="A1905" s="20"/>
      <c r="B1905" s="46"/>
      <c r="C1905" s="46"/>
      <c r="D1905" s="47"/>
      <c r="E1905" s="25"/>
      <c r="F1905" s="25"/>
      <c r="G1905" s="48"/>
      <c r="H1905" s="22"/>
      <c r="I1905" s="23"/>
      <c r="J1905" s="24"/>
      <c r="K1905" s="25"/>
      <c r="L1905" s="26"/>
      <c r="M1905" s="27"/>
      <c r="N1905" s="25"/>
      <c r="O1905" s="28"/>
      <c r="P1905" s="25"/>
      <c r="Q1905" s="25"/>
      <c r="R1905" s="25"/>
      <c r="S1905" s="25"/>
      <c r="T1905" s="25"/>
      <c r="U1905" s="25"/>
      <c r="V1905" s="25"/>
      <c r="W1905" s="25"/>
      <c r="X1905" s="25"/>
      <c r="Y1905" s="25"/>
      <c r="Z1905" s="25"/>
      <c r="AA1905" s="25"/>
      <c r="AB1905" s="25"/>
      <c r="AC1905" s="25"/>
      <c r="AD1905" s="25"/>
      <c r="AE1905" s="25"/>
      <c r="AF1905" s="25"/>
      <c r="AG1905" s="25"/>
      <c r="AH1905" s="25"/>
      <c r="AI1905" s="25"/>
      <c r="AJ1905" s="25"/>
      <c r="AK1905" s="25"/>
      <c r="AL1905" s="25"/>
      <c r="AM1905" s="25"/>
      <c r="AN1905" s="25"/>
      <c r="AO1905" s="25"/>
      <c r="AP1905" s="25"/>
      <c r="AQ1905" s="25"/>
      <c r="AR1905" s="25"/>
      <c r="AS1905" s="25"/>
      <c r="AT1905" s="25"/>
      <c r="AU1905" s="25"/>
      <c r="AV1905" s="25"/>
      <c r="AW1905" s="25"/>
      <c r="AX1905" s="25"/>
      <c r="AY1905" s="25"/>
      <c r="AZ1905" s="25"/>
      <c r="BA1905" s="25"/>
      <c r="BB1905" s="25"/>
      <c r="BC1905" s="25"/>
      <c r="BD1905" s="25"/>
      <c r="BE1905" s="25"/>
      <c r="BF1905" s="25"/>
      <c r="BG1905" s="25"/>
      <c r="BH1905" s="25"/>
      <c r="BI1905" s="25"/>
      <c r="BJ1905" s="25"/>
      <c r="BK1905" s="25"/>
      <c r="BL1905" s="25"/>
      <c r="BM1905" s="25"/>
      <c r="BN1905" s="25"/>
      <c r="BO1905" s="25"/>
      <c r="BP1905" s="25"/>
      <c r="BQ1905" s="25"/>
      <c r="BR1905" s="25"/>
      <c r="BS1905" s="25"/>
      <c r="BT1905" s="25"/>
      <c r="BU1905" s="25"/>
      <c r="BV1905" s="25"/>
      <c r="BW1905" s="25"/>
      <c r="BX1905" s="25"/>
      <c r="BY1905" s="25"/>
      <c r="BZ1905" s="25"/>
      <c r="CA1905" s="25"/>
      <c r="CB1905" s="25"/>
    </row>
    <row r="1906" spans="1:80" ht="12.75" customHeight="1">
      <c r="A1906" s="10"/>
      <c r="B1906" s="41"/>
      <c r="C1906" s="41"/>
      <c r="D1906" s="42"/>
      <c r="E1906" s="15"/>
      <c r="F1906" s="15"/>
      <c r="G1906" s="44"/>
      <c r="H1906" s="12"/>
      <c r="I1906" s="13"/>
      <c r="J1906" s="14"/>
      <c r="K1906" s="15"/>
      <c r="L1906" s="16"/>
      <c r="M1906" s="17"/>
      <c r="N1906" s="15"/>
      <c r="O1906" s="18"/>
      <c r="P1906" s="15"/>
      <c r="Q1906" s="15"/>
      <c r="R1906" s="15"/>
      <c r="S1906" s="15"/>
      <c r="T1906" s="15"/>
      <c r="U1906" s="15"/>
      <c r="V1906" s="15"/>
      <c r="W1906" s="15"/>
      <c r="X1906" s="15"/>
      <c r="Y1906" s="15"/>
      <c r="Z1906" s="15"/>
      <c r="AA1906" s="15"/>
      <c r="AB1906" s="15"/>
      <c r="AC1906" s="15"/>
      <c r="AD1906" s="15"/>
      <c r="AE1906" s="15"/>
      <c r="AF1906" s="15"/>
      <c r="AG1906" s="15"/>
      <c r="AH1906" s="15"/>
      <c r="AI1906" s="15"/>
      <c r="AJ1906" s="15"/>
      <c r="AK1906" s="15"/>
      <c r="AL1906" s="15"/>
      <c r="AM1906" s="15"/>
      <c r="AN1906" s="15"/>
      <c r="AO1906" s="15"/>
      <c r="AP1906" s="15"/>
      <c r="AQ1906" s="15"/>
      <c r="AR1906" s="15"/>
      <c r="AS1906" s="15"/>
      <c r="AT1906" s="15"/>
      <c r="AU1906" s="15"/>
      <c r="AV1906" s="15"/>
      <c r="AW1906" s="15"/>
      <c r="AX1906" s="15"/>
      <c r="AY1906" s="15"/>
      <c r="AZ1906" s="15"/>
      <c r="BA1906" s="15"/>
      <c r="BB1906" s="15"/>
      <c r="BC1906" s="15"/>
      <c r="BD1906" s="15"/>
      <c r="BE1906" s="15"/>
      <c r="BF1906" s="15"/>
      <c r="BG1906" s="15"/>
      <c r="BH1906" s="15"/>
      <c r="BI1906" s="15"/>
      <c r="BJ1906" s="15"/>
      <c r="BK1906" s="15"/>
      <c r="BL1906" s="15"/>
      <c r="BM1906" s="15"/>
      <c r="BN1906" s="15"/>
      <c r="BO1906" s="15"/>
      <c r="BP1906" s="15"/>
      <c r="BQ1906" s="15"/>
      <c r="BR1906" s="15"/>
      <c r="BS1906" s="15"/>
      <c r="BT1906" s="15"/>
      <c r="BU1906" s="15"/>
      <c r="BV1906" s="15"/>
      <c r="BW1906" s="15"/>
      <c r="BX1906" s="15"/>
      <c r="BY1906" s="15"/>
      <c r="BZ1906" s="15"/>
      <c r="CA1906" s="15"/>
      <c r="CB1906" s="15"/>
    </row>
    <row r="1907" spans="1:80" ht="12.75" customHeight="1">
      <c r="A1907" s="20"/>
      <c r="B1907" s="46"/>
      <c r="C1907" s="46"/>
      <c r="D1907" s="47"/>
      <c r="E1907" s="25"/>
      <c r="F1907" s="25"/>
      <c r="G1907" s="48"/>
      <c r="H1907" s="22"/>
      <c r="I1907" s="23"/>
      <c r="J1907" s="24"/>
      <c r="K1907" s="25"/>
      <c r="L1907" s="26"/>
      <c r="M1907" s="27"/>
      <c r="N1907" s="25"/>
      <c r="O1907" s="28"/>
      <c r="P1907" s="25"/>
      <c r="Q1907" s="25"/>
      <c r="R1907" s="25"/>
      <c r="S1907" s="25"/>
      <c r="T1907" s="25"/>
      <c r="U1907" s="25"/>
      <c r="V1907" s="25"/>
      <c r="W1907" s="25"/>
      <c r="X1907" s="25"/>
      <c r="Y1907" s="25"/>
      <c r="Z1907" s="25"/>
      <c r="AA1907" s="25"/>
      <c r="AB1907" s="25"/>
      <c r="AC1907" s="25"/>
      <c r="AD1907" s="25"/>
      <c r="AE1907" s="25"/>
      <c r="AF1907" s="25"/>
      <c r="AG1907" s="25"/>
      <c r="AH1907" s="25"/>
      <c r="AI1907" s="25"/>
      <c r="AJ1907" s="25"/>
      <c r="AK1907" s="25"/>
      <c r="AL1907" s="25"/>
      <c r="AM1907" s="25"/>
      <c r="AN1907" s="25"/>
      <c r="AO1907" s="25"/>
      <c r="AP1907" s="25"/>
      <c r="AQ1907" s="25"/>
      <c r="AR1907" s="25"/>
      <c r="AS1907" s="25"/>
      <c r="AT1907" s="25"/>
      <c r="AU1907" s="25"/>
      <c r="AV1907" s="25"/>
      <c r="AW1907" s="25"/>
      <c r="AX1907" s="25"/>
      <c r="AY1907" s="25"/>
      <c r="AZ1907" s="25"/>
      <c r="BA1907" s="25"/>
      <c r="BB1907" s="25"/>
      <c r="BC1907" s="25"/>
      <c r="BD1907" s="25"/>
      <c r="BE1907" s="25"/>
      <c r="BF1907" s="25"/>
      <c r="BG1907" s="25"/>
      <c r="BH1907" s="25"/>
      <c r="BI1907" s="25"/>
      <c r="BJ1907" s="25"/>
      <c r="BK1907" s="25"/>
      <c r="BL1907" s="25"/>
      <c r="BM1907" s="25"/>
      <c r="BN1907" s="25"/>
      <c r="BO1907" s="25"/>
      <c r="BP1907" s="25"/>
      <c r="BQ1907" s="25"/>
      <c r="BR1907" s="25"/>
      <c r="BS1907" s="25"/>
      <c r="BT1907" s="25"/>
      <c r="BU1907" s="25"/>
      <c r="BV1907" s="25"/>
      <c r="BW1907" s="25"/>
      <c r="BX1907" s="25"/>
      <c r="BY1907" s="25"/>
      <c r="BZ1907" s="25"/>
      <c r="CA1907" s="25"/>
      <c r="CB1907" s="25"/>
    </row>
    <row r="1908" spans="1:80" ht="12.75" customHeight="1">
      <c r="A1908" s="10"/>
      <c r="B1908" s="41"/>
      <c r="C1908" s="41"/>
      <c r="D1908" s="42"/>
      <c r="E1908" s="15"/>
      <c r="F1908" s="15"/>
      <c r="G1908" s="44"/>
      <c r="H1908" s="12"/>
      <c r="I1908" s="13"/>
      <c r="J1908" s="14"/>
      <c r="K1908" s="15"/>
      <c r="L1908" s="16"/>
      <c r="M1908" s="17"/>
      <c r="N1908" s="15"/>
      <c r="O1908" s="18"/>
      <c r="P1908" s="15"/>
      <c r="Q1908" s="15"/>
      <c r="R1908" s="15"/>
      <c r="S1908" s="15"/>
      <c r="T1908" s="15"/>
      <c r="U1908" s="15"/>
      <c r="V1908" s="15"/>
      <c r="W1908" s="15"/>
      <c r="X1908" s="15"/>
      <c r="Y1908" s="15"/>
      <c r="Z1908" s="15"/>
      <c r="AA1908" s="15"/>
      <c r="AB1908" s="15"/>
      <c r="AC1908" s="15"/>
      <c r="AD1908" s="15"/>
      <c r="AE1908" s="15"/>
      <c r="AF1908" s="15"/>
      <c r="AG1908" s="15"/>
      <c r="AH1908" s="15"/>
      <c r="AI1908" s="15"/>
      <c r="AJ1908" s="15"/>
      <c r="AK1908" s="15"/>
      <c r="AL1908" s="15"/>
      <c r="AM1908" s="15"/>
      <c r="AN1908" s="15"/>
      <c r="AO1908" s="15"/>
      <c r="AP1908" s="15"/>
      <c r="AQ1908" s="15"/>
      <c r="AR1908" s="15"/>
      <c r="AS1908" s="15"/>
      <c r="AT1908" s="15"/>
      <c r="AU1908" s="15"/>
      <c r="AV1908" s="15"/>
      <c r="AW1908" s="15"/>
      <c r="AX1908" s="15"/>
      <c r="AY1908" s="15"/>
      <c r="AZ1908" s="15"/>
      <c r="BA1908" s="15"/>
      <c r="BB1908" s="15"/>
      <c r="BC1908" s="15"/>
      <c r="BD1908" s="15"/>
      <c r="BE1908" s="15"/>
      <c r="BF1908" s="15"/>
      <c r="BG1908" s="15"/>
      <c r="BH1908" s="15"/>
      <c r="BI1908" s="15"/>
      <c r="BJ1908" s="15"/>
      <c r="BK1908" s="15"/>
      <c r="BL1908" s="15"/>
      <c r="BM1908" s="15"/>
      <c r="BN1908" s="15"/>
      <c r="BO1908" s="15"/>
      <c r="BP1908" s="15"/>
      <c r="BQ1908" s="15"/>
      <c r="BR1908" s="15"/>
      <c r="BS1908" s="15"/>
      <c r="BT1908" s="15"/>
      <c r="BU1908" s="15"/>
      <c r="BV1908" s="15"/>
      <c r="BW1908" s="15"/>
      <c r="BX1908" s="15"/>
      <c r="BY1908" s="15"/>
      <c r="BZ1908" s="15"/>
      <c r="CA1908" s="15"/>
      <c r="CB1908" s="15"/>
    </row>
    <row r="1909" spans="1:80" ht="12.75" customHeight="1">
      <c r="A1909" s="20"/>
      <c r="B1909" s="46"/>
      <c r="C1909" s="46"/>
      <c r="D1909" s="47"/>
      <c r="E1909" s="25"/>
      <c r="F1909" s="25"/>
      <c r="G1909" s="48"/>
      <c r="H1909" s="22"/>
      <c r="I1909" s="23"/>
      <c r="J1909" s="24"/>
      <c r="K1909" s="25"/>
      <c r="L1909" s="26"/>
      <c r="M1909" s="27"/>
      <c r="N1909" s="25"/>
      <c r="O1909" s="28"/>
      <c r="P1909" s="25"/>
      <c r="Q1909" s="25"/>
      <c r="R1909" s="25"/>
      <c r="S1909" s="25"/>
      <c r="T1909" s="25"/>
      <c r="U1909" s="25"/>
      <c r="V1909" s="25"/>
      <c r="W1909" s="25"/>
      <c r="X1909" s="25"/>
      <c r="Y1909" s="25"/>
      <c r="Z1909" s="25"/>
      <c r="AA1909" s="25"/>
      <c r="AB1909" s="25"/>
      <c r="AC1909" s="25"/>
      <c r="AD1909" s="25"/>
      <c r="AE1909" s="25"/>
      <c r="AF1909" s="25"/>
      <c r="AG1909" s="25"/>
      <c r="AH1909" s="25"/>
      <c r="AI1909" s="25"/>
      <c r="AJ1909" s="25"/>
      <c r="AK1909" s="25"/>
      <c r="AL1909" s="25"/>
      <c r="AM1909" s="25"/>
      <c r="AN1909" s="25"/>
      <c r="AO1909" s="25"/>
      <c r="AP1909" s="25"/>
      <c r="AQ1909" s="25"/>
      <c r="AR1909" s="25"/>
      <c r="AS1909" s="25"/>
      <c r="AT1909" s="25"/>
      <c r="AU1909" s="25"/>
      <c r="AV1909" s="25"/>
      <c r="AW1909" s="25"/>
      <c r="AX1909" s="25"/>
      <c r="AY1909" s="25"/>
      <c r="AZ1909" s="25"/>
      <c r="BA1909" s="25"/>
      <c r="BB1909" s="25"/>
      <c r="BC1909" s="25"/>
      <c r="BD1909" s="25"/>
      <c r="BE1909" s="25"/>
      <c r="BF1909" s="25"/>
      <c r="BG1909" s="25"/>
      <c r="BH1909" s="25"/>
      <c r="BI1909" s="25"/>
      <c r="BJ1909" s="25"/>
      <c r="BK1909" s="25"/>
      <c r="BL1909" s="25"/>
      <c r="BM1909" s="25"/>
      <c r="BN1909" s="25"/>
      <c r="BO1909" s="25"/>
      <c r="BP1909" s="25"/>
      <c r="BQ1909" s="25"/>
      <c r="BR1909" s="25"/>
      <c r="BS1909" s="25"/>
      <c r="BT1909" s="25"/>
      <c r="BU1909" s="25"/>
      <c r="BV1909" s="25"/>
      <c r="BW1909" s="25"/>
      <c r="BX1909" s="25"/>
      <c r="BY1909" s="25"/>
      <c r="BZ1909" s="25"/>
      <c r="CA1909" s="25"/>
      <c r="CB1909" s="25"/>
    </row>
    <row r="1910" spans="1:80" ht="12.75" customHeight="1">
      <c r="A1910" s="10"/>
      <c r="B1910" s="41"/>
      <c r="C1910" s="41"/>
      <c r="D1910" s="42"/>
      <c r="E1910" s="15"/>
      <c r="F1910" s="15"/>
      <c r="G1910" s="44"/>
      <c r="H1910" s="12"/>
      <c r="I1910" s="13"/>
      <c r="J1910" s="14"/>
      <c r="K1910" s="15"/>
      <c r="L1910" s="16"/>
      <c r="M1910" s="17"/>
      <c r="N1910" s="15"/>
      <c r="O1910" s="18"/>
      <c r="P1910" s="15"/>
      <c r="Q1910" s="15"/>
      <c r="R1910" s="15"/>
      <c r="S1910" s="15"/>
      <c r="T1910" s="15"/>
      <c r="U1910" s="15"/>
      <c r="V1910" s="15"/>
      <c r="W1910" s="15"/>
      <c r="X1910" s="15"/>
      <c r="Y1910" s="15"/>
      <c r="Z1910" s="15"/>
      <c r="AA1910" s="15"/>
      <c r="AB1910" s="15"/>
      <c r="AC1910" s="15"/>
      <c r="AD1910" s="15"/>
      <c r="AE1910" s="15"/>
      <c r="AF1910" s="15"/>
      <c r="AG1910" s="15"/>
      <c r="AH1910" s="15"/>
      <c r="AI1910" s="15"/>
      <c r="AJ1910" s="15"/>
      <c r="AK1910" s="15"/>
      <c r="AL1910" s="15"/>
      <c r="AM1910" s="15"/>
      <c r="AN1910" s="15"/>
      <c r="AO1910" s="15"/>
      <c r="AP1910" s="15"/>
      <c r="AQ1910" s="15"/>
      <c r="AR1910" s="15"/>
      <c r="AS1910" s="15"/>
      <c r="AT1910" s="15"/>
      <c r="AU1910" s="15"/>
      <c r="AV1910" s="15"/>
      <c r="AW1910" s="15"/>
      <c r="AX1910" s="15"/>
      <c r="AY1910" s="15"/>
      <c r="AZ1910" s="15"/>
      <c r="BA1910" s="15"/>
      <c r="BB1910" s="15"/>
      <c r="BC1910" s="15"/>
      <c r="BD1910" s="15"/>
      <c r="BE1910" s="15"/>
      <c r="BF1910" s="15"/>
      <c r="BG1910" s="15"/>
      <c r="BH1910" s="15"/>
      <c r="BI1910" s="15"/>
      <c r="BJ1910" s="15"/>
      <c r="BK1910" s="15"/>
      <c r="BL1910" s="15"/>
      <c r="BM1910" s="15"/>
      <c r="BN1910" s="15"/>
      <c r="BO1910" s="15"/>
      <c r="BP1910" s="15"/>
      <c r="BQ1910" s="15"/>
      <c r="BR1910" s="15"/>
      <c r="BS1910" s="15"/>
      <c r="BT1910" s="15"/>
      <c r="BU1910" s="15"/>
      <c r="BV1910" s="15"/>
      <c r="BW1910" s="15"/>
      <c r="BX1910" s="15"/>
      <c r="BY1910" s="15"/>
      <c r="BZ1910" s="15"/>
      <c r="CA1910" s="15"/>
      <c r="CB1910" s="15"/>
    </row>
    <row r="1911" spans="1:80" ht="12.75" customHeight="1">
      <c r="A1911" s="20"/>
      <c r="B1911" s="46"/>
      <c r="C1911" s="46"/>
      <c r="D1911" s="47"/>
      <c r="E1911" s="25"/>
      <c r="F1911" s="25"/>
      <c r="G1911" s="48"/>
      <c r="H1911" s="22"/>
      <c r="I1911" s="23"/>
      <c r="J1911" s="24"/>
      <c r="K1911" s="25"/>
      <c r="L1911" s="26"/>
      <c r="M1911" s="27"/>
      <c r="N1911" s="25"/>
      <c r="O1911" s="28"/>
      <c r="P1911" s="25"/>
      <c r="Q1911" s="25"/>
      <c r="R1911" s="25"/>
      <c r="S1911" s="25"/>
      <c r="T1911" s="25"/>
      <c r="U1911" s="25"/>
      <c r="V1911" s="25"/>
      <c r="W1911" s="25"/>
      <c r="X1911" s="25"/>
      <c r="Y1911" s="25"/>
      <c r="Z1911" s="25"/>
      <c r="AA1911" s="25"/>
      <c r="AB1911" s="25"/>
      <c r="AC1911" s="25"/>
      <c r="AD1911" s="25"/>
      <c r="AE1911" s="25"/>
      <c r="AF1911" s="25"/>
      <c r="AG1911" s="25"/>
      <c r="AH1911" s="25"/>
      <c r="AI1911" s="25"/>
      <c r="AJ1911" s="25"/>
      <c r="AK1911" s="25"/>
      <c r="AL1911" s="25"/>
      <c r="AM1911" s="25"/>
      <c r="AN1911" s="25"/>
      <c r="AO1911" s="25"/>
      <c r="AP1911" s="25"/>
      <c r="AQ1911" s="25"/>
      <c r="AR1911" s="25"/>
      <c r="AS1911" s="25"/>
      <c r="AT1911" s="25"/>
      <c r="AU1911" s="25"/>
      <c r="AV1911" s="25"/>
      <c r="AW1911" s="25"/>
      <c r="AX1911" s="25"/>
      <c r="AY1911" s="25"/>
      <c r="AZ1911" s="25"/>
      <c r="BA1911" s="25"/>
      <c r="BB1911" s="25"/>
      <c r="BC1911" s="25"/>
      <c r="BD1911" s="25"/>
      <c r="BE1911" s="25"/>
      <c r="BF1911" s="25"/>
      <c r="BG1911" s="25"/>
      <c r="BH1911" s="25"/>
      <c r="BI1911" s="25"/>
      <c r="BJ1911" s="25"/>
      <c r="BK1911" s="25"/>
      <c r="BL1911" s="25"/>
      <c r="BM1911" s="25"/>
      <c r="BN1911" s="25"/>
      <c r="BO1911" s="25"/>
      <c r="BP1911" s="25"/>
      <c r="BQ1911" s="25"/>
      <c r="BR1911" s="25"/>
      <c r="BS1911" s="25"/>
      <c r="BT1911" s="25"/>
      <c r="BU1911" s="25"/>
      <c r="BV1911" s="25"/>
      <c r="BW1911" s="25"/>
      <c r="BX1911" s="25"/>
      <c r="BY1911" s="25"/>
      <c r="BZ1911" s="25"/>
      <c r="CA1911" s="25"/>
      <c r="CB1911" s="25"/>
    </row>
    <row r="1912" spans="1:80" ht="12.75" customHeight="1">
      <c r="A1912" s="10"/>
      <c r="B1912" s="41"/>
      <c r="C1912" s="41"/>
      <c r="D1912" s="42"/>
      <c r="E1912" s="15"/>
      <c r="F1912" s="15"/>
      <c r="G1912" s="44"/>
      <c r="H1912" s="12"/>
      <c r="I1912" s="13"/>
      <c r="J1912" s="14"/>
      <c r="K1912" s="15"/>
      <c r="L1912" s="16"/>
      <c r="M1912" s="17"/>
      <c r="N1912" s="15"/>
      <c r="O1912" s="18"/>
      <c r="P1912" s="15"/>
      <c r="Q1912" s="15"/>
      <c r="R1912" s="15"/>
      <c r="S1912" s="15"/>
      <c r="T1912" s="15"/>
      <c r="U1912" s="15"/>
      <c r="V1912" s="15"/>
      <c r="W1912" s="15"/>
      <c r="X1912" s="15"/>
      <c r="Y1912" s="15"/>
      <c r="Z1912" s="15"/>
      <c r="AA1912" s="15"/>
      <c r="AB1912" s="15"/>
      <c r="AC1912" s="15"/>
      <c r="AD1912" s="15"/>
      <c r="AE1912" s="15"/>
      <c r="AF1912" s="15"/>
      <c r="AG1912" s="15"/>
      <c r="AH1912" s="15"/>
      <c r="AI1912" s="15"/>
      <c r="AJ1912" s="15"/>
      <c r="AK1912" s="15"/>
      <c r="AL1912" s="15"/>
      <c r="AM1912" s="15"/>
      <c r="AN1912" s="15"/>
      <c r="AO1912" s="15"/>
      <c r="AP1912" s="15"/>
      <c r="AQ1912" s="15"/>
      <c r="AR1912" s="15"/>
      <c r="AS1912" s="15"/>
      <c r="AT1912" s="15"/>
      <c r="AU1912" s="15"/>
      <c r="AV1912" s="15"/>
      <c r="AW1912" s="15"/>
      <c r="AX1912" s="15"/>
      <c r="AY1912" s="15"/>
      <c r="AZ1912" s="15"/>
      <c r="BA1912" s="15"/>
      <c r="BB1912" s="15"/>
      <c r="BC1912" s="15"/>
      <c r="BD1912" s="15"/>
      <c r="BE1912" s="15"/>
      <c r="BF1912" s="15"/>
      <c r="BG1912" s="15"/>
      <c r="BH1912" s="15"/>
      <c r="BI1912" s="15"/>
      <c r="BJ1912" s="15"/>
      <c r="BK1912" s="15"/>
      <c r="BL1912" s="15"/>
      <c r="BM1912" s="15"/>
      <c r="BN1912" s="15"/>
      <c r="BO1912" s="15"/>
      <c r="BP1912" s="15"/>
      <c r="BQ1912" s="15"/>
      <c r="BR1912" s="15"/>
      <c r="BS1912" s="15"/>
      <c r="BT1912" s="15"/>
      <c r="BU1912" s="15"/>
      <c r="BV1912" s="15"/>
      <c r="BW1912" s="15"/>
      <c r="BX1912" s="15"/>
      <c r="BY1912" s="15"/>
      <c r="BZ1912" s="15"/>
      <c r="CA1912" s="15"/>
      <c r="CB1912" s="15"/>
    </row>
    <row r="1913" spans="1:80" ht="12.75" customHeight="1">
      <c r="A1913" s="20"/>
      <c r="B1913" s="46"/>
      <c r="C1913" s="46"/>
      <c r="D1913" s="47"/>
      <c r="E1913" s="25"/>
      <c r="F1913" s="25"/>
      <c r="G1913" s="48"/>
      <c r="H1913" s="22"/>
      <c r="I1913" s="23"/>
      <c r="J1913" s="24"/>
      <c r="K1913" s="25"/>
      <c r="L1913" s="26"/>
      <c r="M1913" s="27"/>
      <c r="N1913" s="25"/>
      <c r="O1913" s="28"/>
      <c r="P1913" s="25"/>
      <c r="Q1913" s="25"/>
      <c r="R1913" s="25"/>
      <c r="S1913" s="25"/>
      <c r="T1913" s="25"/>
      <c r="U1913" s="25"/>
      <c r="V1913" s="25"/>
      <c r="W1913" s="25"/>
      <c r="X1913" s="25"/>
      <c r="Y1913" s="25"/>
      <c r="Z1913" s="25"/>
      <c r="AA1913" s="25"/>
      <c r="AB1913" s="25"/>
      <c r="AC1913" s="25"/>
      <c r="AD1913" s="25"/>
      <c r="AE1913" s="25"/>
      <c r="AF1913" s="25"/>
      <c r="AG1913" s="25"/>
      <c r="AH1913" s="25"/>
      <c r="AI1913" s="25"/>
      <c r="AJ1913" s="25"/>
      <c r="AK1913" s="25"/>
      <c r="AL1913" s="25"/>
      <c r="AM1913" s="25"/>
      <c r="AN1913" s="25"/>
      <c r="AO1913" s="25"/>
      <c r="AP1913" s="25"/>
      <c r="AQ1913" s="25"/>
      <c r="AR1913" s="25"/>
      <c r="AS1913" s="25"/>
      <c r="AT1913" s="25"/>
      <c r="AU1913" s="25"/>
      <c r="AV1913" s="25"/>
      <c r="AW1913" s="25"/>
      <c r="AX1913" s="25"/>
      <c r="AY1913" s="25"/>
      <c r="AZ1913" s="25"/>
      <c r="BA1913" s="25"/>
      <c r="BB1913" s="25"/>
      <c r="BC1913" s="25"/>
      <c r="BD1913" s="25"/>
      <c r="BE1913" s="25"/>
      <c r="BF1913" s="25"/>
      <c r="BG1913" s="25"/>
      <c r="BH1913" s="25"/>
      <c r="BI1913" s="25"/>
      <c r="BJ1913" s="25"/>
      <c r="BK1913" s="25"/>
      <c r="BL1913" s="25"/>
      <c r="BM1913" s="25"/>
      <c r="BN1913" s="25"/>
      <c r="BO1913" s="25"/>
      <c r="BP1913" s="25"/>
      <c r="BQ1913" s="25"/>
      <c r="BR1913" s="25"/>
      <c r="BS1913" s="25"/>
      <c r="BT1913" s="25"/>
      <c r="BU1913" s="25"/>
      <c r="BV1913" s="25"/>
      <c r="BW1913" s="25"/>
      <c r="BX1913" s="25"/>
      <c r="BY1913" s="25"/>
      <c r="BZ1913" s="25"/>
      <c r="CA1913" s="25"/>
      <c r="CB1913" s="25"/>
    </row>
    <row r="1914" spans="1:80" ht="12.75" customHeight="1">
      <c r="A1914" s="10"/>
      <c r="B1914" s="41"/>
      <c r="C1914" s="41"/>
      <c r="D1914" s="42"/>
      <c r="E1914" s="15"/>
      <c r="F1914" s="15"/>
      <c r="G1914" s="44"/>
      <c r="H1914" s="12"/>
      <c r="I1914" s="13"/>
      <c r="J1914" s="14"/>
      <c r="K1914" s="15"/>
      <c r="L1914" s="16"/>
      <c r="M1914" s="17"/>
      <c r="N1914" s="15"/>
      <c r="O1914" s="18"/>
      <c r="P1914" s="15"/>
      <c r="Q1914" s="15"/>
      <c r="R1914" s="15"/>
      <c r="S1914" s="15"/>
      <c r="T1914" s="15"/>
      <c r="U1914" s="15"/>
      <c r="V1914" s="15"/>
      <c r="W1914" s="15"/>
      <c r="X1914" s="15"/>
      <c r="Y1914" s="15"/>
      <c r="Z1914" s="15"/>
      <c r="AA1914" s="15"/>
      <c r="AB1914" s="15"/>
      <c r="AC1914" s="15"/>
      <c r="AD1914" s="15"/>
      <c r="AE1914" s="15"/>
      <c r="AF1914" s="15"/>
      <c r="AG1914" s="15"/>
      <c r="AH1914" s="15"/>
      <c r="AI1914" s="15"/>
      <c r="AJ1914" s="15"/>
      <c r="AK1914" s="15"/>
      <c r="AL1914" s="15"/>
      <c r="AM1914" s="15"/>
      <c r="AN1914" s="15"/>
      <c r="AO1914" s="15"/>
      <c r="AP1914" s="15"/>
      <c r="AQ1914" s="15"/>
      <c r="AR1914" s="15"/>
      <c r="AS1914" s="15"/>
      <c r="AT1914" s="15"/>
      <c r="AU1914" s="15"/>
      <c r="AV1914" s="15"/>
      <c r="AW1914" s="15"/>
      <c r="AX1914" s="15"/>
      <c r="AY1914" s="15"/>
      <c r="AZ1914" s="15"/>
      <c r="BA1914" s="15"/>
      <c r="BB1914" s="15"/>
      <c r="BC1914" s="15"/>
      <c r="BD1914" s="15"/>
      <c r="BE1914" s="15"/>
      <c r="BF1914" s="15"/>
      <c r="BG1914" s="15"/>
      <c r="BH1914" s="15"/>
      <c r="BI1914" s="15"/>
      <c r="BJ1914" s="15"/>
      <c r="BK1914" s="15"/>
      <c r="BL1914" s="15"/>
      <c r="BM1914" s="15"/>
      <c r="BN1914" s="15"/>
      <c r="BO1914" s="15"/>
      <c r="BP1914" s="15"/>
      <c r="BQ1914" s="15"/>
      <c r="BR1914" s="15"/>
      <c r="BS1914" s="15"/>
      <c r="BT1914" s="15"/>
      <c r="BU1914" s="15"/>
      <c r="BV1914" s="15"/>
      <c r="BW1914" s="15"/>
      <c r="BX1914" s="15"/>
      <c r="BY1914" s="15"/>
      <c r="BZ1914" s="15"/>
      <c r="CA1914" s="15"/>
      <c r="CB1914" s="15"/>
    </row>
    <row r="1915" spans="1:80" ht="12.75" customHeight="1">
      <c r="A1915" s="20"/>
      <c r="B1915" s="46"/>
      <c r="C1915" s="46"/>
      <c r="D1915" s="47"/>
      <c r="E1915" s="25"/>
      <c r="F1915" s="25"/>
      <c r="G1915" s="48"/>
      <c r="H1915" s="22"/>
      <c r="I1915" s="23"/>
      <c r="J1915" s="24"/>
      <c r="K1915" s="25"/>
      <c r="L1915" s="26"/>
      <c r="M1915" s="27"/>
      <c r="N1915" s="25"/>
      <c r="O1915" s="28"/>
      <c r="P1915" s="25"/>
      <c r="Q1915" s="25"/>
      <c r="R1915" s="25"/>
      <c r="S1915" s="25"/>
      <c r="T1915" s="25"/>
      <c r="U1915" s="25"/>
      <c r="V1915" s="25"/>
      <c r="W1915" s="25"/>
      <c r="X1915" s="25"/>
      <c r="Y1915" s="25"/>
      <c r="Z1915" s="25"/>
      <c r="AA1915" s="25"/>
      <c r="AB1915" s="25"/>
      <c r="AC1915" s="25"/>
      <c r="AD1915" s="25"/>
      <c r="AE1915" s="25"/>
      <c r="AF1915" s="25"/>
      <c r="AG1915" s="25"/>
      <c r="AH1915" s="25"/>
      <c r="AI1915" s="25"/>
      <c r="AJ1915" s="25"/>
      <c r="AK1915" s="25"/>
      <c r="AL1915" s="25"/>
      <c r="AM1915" s="25"/>
      <c r="AN1915" s="25"/>
      <c r="AO1915" s="25"/>
      <c r="AP1915" s="25"/>
      <c r="AQ1915" s="25"/>
      <c r="AR1915" s="25"/>
      <c r="AS1915" s="25"/>
      <c r="AT1915" s="25"/>
      <c r="AU1915" s="25"/>
      <c r="AV1915" s="25"/>
      <c r="AW1915" s="25"/>
      <c r="AX1915" s="25"/>
      <c r="AY1915" s="25"/>
      <c r="AZ1915" s="25"/>
      <c r="BA1915" s="25"/>
      <c r="BB1915" s="25"/>
      <c r="BC1915" s="25"/>
      <c r="BD1915" s="25"/>
      <c r="BE1915" s="25"/>
      <c r="BF1915" s="25"/>
      <c r="BG1915" s="25"/>
      <c r="BH1915" s="25"/>
      <c r="BI1915" s="25"/>
      <c r="BJ1915" s="25"/>
      <c r="BK1915" s="25"/>
      <c r="BL1915" s="25"/>
      <c r="BM1915" s="25"/>
      <c r="BN1915" s="25"/>
      <c r="BO1915" s="25"/>
      <c r="BP1915" s="25"/>
      <c r="BQ1915" s="25"/>
      <c r="BR1915" s="25"/>
      <c r="BS1915" s="25"/>
      <c r="BT1915" s="25"/>
      <c r="BU1915" s="25"/>
      <c r="BV1915" s="25"/>
      <c r="BW1915" s="25"/>
      <c r="BX1915" s="25"/>
      <c r="BY1915" s="25"/>
      <c r="BZ1915" s="25"/>
      <c r="CA1915" s="25"/>
      <c r="CB1915" s="25"/>
    </row>
    <row r="1916" spans="1:80" ht="12.75" customHeight="1">
      <c r="A1916" s="10"/>
      <c r="B1916" s="41"/>
      <c r="C1916" s="41"/>
      <c r="D1916" s="42"/>
      <c r="E1916" s="15"/>
      <c r="F1916" s="15"/>
      <c r="G1916" s="44"/>
      <c r="H1916" s="12"/>
      <c r="I1916" s="13"/>
      <c r="J1916" s="14"/>
      <c r="K1916" s="15"/>
      <c r="L1916" s="16"/>
      <c r="M1916" s="17"/>
      <c r="N1916" s="15"/>
      <c r="O1916" s="18"/>
      <c r="P1916" s="15"/>
      <c r="Q1916" s="15"/>
      <c r="R1916" s="15"/>
      <c r="S1916" s="15"/>
      <c r="T1916" s="15"/>
      <c r="U1916" s="15"/>
      <c r="V1916" s="15"/>
      <c r="W1916" s="15"/>
      <c r="X1916" s="15"/>
      <c r="Y1916" s="15"/>
      <c r="Z1916" s="15"/>
      <c r="AA1916" s="15"/>
      <c r="AB1916" s="15"/>
      <c r="AC1916" s="15"/>
      <c r="AD1916" s="15"/>
      <c r="AE1916" s="15"/>
      <c r="AF1916" s="15"/>
      <c r="AG1916" s="15"/>
      <c r="AH1916" s="15"/>
      <c r="AI1916" s="15"/>
      <c r="AJ1916" s="15"/>
      <c r="AK1916" s="15"/>
      <c r="AL1916" s="15"/>
      <c r="AM1916" s="15"/>
      <c r="AN1916" s="15"/>
      <c r="AO1916" s="15"/>
      <c r="AP1916" s="15"/>
      <c r="AQ1916" s="15"/>
      <c r="AR1916" s="15"/>
      <c r="AS1916" s="15"/>
      <c r="AT1916" s="15"/>
      <c r="AU1916" s="15"/>
      <c r="AV1916" s="15"/>
      <c r="AW1916" s="15"/>
      <c r="AX1916" s="15"/>
      <c r="AY1916" s="15"/>
      <c r="AZ1916" s="15"/>
      <c r="BA1916" s="15"/>
      <c r="BB1916" s="15"/>
      <c r="BC1916" s="15"/>
      <c r="BD1916" s="15"/>
      <c r="BE1916" s="15"/>
      <c r="BF1916" s="15"/>
      <c r="BG1916" s="15"/>
      <c r="BH1916" s="15"/>
      <c r="BI1916" s="15"/>
      <c r="BJ1916" s="15"/>
      <c r="BK1916" s="15"/>
      <c r="BL1916" s="15"/>
      <c r="BM1916" s="15"/>
      <c r="BN1916" s="15"/>
      <c r="BO1916" s="15"/>
      <c r="BP1916" s="15"/>
      <c r="BQ1916" s="15"/>
      <c r="BR1916" s="15"/>
      <c r="BS1916" s="15"/>
      <c r="BT1916" s="15"/>
      <c r="BU1916" s="15"/>
      <c r="BV1916" s="15"/>
      <c r="BW1916" s="15"/>
      <c r="BX1916" s="15"/>
      <c r="BY1916" s="15"/>
      <c r="BZ1916" s="15"/>
      <c r="CA1916" s="15"/>
      <c r="CB1916" s="15"/>
    </row>
    <row r="1917" spans="1:80" ht="12.75" customHeight="1">
      <c r="A1917" s="20"/>
      <c r="B1917" s="46"/>
      <c r="C1917" s="46"/>
      <c r="D1917" s="47"/>
      <c r="E1917" s="25"/>
      <c r="F1917" s="25"/>
      <c r="G1917" s="48"/>
      <c r="H1917" s="22"/>
      <c r="I1917" s="23"/>
      <c r="J1917" s="24"/>
      <c r="K1917" s="25"/>
      <c r="L1917" s="26"/>
      <c r="M1917" s="27"/>
      <c r="N1917" s="25"/>
      <c r="O1917" s="28"/>
      <c r="P1917" s="25"/>
      <c r="Q1917" s="25"/>
      <c r="R1917" s="25"/>
      <c r="S1917" s="25"/>
      <c r="T1917" s="25"/>
      <c r="U1917" s="25"/>
      <c r="V1917" s="25"/>
      <c r="W1917" s="25"/>
      <c r="X1917" s="25"/>
      <c r="Y1917" s="25"/>
      <c r="Z1917" s="25"/>
      <c r="AA1917" s="25"/>
      <c r="AB1917" s="25"/>
      <c r="AC1917" s="25"/>
      <c r="AD1917" s="25"/>
      <c r="AE1917" s="25"/>
      <c r="AF1917" s="25"/>
      <c r="AG1917" s="25"/>
      <c r="AH1917" s="25"/>
      <c r="AI1917" s="25"/>
      <c r="AJ1917" s="25"/>
      <c r="AK1917" s="25"/>
      <c r="AL1917" s="25"/>
      <c r="AM1917" s="25"/>
      <c r="AN1917" s="25"/>
      <c r="AO1917" s="25"/>
      <c r="AP1917" s="25"/>
      <c r="AQ1917" s="25"/>
      <c r="AR1917" s="25"/>
      <c r="AS1917" s="25"/>
      <c r="AT1917" s="25"/>
      <c r="AU1917" s="25"/>
      <c r="AV1917" s="25"/>
      <c r="AW1917" s="25"/>
      <c r="AX1917" s="25"/>
      <c r="AY1917" s="25"/>
      <c r="AZ1917" s="25"/>
      <c r="BA1917" s="25"/>
      <c r="BB1917" s="25"/>
      <c r="BC1917" s="25"/>
      <c r="BD1917" s="25"/>
      <c r="BE1917" s="25"/>
      <c r="BF1917" s="25"/>
      <c r="BG1917" s="25"/>
      <c r="BH1917" s="25"/>
      <c r="BI1917" s="25"/>
      <c r="BJ1917" s="25"/>
      <c r="BK1917" s="25"/>
      <c r="BL1917" s="25"/>
      <c r="BM1917" s="25"/>
      <c r="BN1917" s="25"/>
      <c r="BO1917" s="25"/>
      <c r="BP1917" s="25"/>
      <c r="BQ1917" s="25"/>
      <c r="BR1917" s="25"/>
      <c r="BS1917" s="25"/>
      <c r="BT1917" s="25"/>
      <c r="BU1917" s="25"/>
      <c r="BV1917" s="25"/>
      <c r="BW1917" s="25"/>
      <c r="BX1917" s="25"/>
      <c r="BY1917" s="25"/>
      <c r="BZ1917" s="25"/>
      <c r="CA1917" s="25"/>
      <c r="CB1917" s="25"/>
    </row>
    <row r="1918" spans="1:80" ht="12.75" customHeight="1">
      <c r="A1918" s="10"/>
      <c r="B1918" s="41"/>
      <c r="C1918" s="41"/>
      <c r="D1918" s="42"/>
      <c r="E1918" s="15"/>
      <c r="F1918" s="15"/>
      <c r="G1918" s="44"/>
      <c r="H1918" s="12"/>
      <c r="I1918" s="13"/>
      <c r="J1918" s="14"/>
      <c r="K1918" s="15"/>
      <c r="L1918" s="16"/>
      <c r="M1918" s="17"/>
      <c r="N1918" s="15"/>
      <c r="O1918" s="18"/>
      <c r="P1918" s="15"/>
      <c r="Q1918" s="15"/>
      <c r="R1918" s="15"/>
      <c r="S1918" s="15"/>
      <c r="T1918" s="15"/>
      <c r="U1918" s="15"/>
      <c r="V1918" s="15"/>
      <c r="W1918" s="15"/>
      <c r="X1918" s="15"/>
      <c r="Y1918" s="15"/>
      <c r="Z1918" s="15"/>
      <c r="AA1918" s="15"/>
      <c r="AB1918" s="15"/>
      <c r="AC1918" s="15"/>
      <c r="AD1918" s="15"/>
      <c r="AE1918" s="15"/>
      <c r="AF1918" s="15"/>
      <c r="AG1918" s="15"/>
      <c r="AH1918" s="15"/>
      <c r="AI1918" s="15"/>
      <c r="AJ1918" s="15"/>
      <c r="AK1918" s="15"/>
      <c r="AL1918" s="15"/>
      <c r="AM1918" s="15"/>
      <c r="AN1918" s="15"/>
      <c r="AO1918" s="15"/>
      <c r="AP1918" s="15"/>
      <c r="AQ1918" s="15"/>
      <c r="AR1918" s="15"/>
      <c r="AS1918" s="15"/>
      <c r="AT1918" s="15"/>
      <c r="AU1918" s="15"/>
      <c r="AV1918" s="15"/>
      <c r="AW1918" s="15"/>
      <c r="AX1918" s="15"/>
      <c r="AY1918" s="15"/>
      <c r="AZ1918" s="15"/>
      <c r="BA1918" s="15"/>
      <c r="BB1918" s="15"/>
      <c r="BC1918" s="15"/>
      <c r="BD1918" s="15"/>
      <c r="BE1918" s="15"/>
      <c r="BF1918" s="15"/>
      <c r="BG1918" s="15"/>
      <c r="BH1918" s="15"/>
      <c r="BI1918" s="15"/>
      <c r="BJ1918" s="15"/>
      <c r="BK1918" s="15"/>
      <c r="BL1918" s="15"/>
      <c r="BM1918" s="15"/>
      <c r="BN1918" s="15"/>
      <c r="BO1918" s="15"/>
      <c r="BP1918" s="15"/>
      <c r="BQ1918" s="15"/>
      <c r="BR1918" s="15"/>
      <c r="BS1918" s="15"/>
      <c r="BT1918" s="15"/>
      <c r="BU1918" s="15"/>
      <c r="BV1918" s="15"/>
      <c r="BW1918" s="15"/>
      <c r="BX1918" s="15"/>
      <c r="BY1918" s="15"/>
      <c r="BZ1918" s="15"/>
      <c r="CA1918" s="15"/>
      <c r="CB1918" s="15"/>
    </row>
    <row r="1919" spans="1:80" ht="12.75" customHeight="1">
      <c r="A1919" s="20"/>
      <c r="B1919" s="46"/>
      <c r="C1919" s="46"/>
      <c r="D1919" s="47"/>
      <c r="E1919" s="25"/>
      <c r="F1919" s="25"/>
      <c r="G1919" s="48"/>
      <c r="H1919" s="22"/>
      <c r="I1919" s="23"/>
      <c r="J1919" s="24"/>
      <c r="K1919" s="25"/>
      <c r="L1919" s="26"/>
      <c r="M1919" s="27"/>
      <c r="N1919" s="25"/>
      <c r="O1919" s="28"/>
      <c r="P1919" s="25"/>
      <c r="Q1919" s="25"/>
      <c r="R1919" s="25"/>
      <c r="S1919" s="25"/>
      <c r="T1919" s="25"/>
      <c r="U1919" s="25"/>
      <c r="V1919" s="25"/>
      <c r="W1919" s="25"/>
      <c r="X1919" s="25"/>
      <c r="Y1919" s="25"/>
      <c r="Z1919" s="25"/>
      <c r="AA1919" s="25"/>
      <c r="AB1919" s="25"/>
      <c r="AC1919" s="25"/>
      <c r="AD1919" s="25"/>
      <c r="AE1919" s="25"/>
      <c r="AF1919" s="25"/>
      <c r="AG1919" s="25"/>
      <c r="AH1919" s="25"/>
      <c r="AI1919" s="25"/>
      <c r="AJ1919" s="25"/>
      <c r="AK1919" s="25"/>
      <c r="AL1919" s="25"/>
      <c r="AM1919" s="25"/>
      <c r="AN1919" s="25"/>
      <c r="AO1919" s="25"/>
      <c r="AP1919" s="25"/>
      <c r="AQ1919" s="25"/>
      <c r="AR1919" s="25"/>
      <c r="AS1919" s="25"/>
      <c r="AT1919" s="25"/>
      <c r="AU1919" s="25"/>
      <c r="AV1919" s="25"/>
      <c r="AW1919" s="25"/>
      <c r="AX1919" s="25"/>
      <c r="AY1919" s="25"/>
      <c r="AZ1919" s="25"/>
      <c r="BA1919" s="25"/>
      <c r="BB1919" s="25"/>
      <c r="BC1919" s="25"/>
      <c r="BD1919" s="25"/>
      <c r="BE1919" s="25"/>
      <c r="BF1919" s="25"/>
      <c r="BG1919" s="25"/>
      <c r="BH1919" s="25"/>
      <c r="BI1919" s="25"/>
      <c r="BJ1919" s="25"/>
      <c r="BK1919" s="25"/>
      <c r="BL1919" s="25"/>
      <c r="BM1919" s="25"/>
      <c r="BN1919" s="25"/>
      <c r="BO1919" s="25"/>
      <c r="BP1919" s="25"/>
      <c r="BQ1919" s="25"/>
      <c r="BR1919" s="25"/>
      <c r="BS1919" s="25"/>
      <c r="BT1919" s="25"/>
      <c r="BU1919" s="25"/>
      <c r="BV1919" s="25"/>
      <c r="BW1919" s="25"/>
      <c r="BX1919" s="25"/>
      <c r="BY1919" s="25"/>
      <c r="BZ1919" s="25"/>
      <c r="CA1919" s="25"/>
      <c r="CB1919" s="25"/>
    </row>
    <row r="1920" spans="1:80" ht="12.75" customHeight="1">
      <c r="A1920" s="10"/>
      <c r="B1920" s="41"/>
      <c r="C1920" s="41"/>
      <c r="D1920" s="42"/>
      <c r="E1920" s="15"/>
      <c r="F1920" s="15"/>
      <c r="G1920" s="44"/>
      <c r="H1920" s="12"/>
      <c r="I1920" s="13"/>
      <c r="J1920" s="14"/>
      <c r="K1920" s="15"/>
      <c r="L1920" s="16"/>
      <c r="M1920" s="17"/>
      <c r="N1920" s="15"/>
      <c r="O1920" s="18"/>
      <c r="P1920" s="15"/>
      <c r="Q1920" s="15"/>
      <c r="R1920" s="15"/>
      <c r="S1920" s="15"/>
      <c r="T1920" s="15"/>
      <c r="U1920" s="15"/>
      <c r="V1920" s="15"/>
      <c r="W1920" s="15"/>
      <c r="X1920" s="15"/>
      <c r="Y1920" s="15"/>
      <c r="Z1920" s="15"/>
      <c r="AA1920" s="15"/>
      <c r="AB1920" s="15"/>
      <c r="AC1920" s="15"/>
      <c r="AD1920" s="15"/>
      <c r="AE1920" s="15"/>
      <c r="AF1920" s="15"/>
      <c r="AG1920" s="15"/>
      <c r="AH1920" s="15"/>
      <c r="AI1920" s="15"/>
      <c r="AJ1920" s="15"/>
      <c r="AK1920" s="15"/>
      <c r="AL1920" s="15"/>
      <c r="AM1920" s="15"/>
      <c r="AN1920" s="15"/>
      <c r="AO1920" s="15"/>
      <c r="AP1920" s="15"/>
      <c r="AQ1920" s="15"/>
      <c r="AR1920" s="15"/>
      <c r="AS1920" s="15"/>
      <c r="AT1920" s="15"/>
      <c r="AU1920" s="15"/>
      <c r="AV1920" s="15"/>
      <c r="AW1920" s="15"/>
      <c r="AX1920" s="15"/>
      <c r="AY1920" s="15"/>
      <c r="AZ1920" s="15"/>
      <c r="BA1920" s="15"/>
      <c r="BB1920" s="15"/>
      <c r="BC1920" s="15"/>
      <c r="BD1920" s="15"/>
      <c r="BE1920" s="15"/>
      <c r="BF1920" s="15"/>
      <c r="BG1920" s="15"/>
      <c r="BH1920" s="15"/>
      <c r="BI1920" s="15"/>
      <c r="BJ1920" s="15"/>
      <c r="BK1920" s="15"/>
      <c r="BL1920" s="15"/>
      <c r="BM1920" s="15"/>
      <c r="BN1920" s="15"/>
      <c r="BO1920" s="15"/>
      <c r="BP1920" s="15"/>
      <c r="BQ1920" s="15"/>
      <c r="BR1920" s="15"/>
      <c r="BS1920" s="15"/>
      <c r="BT1920" s="15"/>
      <c r="BU1920" s="15"/>
      <c r="BV1920" s="15"/>
      <c r="BW1920" s="15"/>
      <c r="BX1920" s="15"/>
      <c r="BY1920" s="15"/>
      <c r="BZ1920" s="15"/>
      <c r="CA1920" s="15"/>
      <c r="CB1920" s="15"/>
    </row>
    <row r="1921" spans="1:80" ht="12.75" customHeight="1">
      <c r="A1921" s="20"/>
      <c r="B1921" s="46"/>
      <c r="C1921" s="46"/>
      <c r="D1921" s="47"/>
      <c r="E1921" s="25"/>
      <c r="F1921" s="25"/>
      <c r="G1921" s="48"/>
      <c r="H1921" s="22"/>
      <c r="I1921" s="23"/>
      <c r="J1921" s="24"/>
      <c r="K1921" s="25"/>
      <c r="L1921" s="26"/>
      <c r="M1921" s="27"/>
      <c r="N1921" s="25"/>
      <c r="O1921" s="28"/>
      <c r="P1921" s="25"/>
      <c r="Q1921" s="25"/>
      <c r="R1921" s="25"/>
      <c r="S1921" s="25"/>
      <c r="T1921" s="25"/>
      <c r="U1921" s="25"/>
      <c r="V1921" s="25"/>
      <c r="W1921" s="25"/>
      <c r="X1921" s="25"/>
      <c r="Y1921" s="25"/>
      <c r="Z1921" s="25"/>
      <c r="AA1921" s="25"/>
      <c r="AB1921" s="25"/>
      <c r="AC1921" s="25"/>
      <c r="AD1921" s="25"/>
      <c r="AE1921" s="25"/>
      <c r="AF1921" s="25"/>
      <c r="AG1921" s="25"/>
      <c r="AH1921" s="25"/>
      <c r="AI1921" s="25"/>
      <c r="AJ1921" s="25"/>
      <c r="AK1921" s="25"/>
      <c r="AL1921" s="25"/>
      <c r="AM1921" s="25"/>
      <c r="AN1921" s="25"/>
      <c r="AO1921" s="25"/>
      <c r="AP1921" s="25"/>
      <c r="AQ1921" s="25"/>
      <c r="AR1921" s="25"/>
      <c r="AS1921" s="25"/>
      <c r="AT1921" s="25"/>
      <c r="AU1921" s="25"/>
      <c r="AV1921" s="25"/>
      <c r="AW1921" s="25"/>
      <c r="AX1921" s="25"/>
      <c r="AY1921" s="25"/>
      <c r="AZ1921" s="25"/>
      <c r="BA1921" s="25"/>
      <c r="BB1921" s="25"/>
      <c r="BC1921" s="25"/>
      <c r="BD1921" s="25"/>
      <c r="BE1921" s="25"/>
      <c r="BF1921" s="25"/>
      <c r="BG1921" s="25"/>
      <c r="BH1921" s="25"/>
      <c r="BI1921" s="25"/>
      <c r="BJ1921" s="25"/>
      <c r="BK1921" s="25"/>
      <c r="BL1921" s="25"/>
      <c r="BM1921" s="25"/>
      <c r="BN1921" s="25"/>
      <c r="BO1921" s="25"/>
      <c r="BP1921" s="25"/>
      <c r="BQ1921" s="25"/>
      <c r="BR1921" s="25"/>
      <c r="BS1921" s="25"/>
      <c r="BT1921" s="25"/>
      <c r="BU1921" s="25"/>
      <c r="BV1921" s="25"/>
      <c r="BW1921" s="25"/>
      <c r="BX1921" s="25"/>
      <c r="BY1921" s="25"/>
      <c r="BZ1921" s="25"/>
      <c r="CA1921" s="25"/>
      <c r="CB1921" s="25"/>
    </row>
    <row r="1922" spans="1:80" ht="12.75" customHeight="1">
      <c r="A1922" s="10"/>
      <c r="B1922" s="41"/>
      <c r="C1922" s="41"/>
      <c r="D1922" s="42"/>
      <c r="E1922" s="15"/>
      <c r="F1922" s="15"/>
      <c r="G1922" s="44"/>
      <c r="H1922" s="12"/>
      <c r="I1922" s="13"/>
      <c r="J1922" s="14"/>
      <c r="K1922" s="15"/>
      <c r="L1922" s="16"/>
      <c r="M1922" s="17"/>
      <c r="N1922" s="15"/>
      <c r="O1922" s="18"/>
      <c r="P1922" s="15"/>
      <c r="Q1922" s="15"/>
      <c r="R1922" s="15"/>
      <c r="S1922" s="15"/>
      <c r="T1922" s="15"/>
      <c r="U1922" s="15"/>
      <c r="V1922" s="15"/>
      <c r="W1922" s="15"/>
      <c r="X1922" s="15"/>
      <c r="Y1922" s="15"/>
      <c r="Z1922" s="15"/>
      <c r="AA1922" s="15"/>
      <c r="AB1922" s="15"/>
      <c r="AC1922" s="15"/>
      <c r="AD1922" s="15"/>
      <c r="AE1922" s="15"/>
      <c r="AF1922" s="15"/>
      <c r="AG1922" s="15"/>
      <c r="AH1922" s="15"/>
      <c r="AI1922" s="15"/>
      <c r="AJ1922" s="15"/>
      <c r="AK1922" s="15"/>
      <c r="AL1922" s="15"/>
      <c r="AM1922" s="15"/>
      <c r="AN1922" s="15"/>
      <c r="AO1922" s="15"/>
      <c r="AP1922" s="15"/>
      <c r="AQ1922" s="15"/>
      <c r="AR1922" s="15"/>
      <c r="AS1922" s="15"/>
      <c r="AT1922" s="15"/>
      <c r="AU1922" s="15"/>
      <c r="AV1922" s="15"/>
      <c r="AW1922" s="15"/>
      <c r="AX1922" s="15"/>
      <c r="AY1922" s="15"/>
      <c r="AZ1922" s="15"/>
      <c r="BA1922" s="15"/>
      <c r="BB1922" s="15"/>
      <c r="BC1922" s="15"/>
      <c r="BD1922" s="15"/>
      <c r="BE1922" s="15"/>
      <c r="BF1922" s="15"/>
      <c r="BG1922" s="15"/>
      <c r="BH1922" s="15"/>
      <c r="BI1922" s="15"/>
      <c r="BJ1922" s="15"/>
      <c r="BK1922" s="15"/>
      <c r="BL1922" s="15"/>
      <c r="BM1922" s="15"/>
      <c r="BN1922" s="15"/>
      <c r="BO1922" s="15"/>
      <c r="BP1922" s="15"/>
      <c r="BQ1922" s="15"/>
      <c r="BR1922" s="15"/>
      <c r="BS1922" s="15"/>
      <c r="BT1922" s="15"/>
      <c r="BU1922" s="15"/>
      <c r="BV1922" s="15"/>
      <c r="BW1922" s="15"/>
      <c r="BX1922" s="15"/>
      <c r="BY1922" s="15"/>
      <c r="BZ1922" s="15"/>
      <c r="CA1922" s="15"/>
      <c r="CB1922" s="15"/>
    </row>
  </sheetData>
  <sheetProtection algorithmName="SHA-512" hashValue="/HxCY73yTgFQ8YzbXS7dyMQ4UOOeXIq+zSf3m7POGTOc0qbB7x+InDz7iIXvh783MJvTlMPGO/Wdk/1t5VQqpQ==" saltValue="JmE+PX+/W1ADmFyvUPB8BQ==" spinCount="100000" sheet="1" objects="1" scenarios="1"/>
  <autoFilter ref="A6:O1837" xr:uid="{00000000-0009-0000-0000-000000000000}">
    <filterColumn colId="0">
      <filters>
        <filter val="2023"/>
        <filter val="2024"/>
        <filter val="2025"/>
      </filters>
    </filterColumn>
  </autoFilter>
  <customSheetViews>
    <customSheetView guid="{8A77F242-7CAD-493F-B79A-34784C6BEF50}" filter="1" showAutoFilter="1">
      <pageMargins left="0.7" right="0.7" top="0.75" bottom="0.75" header="0.3" footer="0.3"/>
      <autoFilter ref="A6:CB1856" xr:uid="{62FBF021-69AB-45D1-B665-D9F21AF00862}">
        <filterColumn colId="6">
          <filters>
            <filter val="Abbots Park, Chester, Cheshire West and Chester CH1 4AN"/>
            <filter val="Acre Nook SQW, Chelford"/>
            <filter val="adj Barnston Road, Barnston, Wirral CH61"/>
            <filter val="Alsager, Radway Green"/>
            <filter val="Appleton Thorn"/>
            <filter val="Arley"/>
            <filter val="Astbury Mere CP"/>
            <filter val="Astle SJ8273"/>
            <filter val="Audlem"/>
            <filter val="Bar mere"/>
            <filter val="Bickerton Hill"/>
            <filter val="Bidston Hill"/>
            <filter val="Birchwood Park"/>
            <filter val="Bridge Trafford"/>
            <filter val="Bridgemere, Nantwich"/>
            <filter val="Brown Knowl, Tattenhall"/>
            <filter val="Burton Marsh/BMW/Shottwick"/>
            <filter val="Burton mere wetlands"/>
            <filter val="Burton Mere Wetlands, then various Wirral Locations"/>
            <filter val="Burtonwood"/>
            <filter val="Carr Lane Pools, hale"/>
            <filter val="Carr Lane, Hoylake (Hoylake)"/>
            <filter val="Cat and Fiddle"/>
            <filter val="Chester - Hoole SJ46I"/>
            <filter val="Chester City"/>
            <filter val="Chester Zoo Elephant House"/>
            <filter val="Chester Zoo Rhino Enclosure"/>
            <filter val="Crewe Business Park"/>
            <filter val="Crewe, Basford Hall Sidings"/>
            <filter val="Culcheth"/>
            <filter val="Danebower"/>
            <filter val="Danes Moss"/>
            <filter val="Delamere Forest, Blakemere Moss"/>
            <filter val="Doddington Pool (Crewe)"/>
            <filter val="Dovepoint Meols"/>
            <filter val="Eddisbury, Delamere"/>
            <filter val="Egerton Park"/>
            <filter val="Elton Hall Flash Sandbach"/>
            <filter val="Eton Hall Flash, Sandbach"/>
            <filter val="Frodsham Marsh, Manchester Ship Canal"/>
            <filter val="Frodsham No 3 Tank"/>
            <filter val="Frodsham No 4 Tank"/>
            <filter val="Frodsham No 6 tank"/>
            <filter val="Frodsham, Lordship Lane"/>
            <filter val="Frodsham/Ince"/>
            <filter val="Glazebury Sewage Works"/>
            <filter val="Gowy Meadows"/>
            <filter val="Groby Flash, Sandbach Flash"/>
            <filter val="Hale Head Lighthouse"/>
            <filter val="Hale shore"/>
            <filter val="Hale Village"/>
            <filter val="Halebank"/>
            <filter val="Hassall Green SE of Sandbach"/>
            <filter val="Heswall Sewage Works"/>
            <filter val="hilbre"/>
            <filter val="Hilbre Bird Observatory"/>
            <filter val="Hilbre from Hoylake"/>
            <filter val="Hockenhall Plats"/>
            <filter val="Hockenhall Platts (SJ46 S)"/>
            <filter val="hoylake"/>
            <filter val="Hoylake and Hilbre"/>
            <filter val="Hoylake and Meols"/>
            <filter val="Hoylake Langfields"/>
            <filter val="Hoylake Municiple GC"/>
            <filter val="Hoylake Queens Park"/>
            <filter val="Hoylake seafront"/>
            <filter val="Hoylake Shore"/>
            <filter val="Hoylake, Stanley Rd"/>
            <filter val="Hoylake, then Meols"/>
            <filter val="Huddleston Close Woodchurch, Upton"/>
            <filter val="Ince Marsh"/>
            <filter val="Kingsmead"/>
            <filter val="Lapwing Hall Pool, Chelford"/>
            <filter val="Leasowe/Meols"/>
            <filter val="Little Neston"/>
            <filter val="Little Neston, Colliery flash"/>
            <filter val="Little Sutton, Elesmere Port"/>
            <filter val="Lyme Park, Disley"/>
            <filter val="Lymm Dam, Lymm"/>
            <filter val="Macclesfield"/>
            <filter val="Macclesfield Forest, Teggs Nose"/>
            <filter val="Macclesfield Forest, Trentabank"/>
            <filter val="Macclesfield SK10 4TA"/>
            <filter val="Marbury, nr Wrenbury"/>
            <filter val="Marbury, Whitchurch"/>
            <filter val="Maw Green, Sandbach"/>
            <filter val="Meols"/>
            <filter val="Meols - Leasowe"/>
            <filter val="Meols &amp; Hoylake"/>
            <filter val="Meols (Roman Rd)"/>
            <filter val="Meols Foreshore"/>
            <filter val="Meols Promenade"/>
            <filter val="Meols SF"/>
            <filter val="Meols, Roman Rd"/>
            <filter val="Meols/Leasowe"/>
            <filter val="Mere Farm Qaurry, Chelford"/>
            <filter val="Mere Farm Quarry"/>
            <filter val="Mollington"/>
            <filter val="Mollington, Townfield Lane"/>
            <filter val="Moore- Hilcrest Quarry"/>
            <filter val="Moore, Lapwing Lane Cross Roads"/>
            <filter val="Mount Manisty"/>
            <filter val="Neston Marsh"/>
            <filter val="New Brighton Marine Lake"/>
            <filter val="Newchurch Common"/>
            <filter val="North Wirral - Leasowe to Hilbre"/>
            <filter val="Old Runcorn Bridge, Widnes"/>
            <filter val="On the Mersey between Hale and Runcorn old Bridge and Widenes Waste Recycling"/>
            <filter val="parkgate"/>
            <filter val="Puddington area"/>
            <filter val="Pump House Flash , Sandbach"/>
            <filter val="Red Rocks, Hoylake"/>
            <filter val="Riveacre"/>
            <filter val="Sandbach, Elton hall Flash"/>
            <filter val="Sandbach, Pumphouse Flash also Rosemary's flood"/>
            <filter val="Sandymoor, Runcorn"/>
            <filter val="Sankey Valley Park"/>
            <filter val="Shotwick Fields"/>
            <filter val="Silver Lane LWS, Risley"/>
            <filter val="Silver Lane LWS, Risley Landfill, Warrington"/>
            <filter val="Silver lane Ponds"/>
            <filter val="Silver Lane Pools"/>
            <filter val="Spital"/>
            <filter val="Sutton Weaver"/>
            <filter val="Tatton park"/>
            <filter val="The Chase, Welsh Rd, Little Sutton, Ellesmere Port"/>
            <filter val="Thurstaston"/>
            <filter val="Wallasey Coastguards"/>
            <filter val="Wardle"/>
            <filter val="Warford"/>
            <filter val="Waste recyling centre, widnes"/>
            <filter val="West Kirby, ML, Hilbre"/>
            <filter val="Westbrook"/>
            <filter val="Widnes, Runcorn area"/>
            <filter val="Widnes, Runcorn Old Bridge"/>
            <filter val="Wigg Island"/>
            <filter val="Wilboarclough"/>
            <filter val="Wimbolds Trafford"/>
            <filter val="Wirral [location witheld]"/>
            <filter val="Woolson Eyes"/>
            <filter val="Woolston Eyes - Bed 1"/>
            <filter val="Woolston Eyes , No 4 Bed"/>
            <filter val="Woolston Eyes Number 3 bed"/>
            <filter val="Woolston No 3 Bed"/>
            <filter val="Woolston No 4 Bed"/>
            <filter val="Woolston, Butchersfield Tip"/>
            <filter val="Wrenbury"/>
            <filter val="Wynbunbry"/>
          </filters>
        </filterColumn>
      </autoFilter>
    </customSheetView>
    <customSheetView guid="{C5490FD7-31B3-494F-B1E2-FE930956F72D}" filter="1" showAutoFilter="1">
      <pageMargins left="0.7" right="0.7" top="0.75" bottom="0.75" header="0.3" footer="0.3"/>
      <autoFilter ref="A6:CB1747" xr:uid="{268F9290-CA46-4563-935E-3EC0669CE744}">
        <filterColumn colId="13">
          <filters>
            <filter val="Accepted"/>
            <filter val="Accepted - Out of region"/>
            <filter val="accepted as eastern"/>
            <filter val="accepted by proxy"/>
            <filter val="Accepted w/o circ"/>
            <filter val="accepted w/o circulation"/>
            <filter val="Accepted w/o/circulation"/>
            <filter val="Accepted without circulation"/>
            <filter val="BBRC"/>
            <filter val="BBRC - not submitted"/>
            <filter val="BBRC -IC"/>
            <filter val="BBRC OK"/>
            <filter val="BBRC-IC"/>
            <filter val="BBRC-Not submitted"/>
            <filter val="BBRC-NP"/>
            <filter val="BBRC-OK"/>
            <filter val="BBRC-PEND"/>
            <filter val="Cat D"/>
            <filter val="Check"/>
            <filter val="description  not needed"/>
            <filter val="Description not needed"/>
            <filter val="error/escape"/>
            <filter val="in Circulation"/>
            <filter val="not submtted"/>
            <filter val="not sumbitted"/>
          </filters>
        </filterColumn>
      </autoFilter>
    </customSheetView>
    <customSheetView guid="{C7007AEB-2C1A-4773-9C47-D2BACEBA8AFB}" filter="1" showAutoFilter="1">
      <pageMargins left="0.7" right="0.7" top="0.75" bottom="0.75" header="0.3" footer="0.3"/>
      <autoFilter ref="A6:CB1742" xr:uid="{F4AA1501-8292-4C6C-85E3-F0E3FF08E01A}">
        <filterColumn colId="6">
          <filters>
            <filter val="Abbots Park, Chester, Cheshire West and Chester CH1 4AN"/>
            <filter val="Acre Nook SQW, Chelford"/>
            <filter val="adj Barnston Road, Barnston, Wirral CH61"/>
            <filter val="Alsager, Radway Green"/>
            <filter val="Appleton Thorn"/>
            <filter val="Arley"/>
            <filter val="Astbury Mere CP"/>
            <filter val="Astle SJ8273"/>
            <filter val="at sea 7m NNW of hilbre"/>
            <filter val="Audlem"/>
            <filter val="Bar mere"/>
            <filter val="Bickerton Hill"/>
            <filter val="Bidston Hill"/>
            <filter val="Bridgemere, Nantwich"/>
            <filter val="Brown Knowl, Tattenhall"/>
            <filter val="Burton Marsh/BMW/Shottwick"/>
            <filter val="Burtonwood"/>
            <filter val="Carr Lane Pools, hale"/>
            <filter val="Cat and Fiddle"/>
            <filter val="Chester City"/>
            <filter val="Culcheth"/>
            <filter val="Danes Moss"/>
            <filter val="Delamere Forest, Blakemere Moss"/>
            <filter val="Doddington Pool (Crewe)"/>
            <filter val="Eddisbury, Delamere"/>
            <filter val="Egerton Park"/>
            <filter val="Eton Hall Flash, Sandbach"/>
            <filter val="Frodsham Marsh, Manchester Ship Canal"/>
            <filter val="Frodsham No 3 Tank"/>
            <filter val="Frodsham No 4 Tank"/>
            <filter val="Frodsham No 6 tank"/>
            <filter val="Frodsham/Ince"/>
            <filter val="Gowy Meadows"/>
            <filter val="Groby Flash, Sandbach Flash"/>
            <filter val="Hale shore"/>
            <filter val="Hale Village"/>
            <filter val="Halebank"/>
            <filter val="Hassall Green SE of Sandbach"/>
            <filter val="hilbre"/>
            <filter val="Hilbre from Hoylake"/>
            <filter val="Hockenhall Plats"/>
            <filter val="Hockenhall Platts (SJ46 S)"/>
            <filter val="hoylake"/>
            <filter val="Hoylake and Hilbre"/>
            <filter val="Ince Marsh"/>
            <filter val="Kingsmead"/>
            <filter val="Lapwing Hall Pool, Chelford"/>
            <filter val="Little Sutton, Elesmere Port"/>
            <filter val="Lyme Park, Disley"/>
            <filter val="Lymm Dam, Lymm"/>
            <filter val="Macclesfield"/>
            <filter val="Macclesfield Forest, Teggs Nose"/>
            <filter val="Macclesfield Forest, Trentabank"/>
            <filter val="Macclesfield SK10 4TA"/>
            <filter val="Marbury, nr Wrenbury"/>
            <filter val="Maw Green, Sandbach"/>
            <filter val="Meols - Leasowe"/>
            <filter val="Meols &amp; Hoylake"/>
            <filter val="Meols (Roman Rd)"/>
            <filter val="Meols Promenade"/>
            <filter val="Meols/Leasowe"/>
            <filter val="Mere Farm Quarry"/>
            <filter val="Mollington"/>
            <filter val="Mount Manisty"/>
            <filter val="New Brighton Marine Lake"/>
            <filter val="Newchurch Common"/>
            <filter val="North Wirral - Leasowe to Hilbre"/>
            <filter val="Old Runcorn Bridge, Widnes"/>
            <filter val="parkgate"/>
            <filter val="Puddington area"/>
            <filter val="Pump House Flash , Sandbach"/>
            <filter val="Riveacre"/>
            <filter val="Sandymoor, Runcorn"/>
            <filter val="Shotwick Fields"/>
            <filter val="Silver Lane Pools"/>
            <filter val="Spital"/>
            <filter val="Sutton Weaver"/>
            <filter val="Tatton park"/>
            <filter val="Wallasey Coastguards"/>
            <filter val="Wardle"/>
            <filter val="West Kirby, ML, Hilbre"/>
            <filter val="Wigg Island"/>
            <filter val="Wilboarclough"/>
            <filter val="Wimbolds Trafford"/>
            <filter val="Wirral [location witheld]"/>
            <filter val="Woolston Eyes Number 3 bed"/>
            <filter val="Wynbunbry"/>
          </filters>
        </filterColumn>
      </autoFilter>
    </customSheetView>
    <customSheetView guid="{185EAA8B-2199-4D8E-AB5C-87699C996076}" filter="1" showAutoFilter="1">
      <pageMargins left="0.7" right="0.7" top="0.75" bottom="0.75" header="0.3" footer="0.3"/>
      <autoFilter ref="A6:CB1742" xr:uid="{326D8CFF-E287-4FF9-94B3-620FAA6C9869}">
        <filterColumn colId="6">
          <filters>
            <filter val="Abbots Park, Chester, Cheshire West and Chester CH1 4AN"/>
            <filter val="Acre Nook SQW, Chelford"/>
            <filter val="adj Barnston Road, Barnston, Wirral CH61"/>
            <filter val="Alsager, Radway Green"/>
            <filter val="Appleton Thorn"/>
            <filter val="Arley"/>
            <filter val="Ashton's Flash"/>
            <filter val="Astbury Mere CP"/>
            <filter val="Astle SJ8273"/>
            <filter val="Audlem"/>
            <filter val="Bar mere"/>
            <filter val="Bickerton Hill"/>
            <filter val="Bidston Hill"/>
            <filter val="Bridgemere, Nantwich"/>
            <filter val="Brown Knowl, Tattenhall"/>
            <filter val="Budworth Mere, Marbury Country Park"/>
            <filter val="Burton Marsh/BMW/Shottwick"/>
            <filter val="Burtonwood"/>
            <filter val="Carr Lane Pools, hale"/>
            <filter val="Cat and Fiddle"/>
            <filter val="Chester City"/>
            <filter val="Culcheth"/>
            <filter val="Danes Moss"/>
            <filter val="Delamere Forest, Blakemere Moss"/>
            <filter val="Doddington Pool (Crewe)"/>
            <filter val="Eddisbury, Delamere"/>
            <filter val="Egerton Park"/>
            <filter val="Eton Hall Flash, Sandbach"/>
            <filter val="Frodsham Marsh, Manchester Ship Canal"/>
            <filter val="Frodsham No 3 Tank"/>
            <filter val="Frodsham No 4 Tank"/>
            <filter val="Frodsham No 6 tank"/>
            <filter val="Frodsham then Neumanns"/>
            <filter val="Frodsham/Ince"/>
            <filter val="Gowy Meadows"/>
            <filter val="Groby Flash, Sandbach Flash"/>
            <filter val="Hale shore"/>
            <filter val="Hale Village"/>
            <filter val="Halebank"/>
            <filter val="Hassall Green SE of Sandbach"/>
            <filter val="Hayden's Pool Marbury Country Park"/>
            <filter val="hilbre"/>
            <filter val="Hockenhall Plats"/>
            <filter val="Hockenhall Platts (SJ46 S)"/>
            <filter val="hoylake"/>
            <filter val="Ince Marsh"/>
            <filter val="Kingsmead"/>
            <filter val="Lapwing Hall Pool, Chelford"/>
            <filter val="Little Sutton, Elesmere Port"/>
            <filter val="Lyme Park, Disley"/>
            <filter val="Lymm Dam, Lymm"/>
            <filter val="Macclesfield"/>
            <filter val="Macclesfield Forest, Teggs Nose"/>
            <filter val="Macclesfield Forest, Trentabank"/>
            <filter val="Macclesfield SK10 4TA"/>
            <filter val="Marbury (South)"/>
            <filter val="Marbury Country Park"/>
            <filter val="Marbury CP"/>
            <filter val="Marbury, nr Wrenbury"/>
            <filter val="Maw Green, Sandbach"/>
            <filter val="Meols - Leasowe"/>
            <filter val="Meols &amp; Hoylake"/>
            <filter val="Meols (Roman Rd)"/>
            <filter val="Meols Promenade"/>
            <filter val="Meols/Leasowe"/>
            <filter val="Mere Farm Quarry"/>
            <filter val="Mollington"/>
            <filter val="Mount Manisty"/>
            <filter val="Neumann's and Ashton Flashes"/>
            <filter val="Neumann's Flash"/>
            <filter val="Neumann's Flash Northwich"/>
            <filter val="Neumann's Flash then Ashton's Flash"/>
            <filter val="New Brighton Marine Lake"/>
            <filter val="Newchurch Common"/>
            <filter val="North Wirral - Leasowe to Hilbre"/>
            <filter val="Old Runcorn Bridge, Widnes"/>
            <filter val="parkgate"/>
            <filter val="Puddington area"/>
            <filter val="Pump House Flash , Sandbach"/>
            <filter val="Riveacre"/>
            <filter val="Sandymoor, Runcorn"/>
            <filter val="Shotwick Fields"/>
            <filter val="Silver Lane Pools"/>
            <filter val="Spital"/>
            <filter val="Sutton Weaver"/>
            <filter val="Tatton park"/>
            <filter val="Wallasey Coastguards"/>
            <filter val="Wardle"/>
            <filter val="West Kirby, ML, Hilbre"/>
            <filter val="Wigg Island"/>
            <filter val="Wilboarclough"/>
            <filter val="Wimbolds Trafford"/>
            <filter val="Wirral [location witheld]"/>
            <filter val="Woolston Eyes Number 3 bed"/>
            <filter val="Wynbunbry"/>
          </filters>
        </filterColumn>
      </autoFilter>
    </customSheetView>
    <customSheetView guid="{11C6454E-9329-41AF-A653-8A39E64D8C82}" filter="1" showAutoFilter="1">
      <pageMargins left="0.7" right="0.7" top="0.75" bottom="0.75" header="0.3" footer="0.3"/>
      <autoFilter ref="A6:CB1742" xr:uid="{B4860EBF-31D7-41E2-8711-8699E2842B83}">
        <filterColumn colId="6">
          <filters>
            <filter val="Abbots Park, Chester, Cheshire West and Chester CH1 4AN"/>
            <filter val="Acre Nook SQW, Chelford"/>
            <filter val="adj Barnston Road, Barnston, Wirral CH61"/>
            <filter val="Alsager, Radway Green"/>
            <filter val="Appleton Thorn"/>
            <filter val="Arley"/>
            <filter val="Astbury Mere CP"/>
            <filter val="Astle SJ8273"/>
            <filter val="Audlem"/>
            <filter val="Bar mere"/>
            <filter val="Bickerton Hill"/>
            <filter val="Bidston Hill"/>
            <filter val="Bridgemere, Nantwich"/>
            <filter val="Brook Furlong Lane, Frodsham Marsh"/>
            <filter val="Brown Knowl, Tattenhall"/>
            <filter val="Burton Marsh/BMW/Shottwick"/>
            <filter val="Burton Mere Wetlands"/>
            <filter val="Burton Mere Wetlands (BMW) RSPB"/>
            <filter val="Burtonwood"/>
            <filter val="Carr Lane Pools, hale"/>
            <filter val="Cat and Fiddle"/>
            <filter val="Chester City"/>
            <filter val="Culcheth"/>
            <filter val="Danes Moss"/>
            <filter val="Delamere Forest, Blakemere Moss"/>
            <filter val="Eddisbury, Delamere"/>
            <filter val="Egerton Park"/>
            <filter val="Eton Hall Flash, Sandbach"/>
            <filter val="Frodsham"/>
            <filter val="Frodsham - (precise location witheld)"/>
            <filter val="Frodsham Hill Wood"/>
            <filter val="Frodsham Marsh"/>
            <filter val="Frodsham Marsh No6"/>
            <filter val="Frodsham Marsh, Manchester Ship Canal"/>
            <filter val="Frodsham No 3 Tank"/>
            <filter val="Frodsham No 4 Tank"/>
            <filter val="Frodsham No 6 tank"/>
            <filter val="Frodsham No6"/>
            <filter val="Frodsham then Neumanns"/>
            <filter val="Frodsham, No 4 Tank"/>
            <filter val="Frodsham, No 6 bed"/>
            <filter val="Frodsham, Weaver just south of A56"/>
            <filter val="Frodsham/Ince"/>
            <filter val="Gowy Meadows"/>
            <filter val="Groby Flash, Sandbach Flash"/>
            <filter val="Hale shore"/>
            <filter val="Hale Village"/>
            <filter val="Halebank"/>
            <filter val="Hassall Green SE of Sandbach"/>
            <filter val="hilbre"/>
            <filter val="Hockenhall Plats"/>
            <filter val="Hockenhall Platts (SJ46 S)"/>
            <filter val="hoylake"/>
            <filter val="ICI Tank, Frodsham Marsh"/>
            <filter val="Ince Marsh"/>
            <filter val="Kingsmead"/>
            <filter val="Lapwing Hall Pool, Chelford"/>
            <filter val="Lower Weaver flood plain"/>
            <filter val="Lyme Park, Disley"/>
            <filter val="Lymm Dam, Lymm"/>
            <filter val="Macclesfield"/>
            <filter val="Macclesfield Forest, Teggs Nose"/>
            <filter val="Macclesfield Forest, Trentabank"/>
            <filter val="Macclesfield SK10 4TA"/>
            <filter val="Marbury, nr Wrenbury"/>
            <filter val="Maw Green, Sandbach"/>
            <filter val="Meols - Leasowe"/>
            <filter val="Meols &amp; Hoylake"/>
            <filter val="Meols (Roman Rd)"/>
            <filter val="Meols Promenade"/>
            <filter val="Meols/Leasowe"/>
            <filter val="Mere Farm Quarry"/>
            <filter val="Mollington"/>
            <filter val="Mount Manisty"/>
            <filter val="New Brighton Marine Lake"/>
            <filter val="Newchurch Common"/>
            <filter val="No. 1 Tank, Frodsham Marsh"/>
            <filter val="No. 3 Tank, Frodsham Marsh"/>
            <filter val="No. 4 Tank, Frodsham Marsh"/>
            <filter val="No. 6 Tank, Frodsham Marsh"/>
            <filter val="North Wirral - Leasowe to Hilbre"/>
            <filter val="Old Runcorn Bridge, Widnes"/>
            <filter val="parkgate"/>
            <filter val="Puddington area"/>
            <filter val="Pump House Flash , Sandbach"/>
            <filter val="Redwall Reed-bed, Frodsham Marsh"/>
            <filter val="Riveacre"/>
            <filter val="Sandymoor, Runcorn"/>
            <filter val="Shotwick Fields"/>
            <filter val="Silver Lane Pools"/>
            <filter val="Spital"/>
            <filter val="Sutton Weaver"/>
            <filter val="Tatton park"/>
            <filter val="Wallasey Coastguards"/>
            <filter val="Wardle"/>
            <filter val="Weaver Bend, Frodsham Marsh"/>
            <filter val="Weaver Estuary"/>
            <filter val="Weaver Estuary, Frodsham Marsh"/>
            <filter val="West Kirby, ML, Hilbre"/>
            <filter val="Wigg Island"/>
            <filter val="Wilboarclough"/>
            <filter val="Wimbolds Trafford"/>
            <filter val="Wirral [location witheld]"/>
            <filter val="Woolston Eyes Number 3 bed"/>
            <filter val="Wynbunbry"/>
          </filters>
        </filterColumn>
      </autoFilter>
    </customSheetView>
    <customSheetView guid="{77B2E5D6-2D1D-46D6-B4C5-D539AD9F6E76}" filter="1" showAutoFilter="1">
      <pageMargins left="0.7" right="0.7" top="0.75" bottom="0.75" header="0.3" footer="0.3"/>
      <autoFilter ref="A6:CB1742" xr:uid="{9BFB61D0-5D5E-41A4-88DB-D9F5AC472B5D}">
        <filterColumn colId="6">
          <filters>
            <filter val="Abbots Park, Chester, Cheshire West and Chester CH1 4AN"/>
            <filter val="Acre Nook SQW, Chelford"/>
            <filter val="adj Barnston Road, Barnston, Wirral CH61"/>
            <filter val="Alsager, Radway Green"/>
            <filter val="Altrincham SF"/>
            <filter val="Appleton Thorn"/>
            <filter val="Arley"/>
            <filter val="Astbury Mere CP"/>
            <filter val="Astle SJ8273"/>
            <filter val="Audlem"/>
            <filter val="Bar mere"/>
            <filter val="Bebington"/>
            <filter val="Bickerton Hill"/>
            <filter val="Bidston Hill"/>
            <filter val="Bridgemere, Nantwich"/>
            <filter val="Brown Knowl, Tattenhall"/>
            <filter val="Budworth Mere"/>
            <filter val="Burton Marsh/BMW/Shottwick"/>
            <filter val="Burtonwood"/>
            <filter val="Caldy"/>
            <filter val="Carr Lane Pools, hale"/>
            <filter val="Cat and Fiddle"/>
            <filter val="Chelford, East Lake MFQ"/>
            <filter val="Chester City"/>
            <filter val="Congelton"/>
            <filter val="Culcheth"/>
            <filter val="Danebower"/>
            <filter val="Danes Moss"/>
            <filter val="Delamere"/>
            <filter val="Delamere Forest, Blakemere Moss"/>
            <filter val="Denhall Lane, Burton"/>
            <filter val="Dibbinsdale"/>
            <filter val="Doddington Pool (Crewe)"/>
            <filter val="Eddisbury, Delamere"/>
            <filter val="Egerton Park"/>
            <filter val="Ellesmere Port"/>
            <filter val="Eton Hall Flash, Sandbach"/>
            <filter val="Frodsham Marsh, Manchester Ship Canal"/>
            <filter val="Frodsham No 3 Tank"/>
            <filter val="Frodsham No 4 Tank"/>
            <filter val="Frodsham No 6 tank"/>
            <filter val="Frodsham then Neumanns"/>
            <filter val="Frodsham/Ince"/>
            <filter val="Gatewarth"/>
            <filter val="Gowy Meadows"/>
            <filter val="Great Sankey, Gatewarth Industrial Estate"/>
            <filter val="Groby Flash, Sandbach Flash"/>
            <filter val="Hale shore"/>
            <filter val="Hale Village"/>
            <filter val="Halebank"/>
            <filter val="Hassall Green SE of Sandbach"/>
            <filter val="hilbre"/>
            <filter val="Hockenhall Plats"/>
            <filter val="Hockenhall Platts (SJ46 S)"/>
            <filter val="hoylake"/>
            <filter val="Hoylake and Hilbre"/>
            <filter val="Hoylake and Meols"/>
            <filter val="Ince Marsh"/>
            <filter val="Kelsall"/>
            <filter val="Kingsmead"/>
            <filter val="Lapwing Hall Pool, Chelford"/>
            <filter val="Latchford Locks, Warrington"/>
            <filter val="Little Neston"/>
            <filter val="Little Sutton, Elesmere Port"/>
            <filter val="Lyme Park, Disley"/>
            <filter val="Lymm Dam, Lymm"/>
            <filter val="Macclesfield"/>
            <filter val="Macclesfield Forest, Teggs Nose"/>
            <filter val="Macclesfield Forest, Trentabank"/>
            <filter val="Macclesfield SK10 4TA"/>
            <filter val="Martson"/>
            <filter val="Maw Green, Sandbach"/>
            <filter val="Meols - Leasowe"/>
            <filter val="Meols &amp; Hoylake"/>
            <filter val="Meols (Roman Rd)"/>
            <filter val="Meols Promenade"/>
            <filter val="Meols/Leasowe"/>
            <filter val="Mere Farm Qaurry, Chelford"/>
            <filter val="Mere Farm Quarry"/>
            <filter val="Mollington"/>
            <filter val="Moreton"/>
            <filter val="Mount Manisty"/>
            <filter val="MSC and Woolston #3 and #4 bed"/>
            <filter val="Neumann's Flash then Ashton's Flash"/>
            <filter val="New Brighton Marine Lake"/>
            <filter val="New Ferry"/>
            <filter val="No. 1 Bed, Woolston Eyes"/>
            <filter val="No. 3 Bed, Woolston Eyes"/>
            <filter val="North Wirral - Leasowe to Hilbre"/>
            <filter val="Oakmere, Delamere Lake"/>
            <filter val="Old Runcorn Bridge, Widnes"/>
            <filter val="parkgate"/>
            <filter val="Puddington area"/>
            <filter val="Pump House Flash , Sandbach"/>
            <filter val="Redesmere"/>
            <filter val="Riveacre"/>
            <filter val="River Mersey, Woolston Eyes"/>
            <filter val="Royden Park"/>
            <filter val="Runcorn"/>
            <filter val="Sandymoor, Runcorn"/>
            <filter val="Saughall"/>
            <filter val="Shavington, Crewe"/>
            <filter val="Shotton"/>
            <filter val="Shotwich"/>
            <filter val="Shotwick Fields"/>
            <filter val="Shotwick Lake (Wales)"/>
            <filter val="Silver Lane Pools"/>
            <filter val="Silver Lane Pools, Risley"/>
            <filter val="Spital"/>
            <filter val="Stockport"/>
            <filter val="Sutton Weaver"/>
            <filter val="Tarvin"/>
            <filter val="Tatton"/>
            <filter val="Tatton park"/>
            <filter val="Thustaston"/>
            <filter val="Upton"/>
            <filter val="Wallasey Coastguards"/>
            <filter val="Walton Res"/>
            <filter val="Wardle"/>
            <filter val="Weaver Estuary"/>
            <filter val="Weaverham"/>
            <filter val="West Bank, Runcorn"/>
            <filter val="West Kirby, ML, Hilbre"/>
            <filter val="Widnes,"/>
            <filter val="Widnes, Ditton Toat WSR recucling"/>
            <filter val="Widnes, WSR recycling"/>
            <filter val="Wigg Island"/>
            <filter val="Wilboarclough"/>
            <filter val="Wimbolds Trafford"/>
            <filter val="Windhather Rocks, Kettlehulme (Derby?)"/>
            <filter val="Wirral [location witheld]"/>
            <filter val="Witton Flashes"/>
            <filter val="Woolston"/>
            <filter val="Woolston Eyes"/>
            <filter val="Woolston Eyes NO 3"/>
            <filter val="Woolston Eyes No 3 Bed"/>
            <filter val="Woolston Eyes NR"/>
            <filter val="Woolston Eyes Number 3 bed"/>
            <filter val="Woolston, Warrington"/>
            <filter val="Wrenbury"/>
            <filter val="Wynbunbry"/>
          </filters>
        </filterColumn>
      </autoFilter>
    </customSheetView>
    <customSheetView guid="{288CB0A4-4D33-4904-A04E-48AEF1E0E3EA}" filter="1" showAutoFilter="1">
      <pageMargins left="0.7" right="0.7" top="0.75" bottom="0.75" header="0.3" footer="0.3"/>
      <autoFilter ref="A6:CB1742" xr:uid="{86C80D5E-87D9-46BF-903A-1E5BA1E9D7DE}">
        <filterColumn colId="13">
          <filters>
            <filter val="Accepted"/>
            <filter val="Accepted - Out of region"/>
            <filter val="accepted as eastern"/>
            <filter val="Accepted by Proxy"/>
            <filter val="Accepted w/o circ"/>
            <filter val="accepted w/o circulation"/>
            <filter val="Accepted w/o/circulation"/>
            <filter val="Accepted without circulation"/>
            <filter val="BBRC"/>
            <filter val="BBRC - not submitted"/>
            <filter val="BBRC -IC"/>
            <filter val="BBRC OK"/>
            <filter val="BBRC-IC"/>
            <filter val="BBRC-Not submitted"/>
            <filter val="BBRC-NP"/>
            <filter val="BBRC-OK"/>
            <filter val="BBRC-PEND"/>
            <filter val="Check"/>
            <filter val="description  not needed"/>
            <filter val="Description not needed"/>
            <filter val="error/escape"/>
            <filter val="not submitted"/>
            <filter val="not submtted"/>
            <filter val="not sumbitted"/>
          </filters>
        </filterColumn>
      </autoFilter>
    </customSheetView>
    <customSheetView guid="{C0755F46-240A-478C-93CA-A5132B2C7623}" filter="1" showAutoFilter="1">
      <pageMargins left="0.7" right="0.7" top="0.75" bottom="0.75" header="0.3" footer="0.3"/>
      <autoFilter ref="A6:CB1742" xr:uid="{CDA8F0E1-F5B9-4D17-8512-99F97EE336DC}">
        <filterColumn colId="6">
          <filters>
            <filter val="Abbots Park, Chester, Cheshire West and Chester CH1 4AN"/>
            <filter val="Acre Nook SQW, Chelford"/>
            <filter val="adj Barnston Road, Barnston, Wirral CH61"/>
            <filter val="Alsager, Radway Green"/>
            <filter val="Altrincham SF"/>
            <filter val="Appleton Thorn"/>
            <filter val="Arley"/>
            <filter val="Astbury Mere CP"/>
            <filter val="Astle SJ8273"/>
            <filter val="Audlem"/>
            <filter val="Bar mere"/>
            <filter val="Bebington"/>
            <filter val="Bickerton Hill"/>
            <filter val="Bidston Hill"/>
            <filter val="Bridgemere, Nantwich"/>
            <filter val="Brown Knowl, Tattenhall"/>
            <filter val="Budworth Mere"/>
            <filter val="Burton Marsh/BMW/Shottwick"/>
            <filter val="Burtonwood"/>
            <filter val="Caldy"/>
            <filter val="Carr Lane Pools, hale"/>
            <filter val="Cat and Fiddle"/>
            <filter val="Chelford, East Lake MFQ"/>
            <filter val="Chester City"/>
            <filter val="Congelton"/>
            <filter val="Culcheth"/>
            <filter val="Danebower"/>
            <filter val="Danes Moss"/>
            <filter val="Delamere"/>
            <filter val="Delamere Forest, Blakemere Moss"/>
            <filter val="Denhall Lane, Burton"/>
            <filter val="Dibbinsdale"/>
            <filter val="Doddington Pool (Crewe)"/>
            <filter val="Eddisbury, Delamere"/>
            <filter val="Egerton Park"/>
            <filter val="Ellesmere Port"/>
            <filter val="Elton Hall Flash, Sandbach"/>
            <filter val="Eton Hall Flash, Sandbach"/>
            <filter val="Frodsham Marsh, Manchester Ship Canal"/>
            <filter val="Frodsham No 3 Tank"/>
            <filter val="Frodsham No 4 Tank"/>
            <filter val="Frodsham No 6 tank"/>
            <filter val="Frodsham then Neumanns"/>
            <filter val="Frodsham/Ince"/>
            <filter val="Gatewarth"/>
            <filter val="Gowy Meadows"/>
            <filter val="Great Sankey, Gatewarth Industrial Estate"/>
            <filter val="Groby Flash, Sandbach"/>
            <filter val="Groby Flash, Sandbach Flash"/>
            <filter val="Hale shore"/>
            <filter val="Hale Village"/>
            <filter val="Halebank"/>
            <filter val="Hassall Green SE of Sandbach"/>
            <filter val="hilbre"/>
            <filter val="Hockenhall Plats"/>
            <filter val="Hockenhall Platts (SJ46 S)"/>
            <filter val="hoylake"/>
            <filter val="Hoylake and Hilbre"/>
            <filter val="Hoylake and Meols"/>
            <filter val="Ince Marsh"/>
            <filter val="Kelsall"/>
            <filter val="Kingsmead"/>
            <filter val="Lapwing Hall Pool, Chelford"/>
            <filter val="Latchford Locks, Warrington"/>
            <filter val="Little Neston"/>
            <filter val="Little Sutton, Elesmere Port"/>
            <filter val="Lyme Park, Disley"/>
            <filter val="Lymm Dam, Lymm"/>
            <filter val="Macclesfield"/>
            <filter val="Macclesfield Forest, Teggs Nose"/>
            <filter val="Macclesfield Forest, Trentabank"/>
            <filter val="Macclesfield SK10 4TA"/>
            <filter val="Martson"/>
            <filter val="Maw Green Tip, Sandbach"/>
            <filter val="Maw Green, Sandbach"/>
            <filter val="Meols - Leasowe"/>
            <filter val="Meols &amp; Hoylake"/>
            <filter val="Meols (Roman Rd)"/>
            <filter val="Meols Promenade"/>
            <filter val="Meols/Leasowe"/>
            <filter val="Mere Farm Qaurry, Chelford"/>
            <filter val="Mere Farm Quarry"/>
            <filter val="Mollington"/>
            <filter val="Moreton"/>
            <filter val="Mount Manisty"/>
            <filter val="MSC and Woolston #3 and #4 bed"/>
            <filter val="Neumann's Flash then Ashton's Flash"/>
            <filter val="New Brighton Marine Lake"/>
            <filter val="New Ferry"/>
            <filter val="North Wirral - Leasowe to Hilbre"/>
            <filter val="Oakmere, Delamere Lake"/>
            <filter val="Old Runcorn Bridge, Widnes"/>
            <filter val="parkgate"/>
            <filter val="Puddington area"/>
            <filter val="Pump House Flash , Sandbach"/>
            <filter val="Quiosley Small Mere Sandbach"/>
            <filter val="Redesmere"/>
            <filter val="Riveacre"/>
            <filter val="Royden Park"/>
            <filter val="Runcorn"/>
            <filter val="Sandbach"/>
            <filter val="Sandbach [Elton Hall Flash]"/>
            <filter val="Sandbach Elton Hall Flash"/>
            <filter val="Sandbach Elworth,"/>
            <filter val="Sandbach Flashes"/>
            <filter val="Sandbach, Railway Flash"/>
            <filter val="Sandymoor, Runcorn"/>
            <filter val="Saughall"/>
            <filter val="Shavington, Crewe"/>
            <filter val="Shotton"/>
            <filter val="Shotwich"/>
            <filter val="Shotwick Fields"/>
            <filter val="Shotwick Lake (Wales)"/>
            <filter val="Silver Lane Pools"/>
            <filter val="Silver Lane Pools, Risley"/>
            <filter val="Spital"/>
            <filter val="Stockport"/>
            <filter val="Sutton Weaver"/>
            <filter val="Tarvin"/>
            <filter val="Tatton"/>
            <filter val="Tatton park"/>
            <filter val="Thustaston"/>
            <filter val="Upton"/>
            <filter val="Wallasey Coastguards"/>
            <filter val="Walton Res"/>
            <filter val="Wardle"/>
            <filter val="Watch Lane Flash, Sandbach"/>
            <filter val="Weaver Estuary"/>
            <filter val="Weaverham"/>
            <filter val="West Bank, Runcorn"/>
            <filter val="West Kirby, ML, Hilbre"/>
            <filter val="Widnes,"/>
            <filter val="Widnes, Ditton Toat WSR recucling"/>
            <filter val="Widnes, WSR recycling"/>
            <filter val="Wigg Island"/>
            <filter val="Wilboarclough"/>
            <filter val="Wimbolds Trafford"/>
            <filter val="Windhather Rocks, Kettlehulme (Derby?)"/>
            <filter val="Wirral [location witheld]"/>
            <filter val="Witton Flashes"/>
            <filter val="Woolston Eyes Number 3 bed"/>
            <filter val="Wrenbury"/>
            <filter val="Wynbunbry"/>
          </filters>
        </filterColumn>
      </autoFilter>
    </customSheetView>
    <customSheetView guid="{0E382DC1-CC16-4AC9-9229-FE0ABFB2C5F2}" filter="1" showAutoFilter="1">
      <pageMargins left="0.7" right="0.7" top="0.75" bottom="0.75" header="0.3" footer="0.3"/>
      <autoFilter ref="A6:CB1742" xr:uid="{0016054B-2EEE-4144-8AC8-1E168DAD4B5C}"/>
    </customSheetView>
    <customSheetView guid="{C45610C9-D341-4391-9239-17BD1A27FEEF}" filter="1" showAutoFilter="1">
      <pageMargins left="0.7" right="0.7" top="0.75" bottom="0.75" header="0.3" footer="0.3"/>
      <autoFilter ref="A6:CB1742" xr:uid="{690FCEFF-8822-4E7C-9EDB-7F8CF0564FD1}">
        <filterColumn colId="6">
          <filters>
            <filter val="Abbots Park, Chester, Cheshire West and Chester CH1 4AN"/>
            <filter val="Acre Nook SQW, Chelford"/>
            <filter val="adj Barnston Road, Barnston, Wirral CH61"/>
            <filter val="Alsager, Radway Green"/>
            <filter val="Altrincham SF"/>
            <filter val="Appleton Thorn"/>
            <filter val="Arley"/>
            <filter val="Astbury Mere CP"/>
            <filter val="Astle SJ8273"/>
            <filter val="Audlem"/>
            <filter val="Bar mere"/>
            <filter val="Bebington"/>
            <filter val="Bickerton Hill"/>
            <filter val="Bidston Hill"/>
            <filter val="Bridgemere, Nantwich"/>
            <filter val="Brown Knowl, Tattenhall"/>
            <filter val="Budworth Mere"/>
            <filter val="Burton"/>
            <filter val="Burton Marsh"/>
            <filter val="Burton Marsh, Dee Est Saltmarsh RSPB"/>
            <filter val="Burton Marsh/BMW/Shottwick"/>
            <filter val="Burton Mere Ponds, BMW RSPB"/>
            <filter val="Burton Mere Wetlands"/>
            <filter val="Burton Mere Wetlands (BMW) RSPB"/>
            <filter val="Burton Mere Wetlands (BMW) RSPB, Decca then Boathouse flash"/>
            <filter val="Burton Mere Wetlands RSPB"/>
            <filter val="Burton Mere, Boathouse Flash"/>
            <filter val="Burton Point"/>
            <filter val="Burton Point Farm, Burton"/>
            <filter val="Burtonwood"/>
            <filter val="Caldy"/>
            <filter val="Carr Lane Pools, hale"/>
            <filter val="Cat and Fiddle"/>
            <filter val="Chelford, East Lake MFQ"/>
            <filter val="Chester City"/>
            <filter val="Congelton"/>
            <filter val="Culcheth"/>
            <filter val="Danebower"/>
            <filter val="Danes Moss"/>
            <filter val="Delamere"/>
            <filter val="Delamere Forest, Blakemere Moss"/>
            <filter val="Denhall Lane, Burton"/>
            <filter val="Dibbinsdale"/>
            <filter val="Doddington Pool (Crewe)"/>
            <filter val="Eddisbury, Delamere"/>
            <filter val="Egerton Park"/>
            <filter val="Ellesmere Port"/>
            <filter val="Eton Hall Flash, Sandbach"/>
            <filter val="Frodsham Marsh, Manchester Ship Canal"/>
            <filter val="Frodsham No 3 Tank"/>
            <filter val="Frodsham No 4 Tank"/>
            <filter val="Frodsham No 6 tank"/>
            <filter val="Frodsham then Neumanns"/>
            <filter val="Frodsham/Ince"/>
            <filter val="Gatewarth"/>
            <filter val="Gowy Meadows"/>
            <filter val="Great Sankey, Gatewarth Industrial Estate"/>
            <filter val="Groby Flash, Sandbach Flash"/>
            <filter val="Hale shore"/>
            <filter val="Hale Village"/>
            <filter val="Halebank"/>
            <filter val="Hassall Green SE of Sandbach"/>
            <filter val="hilbre"/>
            <filter val="Hockenhall Plats"/>
            <filter val="Hockenhall Platts (SJ46 S)"/>
            <filter val="hoylake"/>
            <filter val="Hoylake and Hilbre"/>
            <filter val="Hoylake and Meols"/>
            <filter val="IMF Scrapes, BMW RSPB"/>
            <filter val="Ince Marsh"/>
            <filter val="Inner Marsh Farm RSPB"/>
            <filter val="Kelsall"/>
            <filter val="Kingsmead"/>
            <filter val="Lapwing Hall Pool, Chelford"/>
            <filter val="Latchford Locks, Warrington"/>
            <filter val="Little Neston"/>
            <filter val="Little Sutton, Elesmere Port"/>
            <filter val="Lyme Park, Disley"/>
            <filter val="Lymm Dam, Lymm"/>
            <filter val="Macclesfield"/>
            <filter val="Macclesfield Forest, Teggs Nose"/>
            <filter val="Macclesfield Forest, Trentabank"/>
            <filter val="Macclesfield SK10 4TA"/>
            <filter val="Martson"/>
            <filter val="Maw Green, Sandbach"/>
            <filter val="Meols - Leasowe"/>
            <filter val="Meols &amp; Hoylake"/>
            <filter val="Meols (Roman Rd)"/>
            <filter val="Meols Promenade"/>
            <filter val="Meols/Leasowe"/>
            <filter val="Mere Farm Qaurry, Chelford"/>
            <filter val="Mere Farm Quarry"/>
            <filter val="Mollington"/>
            <filter val="Moreton"/>
            <filter val="Mount Manisty"/>
            <filter val="MSC and Woolston #3 and #4 bed"/>
            <filter val="Neumann's Flash then Ashton's Flash"/>
            <filter val="New Brighton Marine Lake"/>
            <filter val="New Ferry"/>
            <filter val="North Wirral - Leasowe to Hilbre"/>
            <filter val="Oakmere, Delamere Lake"/>
            <filter val="Old Runcorn Bridge, Widnes"/>
            <filter val="parkgate"/>
            <filter val="Parkgate/Gayton Sands RSPB"/>
            <filter val="Puddington area"/>
            <filter val="Pump House Flash , Sandbach"/>
            <filter val="Reception Scrape, BMW RSPB"/>
            <filter val="Redesmere"/>
            <filter val="Riveacre"/>
            <filter val="Royden Park"/>
            <filter val="Runcorn"/>
            <filter val="Sandymoor, Runcorn"/>
            <filter val="Saughall"/>
            <filter val="Shavington, Crewe"/>
            <filter val="Shotton"/>
            <filter val="Shotwich"/>
            <filter val="Shotwick Fields"/>
            <filter val="Shotwick Lake (Wales)"/>
            <filter val="Silver Lane Pools"/>
            <filter val="Silver Lane Pools, Risley"/>
            <filter val="Spital"/>
            <filter val="Stockport"/>
            <filter val="Sutton Weaver"/>
            <filter val="Tarvin"/>
            <filter val="Tatton"/>
            <filter val="Tatton park"/>
            <filter val="Thustaston"/>
            <filter val="Upton"/>
            <filter val="Wallasey Coastguards"/>
            <filter val="Walton Res"/>
            <filter val="Wardle"/>
            <filter val="Weaver Estuary"/>
            <filter val="Weaverham"/>
            <filter val="West Bank, Runcorn"/>
            <filter val="West Kirby, ML, Hilbre"/>
            <filter val="Widnes,"/>
            <filter val="Widnes, Ditton Toat WSR recucling"/>
            <filter val="Widnes, WSR recycling"/>
            <filter val="Wigg Island"/>
            <filter val="Wilboarclough"/>
            <filter val="Wimbolds Trafford"/>
            <filter val="Windhather Rocks, Kettlehulme (Derby?)"/>
            <filter val="Wirral [location witheld]"/>
            <filter val="Witton Flashes"/>
            <filter val="Woolston Eyes Number 3 bed"/>
            <filter val="Wrenbury"/>
            <filter val="Wynbunbry"/>
          </filters>
        </filterColumn>
      </autoFilter>
    </customSheetView>
    <customSheetView guid="{9B1427F1-3E67-4D91-9EF4-6EB9EC2BCBCF}" filter="1" showAutoFilter="1">
      <pageMargins left="0.7" right="0.7" top="0.75" bottom="0.75" header="0.3" footer="0.3"/>
      <autoFilter ref="A6:CB1742" xr:uid="{CD1609B2-FB7C-4A8F-BADD-812F89CF5590}">
        <filterColumn colId="6">
          <filters>
            <filter val="Abbots Park, Chester, Cheshire West and Chester CH1 4AN"/>
            <filter val="Acre Nook SQW, Chelford"/>
            <filter val="adj Barnston Road, Barnston, Wirral CH61"/>
            <filter val="Alsager, Radway Green"/>
            <filter val="Appleton Thorn"/>
            <filter val="Arley"/>
            <filter val="Astbury Mere CP"/>
            <filter val="Astle SJ8273"/>
            <filter val="Audlem"/>
            <filter val="Bar mere"/>
            <filter val="Bickerton Hill"/>
            <filter val="Bidston Hill"/>
            <filter val="Bridgemere, Nantwich"/>
            <filter val="Brown Knowl, Tattenhall"/>
            <filter val="Burton Marsh/BMW/Shottwick"/>
            <filter val="Burtonwood"/>
            <filter val="Carr Lane Moreton/Barker &amp; Briscoe"/>
            <filter val="Carr Lane Pools, hale"/>
            <filter val="Cat and Fiddle"/>
            <filter val="Chester City"/>
            <filter val="Culcheth"/>
            <filter val="Danes Moss"/>
            <filter val="Delamere Forest, Blakemere Moss"/>
            <filter val="Doddington Pool (Crewe)"/>
            <filter val="Eddisbury, Delamere"/>
            <filter val="Egerton Park"/>
            <filter val="Eton Hall Flash, Sandbach"/>
            <filter val="Frodsham Marsh, Manchester Ship Canal"/>
            <filter val="Frodsham No 3 Tank"/>
            <filter val="Frodsham No 4 Tank"/>
            <filter val="Frodsham No 6 tank"/>
            <filter val="Frodsham/Ince"/>
            <filter val="Gowy Meadows"/>
            <filter val="Groby Flash, Sandbach Flash"/>
            <filter val="Hale shore"/>
            <filter val="Hale Village"/>
            <filter val="Halebank"/>
            <filter val="Hassall Green SE of Sandbach"/>
            <filter val="hilbre"/>
            <filter val="Hockenhall Plats"/>
            <filter val="Hockenhall Platts (SJ46 S)"/>
            <filter val="hoylake"/>
            <filter val="Ince Marsh"/>
            <filter val="Kingsmead"/>
            <filter val="Lapwing Hall Pool, Chelford"/>
            <filter val="Leasowe"/>
            <filter val="Leasowe (Gunsight)"/>
            <filter val="Leasowe (Lighthouse pool)"/>
            <filter val="Leasowe Embankment"/>
            <filter val="Leasowe Gap"/>
            <filter val="Leasowe Lighthouse"/>
            <filter val="Leasowe Lingham Lane"/>
            <filter val="Leasowe, Gunsight"/>
            <filter val="Leasowe/Meols"/>
            <filter val="Lingham Lane, Leasowe"/>
            <filter val="Lingham Lane,Leasowe"/>
            <filter val="Little Sutton, Elesmere Port"/>
            <filter val="Lyme Park, Disley"/>
            <filter val="Lymm Dam, Lymm"/>
            <filter val="Macclesfield"/>
            <filter val="Macclesfield Forest, Teggs Nose"/>
            <filter val="Macclesfield Forest, Trentabank"/>
            <filter val="Macclesfield SK10 4TA"/>
            <filter val="Marbury, nr Wrenbury"/>
            <filter val="Maw Green, Sandbach"/>
            <filter val="Meols - Leasowe"/>
            <filter val="Meols &amp; Hoylake"/>
            <filter val="Meols (Roman Rd)"/>
            <filter val="Meols Promenade"/>
            <filter val="Meols/Leasowe"/>
            <filter val="Mere Farm Quarry"/>
            <filter val="Mollington"/>
            <filter val="Moreton"/>
            <filter val="Mount Manisty"/>
            <filter val="New Brighton Marine Lake"/>
            <filter val="Newchurch Common"/>
            <filter val="North Wirral - Leasowe to Hilbre"/>
            <filter val="Old Runcorn Bridge, Widnes"/>
            <filter val="parkgate"/>
            <filter val="Puddington area"/>
            <filter val="Pump House Flash , Sandbach"/>
            <filter val="Riveacre"/>
            <filter val="Sandymoor, Runcorn"/>
            <filter val="Shotwick Fields"/>
            <filter val="Silver Lane Pools"/>
            <filter val="Spital"/>
            <filter val="Sutton Weaver"/>
            <filter val="Tatton park"/>
            <filter val="Wallasey Coastguards"/>
            <filter val="Wardle"/>
            <filter val="West Kirby, ML, Hilbre"/>
            <filter val="Wigg Island"/>
            <filter val="Wilboarclough"/>
            <filter val="Wimbolds Trafford"/>
            <filter val="Wirral [location witheld]"/>
            <filter val="Woolston Eyes Number 3 bed"/>
            <filter val="Wynbunbry"/>
          </filters>
        </filterColumn>
      </autoFilter>
    </customSheetView>
  </customSheetViews>
  <mergeCells count="2">
    <mergeCell ref="H1:I1"/>
    <mergeCell ref="N1:O1"/>
  </mergeCells>
  <conditionalFormatting sqref="A7:A1662 A1743:A1747 A1856 A1922">
    <cfRule type="containsText" dxfId="39" priority="34" operator="containsText" text="2020">
      <formula>NOT(ISERROR(SEARCH(("2020"),(A7))))</formula>
    </cfRule>
    <cfRule type="containsText" dxfId="38" priority="33" operator="containsText" text="2022">
      <formula>NOT(ISERROR(SEARCH(("2022"),(A7))))</formula>
    </cfRule>
    <cfRule type="containsText" dxfId="37" priority="32" operator="containsText" text="2021">
      <formula>NOT(ISERROR(SEARCH(("2021"),(A7))))</formula>
    </cfRule>
  </conditionalFormatting>
  <conditionalFormatting sqref="M1:M1922">
    <cfRule type="containsText" dxfId="36" priority="40" operator="containsText" text="3">
      <formula>NOT(ISERROR(SEARCH(("3"),(M1))))</formula>
    </cfRule>
    <cfRule type="containsText" dxfId="35" priority="39" operator="containsText" text="2">
      <formula>NOT(ISERROR(SEARCH(("2"),(M1))))</formula>
    </cfRule>
    <cfRule type="containsText" dxfId="34" priority="36" operator="containsText" text="1st m">
      <formula>NOT(ISERROR(SEARCH(("1st m"),(M1))))</formula>
    </cfRule>
    <cfRule type="containsText" dxfId="33" priority="35" operator="containsText" text="1st u">
      <formula>NOT(ISERROR(SEARCH(("1st u"),(M1))))</formula>
    </cfRule>
  </conditionalFormatting>
  <conditionalFormatting sqref="N2:N1922">
    <cfRule type="containsText" dxfId="32" priority="31" operator="containsText" text="bbrc">
      <formula>NOT(ISERROR(SEARCH(("bbrc"),(N2))))</formula>
    </cfRule>
    <cfRule type="containsText" dxfId="31" priority="30" operator="containsText" text="circ">
      <formula>NOT(ISERROR(SEARCH(("circ"),(N2))))</formula>
    </cfRule>
    <cfRule type="containsText" dxfId="30" priority="29" operator="containsText" text="unprove">
      <formula>NOT(ISERROR(SEARCH(("unprove"),(N2))))</formula>
    </cfRule>
    <cfRule type="containsText" dxfId="29" priority="28" operator="containsText" text="accepted">
      <formula>NOT(ISERROR(SEARCH(("accepted"),(N2))))</formula>
    </cfRule>
  </conditionalFormatting>
  <conditionalFormatting sqref="O778">
    <cfRule type="containsText" dxfId="28" priority="38" operator="containsText" text="3rd">
      <formula>NOT(ISERROR(SEARCH(("3rd"),(O778))))</formula>
    </cfRule>
    <cfRule type="containsText" dxfId="27" priority="37" operator="containsText" text="2nd">
      <formula>NOT(ISERROR(SEARCH(("2nd"),(O778))))</formula>
    </cfRule>
  </conditionalFormatting>
  <conditionalFormatting sqref="Q174">
    <cfRule type="cellIs" dxfId="26" priority="2" operator="equal">
      <formula>"a"</formula>
    </cfRule>
    <cfRule type="cellIs" dxfId="25" priority="3" operator="equal">
      <formula>"r"</formula>
    </cfRule>
  </conditionalFormatting>
  <conditionalFormatting sqref="R970:R971">
    <cfRule type="cellIs" dxfId="24" priority="27" operator="equal">
      <formula>"in circulation"</formula>
    </cfRule>
    <cfRule type="cellIs" dxfId="23" priority="26" operator="equal">
      <formula>"unproven"</formula>
    </cfRule>
    <cfRule type="cellIs" dxfId="22" priority="25" operator="equal">
      <formula>"Accepted"</formula>
    </cfRule>
  </conditionalFormatting>
  <conditionalFormatting sqref="R977">
    <cfRule type="cellIs" dxfId="21" priority="19" operator="equal">
      <formula>"Accepted"</formula>
    </cfRule>
    <cfRule type="cellIs" dxfId="20" priority="20" operator="equal">
      <formula>"unproven"</formula>
    </cfRule>
    <cfRule type="cellIs" dxfId="19" priority="21" operator="equal">
      <formula>"in circulation"</formula>
    </cfRule>
  </conditionalFormatting>
  <conditionalFormatting sqref="R984">
    <cfRule type="cellIs" dxfId="18" priority="22" operator="equal">
      <formula>"Accepted"</formula>
    </cfRule>
    <cfRule type="cellIs" dxfId="17" priority="23" operator="equal">
      <formula>"unproven"</formula>
    </cfRule>
    <cfRule type="cellIs" dxfId="16" priority="24" operator="equal">
      <formula>"in circulation"</formula>
    </cfRule>
  </conditionalFormatting>
  <conditionalFormatting sqref="R986 R988:R990">
    <cfRule type="cellIs" dxfId="15" priority="12" operator="equal">
      <formula>"in circulation"</formula>
    </cfRule>
    <cfRule type="cellIs" dxfId="14" priority="11" operator="equal">
      <formula>"unproven"</formula>
    </cfRule>
    <cfRule type="cellIs" dxfId="13" priority="10" operator="equal">
      <formula>"Accepted"</formula>
    </cfRule>
  </conditionalFormatting>
  <conditionalFormatting sqref="R993:R994">
    <cfRule type="cellIs" dxfId="12" priority="15" operator="equal">
      <formula>"in circulation"</formula>
    </cfRule>
    <cfRule type="cellIs" dxfId="11" priority="14" operator="equal">
      <formula>"unproven"</formula>
    </cfRule>
    <cfRule type="cellIs" dxfId="10" priority="13" operator="equal">
      <formula>"Accepted"</formula>
    </cfRule>
  </conditionalFormatting>
  <conditionalFormatting sqref="R1070">
    <cfRule type="cellIs" dxfId="9" priority="18" operator="equal">
      <formula>"in circulation"</formula>
    </cfRule>
    <cfRule type="cellIs" dxfId="8" priority="17" operator="equal">
      <formula>"unproven"</formula>
    </cfRule>
    <cfRule type="cellIs" dxfId="7" priority="16" operator="equal">
      <formula>"Accepted"</formula>
    </cfRule>
  </conditionalFormatting>
  <conditionalFormatting sqref="R1081">
    <cfRule type="cellIs" dxfId="6" priority="9" operator="equal">
      <formula>"in circulation"</formula>
    </cfRule>
    <cfRule type="cellIs" dxfId="5" priority="8" operator="equal">
      <formula>"unproven"</formula>
    </cfRule>
    <cfRule type="cellIs" dxfId="4" priority="7" operator="equal">
      <formula>"Accepted"</formula>
    </cfRule>
  </conditionalFormatting>
  <conditionalFormatting sqref="R1085:R1087">
    <cfRule type="cellIs" dxfId="3" priority="6" operator="equal">
      <formula>"in circulation"</formula>
    </cfRule>
    <cfRule type="cellIs" dxfId="2" priority="5" operator="equal">
      <formula>"unproven"</formula>
    </cfRule>
    <cfRule type="cellIs" dxfId="1" priority="4" operator="equal">
      <formula>"Accepted"</formula>
    </cfRule>
  </conditionalFormatting>
  <conditionalFormatting sqref="S7:S199 S354 S373">
    <cfRule type="cellIs" dxfId="0" priority="1" operator="equal">
      <formu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31"/>
  <sheetViews>
    <sheetView workbookViewId="0"/>
  </sheetViews>
  <sheetFormatPr defaultColWidth="12.5703125" defaultRowHeight="15" customHeight="1"/>
  <sheetData>
    <row r="1" spans="1:7" ht="15" customHeight="1">
      <c r="A1" s="83"/>
      <c r="B1" s="83"/>
      <c r="C1" s="83"/>
      <c r="D1" s="83"/>
      <c r="E1" s="83"/>
      <c r="F1" s="83"/>
      <c r="G1" s="83"/>
    </row>
    <row r="2" spans="1:7" ht="15" customHeight="1">
      <c r="A2" s="83" t="s">
        <v>3</v>
      </c>
      <c r="B2" s="83"/>
      <c r="C2" s="83"/>
      <c r="D2" s="83"/>
      <c r="E2" s="83"/>
      <c r="F2" s="83"/>
      <c r="G2" s="83"/>
    </row>
    <row r="3" spans="1:7" ht="15" customHeight="1">
      <c r="A3" s="83"/>
      <c r="B3" s="83"/>
      <c r="C3" s="83"/>
      <c r="D3" s="83"/>
      <c r="E3" s="83"/>
      <c r="F3" s="83"/>
      <c r="G3" s="83"/>
    </row>
    <row r="8" spans="1:7" ht="15" customHeight="1">
      <c r="A8" s="83" t="s">
        <v>4</v>
      </c>
    </row>
    <row r="9" spans="1:7" ht="15" customHeight="1">
      <c r="A9" s="83" t="s">
        <v>5</v>
      </c>
    </row>
    <row r="13" spans="1:7" ht="15" customHeight="1">
      <c r="A13" s="83" t="s">
        <v>6</v>
      </c>
    </row>
    <row r="29" spans="1:1" ht="15" customHeight="1">
      <c r="A29" s="84" t="s">
        <v>7</v>
      </c>
    </row>
    <row r="30" spans="1:1" ht="15" customHeight="1">
      <c r="A30" s="83" t="s">
        <v>8</v>
      </c>
    </row>
    <row r="31" spans="1:1" ht="15" customHeight="1">
      <c r="A31" s="83" t="s">
        <v>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1000"/>
  <sheetViews>
    <sheetView workbookViewId="0"/>
  </sheetViews>
  <sheetFormatPr defaultColWidth="12.5703125" defaultRowHeight="15" customHeight="1"/>
  <cols>
    <col min="1" max="1" width="5.85546875" customWidth="1"/>
    <col min="2" max="26" width="7" customWidth="1"/>
  </cols>
  <sheetData>
    <row r="1" spans="1:13" ht="12.75" customHeight="1">
      <c r="A1" s="85"/>
      <c r="M1" s="86"/>
    </row>
    <row r="2" spans="1:13" ht="12.75" customHeight="1">
      <c r="A2" s="87" t="s">
        <v>10</v>
      </c>
      <c r="M2" s="86"/>
    </row>
    <row r="3" spans="1:13" ht="12.75" customHeight="1">
      <c r="A3" s="85"/>
      <c r="M3" s="86"/>
    </row>
    <row r="4" spans="1:13" ht="12.75" customHeight="1">
      <c r="A4" s="88" t="s">
        <v>11</v>
      </c>
      <c r="B4" s="85" t="s">
        <v>12</v>
      </c>
      <c r="M4" s="86"/>
    </row>
    <row r="5" spans="1:13" ht="12.75" customHeight="1">
      <c r="A5" s="88" t="s">
        <v>13</v>
      </c>
      <c r="B5" s="85" t="s">
        <v>14</v>
      </c>
      <c r="M5" s="86"/>
    </row>
    <row r="6" spans="1:13" ht="12.75" customHeight="1">
      <c r="A6" s="85"/>
      <c r="M6" s="86"/>
    </row>
    <row r="7" spans="1:13" ht="12.75" customHeight="1">
      <c r="A7" s="87" t="s">
        <v>15</v>
      </c>
      <c r="M7" s="86"/>
    </row>
    <row r="8" spans="1:13" ht="12.75" customHeight="1">
      <c r="A8" s="85"/>
      <c r="M8" s="86"/>
    </row>
    <row r="9" spans="1:13" ht="12.75" customHeight="1">
      <c r="A9" s="88" t="s">
        <v>16</v>
      </c>
      <c r="B9" s="85" t="s">
        <v>17</v>
      </c>
      <c r="M9" s="86"/>
    </row>
    <row r="10" spans="1:13" ht="12.75" customHeight="1">
      <c r="A10" s="88" t="s">
        <v>18</v>
      </c>
      <c r="B10" s="85" t="s">
        <v>19</v>
      </c>
      <c r="M10" s="86"/>
    </row>
    <row r="11" spans="1:13" ht="12.75" customHeight="1">
      <c r="A11" s="85"/>
      <c r="M11" s="86"/>
    </row>
    <row r="12" spans="1:13" ht="12.75" customHeight="1">
      <c r="A12" s="87" t="s">
        <v>20</v>
      </c>
      <c r="M12" s="86"/>
    </row>
    <row r="13" spans="1:13" ht="12.75" customHeight="1">
      <c r="A13" s="85"/>
      <c r="M13" s="86"/>
    </row>
    <row r="14" spans="1:13" ht="12.75" customHeight="1">
      <c r="A14" s="88" t="s">
        <v>21</v>
      </c>
      <c r="B14" s="85" t="s">
        <v>22</v>
      </c>
      <c r="M14" s="86"/>
    </row>
    <row r="15" spans="1:13" ht="12.75" customHeight="1">
      <c r="A15" s="88" t="s">
        <v>23</v>
      </c>
      <c r="B15" s="85" t="s">
        <v>24</v>
      </c>
      <c r="M15" s="86"/>
    </row>
    <row r="16" spans="1:13" ht="12.75" customHeight="1">
      <c r="A16" s="85"/>
      <c r="M16" s="86"/>
    </row>
    <row r="17" spans="1:13" ht="12.75" customHeight="1">
      <c r="A17" s="85"/>
      <c r="M17" s="86"/>
    </row>
    <row r="18" spans="1:13" ht="12.75" customHeight="1">
      <c r="A18" s="89" t="s">
        <v>25</v>
      </c>
      <c r="M18" s="86"/>
    </row>
    <row r="19" spans="1:13" ht="12.75" customHeight="1">
      <c r="A19" s="90" t="s">
        <v>26</v>
      </c>
      <c r="M19" s="86"/>
    </row>
    <row r="20" spans="1:13" ht="12.75" customHeight="1">
      <c r="A20" s="91" t="s">
        <v>27</v>
      </c>
      <c r="M20" s="86"/>
    </row>
    <row r="21" spans="1:13" ht="12.75" customHeight="1">
      <c r="A21" s="91" t="s">
        <v>28</v>
      </c>
      <c r="M21" s="86"/>
    </row>
    <row r="22" spans="1:13" ht="12.75" customHeight="1">
      <c r="A22" s="92" t="s">
        <v>29</v>
      </c>
      <c r="M22" s="86"/>
    </row>
    <row r="23" spans="1:13" ht="12.75" customHeight="1">
      <c r="A23" s="85"/>
      <c r="M23" s="86"/>
    </row>
    <row r="24" spans="1:13" ht="12.75" customHeight="1">
      <c r="A24" s="93" t="s">
        <v>30</v>
      </c>
      <c r="M24" s="86"/>
    </row>
    <row r="25" spans="1:13" ht="12.75" customHeight="1">
      <c r="A25" s="92" t="s">
        <v>31</v>
      </c>
      <c r="M25" s="86"/>
    </row>
    <row r="26" spans="1:13" ht="12.75" customHeight="1">
      <c r="A26" s="92" t="s">
        <v>32</v>
      </c>
      <c r="M26" s="86"/>
    </row>
    <row r="27" spans="1:13" ht="12.75" customHeight="1">
      <c r="A27" s="85"/>
      <c r="M27" s="86"/>
    </row>
    <row r="28" spans="1:13" ht="12.75" customHeight="1">
      <c r="A28" s="85"/>
      <c r="C28" s="90"/>
      <c r="D28" s="90"/>
      <c r="E28" s="94"/>
      <c r="F28" s="90"/>
      <c r="G28" s="95"/>
      <c r="H28" s="90"/>
      <c r="I28" s="90"/>
      <c r="J28" s="90"/>
      <c r="K28" s="90"/>
      <c r="L28" s="90"/>
      <c r="M28" s="86"/>
    </row>
    <row r="29" spans="1:13" ht="12.75" customHeight="1">
      <c r="A29" s="85"/>
      <c r="C29" s="90"/>
      <c r="D29" s="90"/>
      <c r="E29" s="94"/>
      <c r="F29" s="90"/>
      <c r="G29" s="95"/>
      <c r="H29" s="90"/>
      <c r="I29" s="90"/>
      <c r="J29" s="90"/>
      <c r="K29" s="90"/>
      <c r="L29" s="90"/>
      <c r="M29" s="86"/>
    </row>
    <row r="30" spans="1:13" ht="12.75" customHeight="1">
      <c r="A30" s="85"/>
      <c r="C30" s="90"/>
      <c r="D30" s="90"/>
      <c r="E30" s="94"/>
      <c r="F30" s="90"/>
      <c r="G30" s="95"/>
      <c r="H30" s="90"/>
      <c r="I30" s="90"/>
      <c r="J30" s="90"/>
      <c r="K30" s="90"/>
      <c r="L30" s="90"/>
      <c r="M30" s="86"/>
    </row>
    <row r="31" spans="1:13" ht="12.75" customHeight="1">
      <c r="A31" s="85"/>
      <c r="C31" s="90"/>
      <c r="D31" s="90"/>
      <c r="E31" s="94"/>
      <c r="F31" s="90"/>
      <c r="G31" s="95"/>
      <c r="H31" s="90"/>
      <c r="I31" s="90"/>
      <c r="J31" s="90"/>
      <c r="K31" s="90"/>
      <c r="L31" s="90"/>
      <c r="M31" s="86"/>
    </row>
    <row r="32" spans="1:13" ht="12.75" customHeight="1">
      <c r="A32" s="85"/>
      <c r="C32" s="90"/>
      <c r="D32" s="90"/>
      <c r="E32" s="94"/>
      <c r="F32" s="90"/>
      <c r="G32" s="95"/>
      <c r="H32" s="90"/>
      <c r="I32" s="90"/>
      <c r="J32" s="90"/>
      <c r="K32" s="90"/>
      <c r="L32" s="90"/>
      <c r="M32" s="86"/>
    </row>
    <row r="33" spans="1:13" ht="12.75" customHeight="1">
      <c r="A33" s="85"/>
      <c r="C33" s="90"/>
      <c r="D33" s="90"/>
      <c r="E33" s="94"/>
      <c r="F33" s="90"/>
      <c r="G33" s="95"/>
      <c r="H33" s="90"/>
      <c r="I33" s="90"/>
      <c r="J33" s="90"/>
      <c r="K33" s="90"/>
      <c r="L33" s="90"/>
      <c r="M33" s="86"/>
    </row>
    <row r="34" spans="1:13" ht="12.75" customHeight="1">
      <c r="A34" s="85"/>
      <c r="C34" s="90"/>
      <c r="D34" s="90"/>
      <c r="E34" s="94"/>
      <c r="F34" s="90"/>
      <c r="G34" s="95"/>
      <c r="H34" s="90"/>
      <c r="I34" s="90"/>
      <c r="J34" s="90"/>
      <c r="K34" s="90"/>
      <c r="L34" s="90"/>
      <c r="M34" s="86"/>
    </row>
    <row r="35" spans="1:13" ht="12.75" customHeight="1">
      <c r="A35" s="85"/>
      <c r="C35" s="90"/>
      <c r="D35" s="90"/>
      <c r="E35" s="94"/>
      <c r="F35" s="90"/>
      <c r="G35" s="95"/>
      <c r="H35" s="90"/>
      <c r="I35" s="90"/>
      <c r="J35" s="90"/>
      <c r="K35" s="90"/>
      <c r="L35" s="90"/>
      <c r="M35" s="86"/>
    </row>
    <row r="36" spans="1:13" ht="12.75" customHeight="1">
      <c r="A36" s="85"/>
      <c r="C36" s="90"/>
      <c r="D36" s="90"/>
      <c r="E36" s="94"/>
      <c r="F36" s="90"/>
      <c r="G36" s="95"/>
      <c r="H36" s="90"/>
      <c r="I36" s="90"/>
      <c r="J36" s="90"/>
      <c r="K36" s="90"/>
      <c r="L36" s="90"/>
      <c r="M36" s="86"/>
    </row>
    <row r="37" spans="1:13" ht="12.75" customHeight="1">
      <c r="A37" s="85"/>
      <c r="C37" s="90"/>
      <c r="D37" s="90"/>
      <c r="E37" s="94"/>
      <c r="F37" s="90"/>
      <c r="G37" s="95"/>
      <c r="H37" s="90"/>
      <c r="I37" s="90"/>
      <c r="J37" s="90"/>
      <c r="K37" s="90"/>
      <c r="L37" s="90"/>
      <c r="M37" s="86"/>
    </row>
    <row r="38" spans="1:13" ht="12.75" customHeight="1">
      <c r="A38" s="85"/>
      <c r="C38" s="90"/>
      <c r="D38" s="90"/>
      <c r="E38" s="94"/>
      <c r="F38" s="90"/>
      <c r="G38" s="95"/>
      <c r="H38" s="90"/>
      <c r="I38" s="90"/>
      <c r="J38" s="90"/>
      <c r="K38" s="90"/>
      <c r="L38" s="90"/>
      <c r="M38" s="86"/>
    </row>
    <row r="39" spans="1:13" ht="12.75" customHeight="1">
      <c r="A39" s="85"/>
      <c r="C39" s="90"/>
      <c r="D39" s="90"/>
      <c r="E39" s="94"/>
      <c r="F39" s="90"/>
      <c r="G39" s="95"/>
      <c r="H39" s="90"/>
      <c r="I39" s="90"/>
      <c r="J39" s="90"/>
      <c r="K39" s="90"/>
      <c r="L39" s="90"/>
      <c r="M39" s="86"/>
    </row>
    <row r="40" spans="1:13" ht="12.75" customHeight="1">
      <c r="A40" s="85"/>
      <c r="M40" s="86"/>
    </row>
    <row r="41" spans="1:13" ht="12.75" customHeight="1">
      <c r="A41" s="85"/>
      <c r="M41" s="86"/>
    </row>
    <row r="42" spans="1:13" ht="12.75" customHeight="1">
      <c r="A42" s="85"/>
      <c r="M42" s="86"/>
    </row>
    <row r="43" spans="1:13" ht="12.75" customHeight="1">
      <c r="A43" s="85"/>
      <c r="M43" s="86"/>
    </row>
    <row r="44" spans="1:13" ht="12.75" customHeight="1">
      <c r="A44" s="85"/>
      <c r="M44" s="86"/>
    </row>
    <row r="45" spans="1:13" ht="12.75" customHeight="1">
      <c r="A45" s="85"/>
      <c r="M45" s="86"/>
    </row>
    <row r="46" spans="1:13" ht="12.75" customHeight="1">
      <c r="A46" s="85"/>
      <c r="M46" s="86"/>
    </row>
    <row r="47" spans="1:13" ht="12.75" customHeight="1">
      <c r="A47" s="85"/>
      <c r="M47" s="86"/>
    </row>
    <row r="48" spans="1:13" ht="12.75" customHeight="1">
      <c r="A48" s="85"/>
      <c r="M48" s="86"/>
    </row>
    <row r="49" spans="1:13" ht="12.75" customHeight="1">
      <c r="A49" s="85"/>
      <c r="M49" s="86"/>
    </row>
    <row r="50" spans="1:13" ht="12.75" customHeight="1">
      <c r="A50" s="85"/>
      <c r="M50" s="86"/>
    </row>
    <row r="51" spans="1:13" ht="12.75" customHeight="1">
      <c r="A51" s="85"/>
      <c r="M51" s="86"/>
    </row>
    <row r="52" spans="1:13" ht="12.75" customHeight="1">
      <c r="A52" s="85"/>
      <c r="M52" s="86"/>
    </row>
    <row r="53" spans="1:13" ht="12.75" customHeight="1">
      <c r="A53" s="85"/>
      <c r="M53" s="86"/>
    </row>
    <row r="54" spans="1:13" ht="12.75" customHeight="1">
      <c r="A54" s="85"/>
      <c r="M54" s="86"/>
    </row>
    <row r="55" spans="1:13" ht="12.75" customHeight="1">
      <c r="A55" s="85"/>
      <c r="M55" s="86"/>
    </row>
    <row r="56" spans="1:13" ht="12.75" customHeight="1">
      <c r="A56" s="85"/>
      <c r="M56" s="86"/>
    </row>
    <row r="57" spans="1:13" ht="12.75" customHeight="1">
      <c r="A57" s="85"/>
      <c r="M57" s="86"/>
    </row>
    <row r="58" spans="1:13" ht="12.75" customHeight="1">
      <c r="A58" s="85"/>
      <c r="M58" s="86"/>
    </row>
    <row r="59" spans="1:13" ht="12.75" customHeight="1">
      <c r="A59" s="85"/>
      <c r="M59" s="86"/>
    </row>
    <row r="60" spans="1:13" ht="12.75" customHeight="1">
      <c r="A60" s="85"/>
      <c r="M60" s="86"/>
    </row>
    <row r="61" spans="1:13" ht="12.75" customHeight="1">
      <c r="A61" s="85"/>
      <c r="M61" s="86"/>
    </row>
    <row r="62" spans="1:13" ht="12.75" customHeight="1">
      <c r="A62" s="85"/>
      <c r="M62" s="86"/>
    </row>
    <row r="63" spans="1:13" ht="12.75" customHeight="1">
      <c r="A63" s="85"/>
      <c r="M63" s="86"/>
    </row>
    <row r="64" spans="1:13" ht="12.75" customHeight="1">
      <c r="A64" s="85"/>
      <c r="M64" s="86"/>
    </row>
    <row r="65" spans="1:13" ht="12.75" customHeight="1">
      <c r="A65" s="85"/>
      <c r="M65" s="86"/>
    </row>
    <row r="66" spans="1:13" ht="12.75" customHeight="1">
      <c r="A66" s="85"/>
      <c r="M66" s="86"/>
    </row>
    <row r="67" spans="1:13" ht="12.75" customHeight="1">
      <c r="A67" s="85"/>
      <c r="M67" s="86"/>
    </row>
    <row r="68" spans="1:13" ht="12.75" customHeight="1">
      <c r="A68" s="85"/>
      <c r="M68" s="86"/>
    </row>
    <row r="69" spans="1:13" ht="12.75" customHeight="1">
      <c r="A69" s="85"/>
      <c r="M69" s="86"/>
    </row>
    <row r="70" spans="1:13" ht="12.75" customHeight="1">
      <c r="A70" s="85"/>
      <c r="M70" s="86"/>
    </row>
    <row r="71" spans="1:13" ht="12.75" customHeight="1">
      <c r="A71" s="85"/>
      <c r="M71" s="86"/>
    </row>
    <row r="72" spans="1:13" ht="12.75" customHeight="1">
      <c r="A72" s="85"/>
      <c r="M72" s="86"/>
    </row>
    <row r="73" spans="1:13" ht="12.75" customHeight="1">
      <c r="A73" s="85"/>
      <c r="M73" s="86"/>
    </row>
    <row r="74" spans="1:13" ht="12.75" customHeight="1">
      <c r="A74" s="85"/>
      <c r="M74" s="86"/>
    </row>
    <row r="75" spans="1:13" ht="12.75" customHeight="1">
      <c r="A75" s="85"/>
      <c r="M75" s="86"/>
    </row>
    <row r="76" spans="1:13" ht="12.75" customHeight="1">
      <c r="A76" s="85"/>
      <c r="M76" s="86"/>
    </row>
    <row r="77" spans="1:13" ht="12.75" customHeight="1">
      <c r="A77" s="85"/>
      <c r="M77" s="86"/>
    </row>
    <row r="78" spans="1:13" ht="12.75" customHeight="1">
      <c r="A78" s="85"/>
      <c r="M78" s="86"/>
    </row>
    <row r="79" spans="1:13" ht="12.75" customHeight="1">
      <c r="A79" s="85"/>
      <c r="M79" s="86"/>
    </row>
    <row r="80" spans="1:13" ht="12.75" customHeight="1">
      <c r="A80" s="85"/>
      <c r="M80" s="86"/>
    </row>
    <row r="81" spans="1:13" ht="12.75" customHeight="1">
      <c r="A81" s="85"/>
      <c r="M81" s="86"/>
    </row>
    <row r="82" spans="1:13" ht="12.75" customHeight="1">
      <c r="A82" s="85"/>
      <c r="M82" s="86"/>
    </row>
    <row r="83" spans="1:13" ht="12.75" customHeight="1">
      <c r="A83" s="85"/>
      <c r="M83" s="86"/>
    </row>
    <row r="84" spans="1:13" ht="12.75" customHeight="1">
      <c r="A84" s="85"/>
      <c r="M84" s="86"/>
    </row>
    <row r="85" spans="1:13" ht="12.75" customHeight="1">
      <c r="A85" s="85"/>
      <c r="M85" s="86"/>
    </row>
    <row r="86" spans="1:13" ht="12.75" customHeight="1">
      <c r="A86" s="85"/>
      <c r="M86" s="86"/>
    </row>
    <row r="87" spans="1:13" ht="12.75" customHeight="1">
      <c r="A87" s="85"/>
      <c r="M87" s="86"/>
    </row>
    <row r="88" spans="1:13" ht="12.75" customHeight="1">
      <c r="A88" s="85"/>
      <c r="M88" s="86"/>
    </row>
    <row r="89" spans="1:13" ht="12.75" customHeight="1">
      <c r="A89" s="85"/>
      <c r="M89" s="86"/>
    </row>
    <row r="90" spans="1:13" ht="12.75" customHeight="1">
      <c r="A90" s="85"/>
      <c r="M90" s="86"/>
    </row>
    <row r="91" spans="1:13" ht="12.75" customHeight="1">
      <c r="A91" s="85"/>
      <c r="M91" s="86"/>
    </row>
    <row r="92" spans="1:13" ht="12.75" customHeight="1">
      <c r="A92" s="85"/>
      <c r="M92" s="86"/>
    </row>
    <row r="93" spans="1:13" ht="12.75" customHeight="1">
      <c r="A93" s="85"/>
      <c r="M93" s="86"/>
    </row>
    <row r="94" spans="1:13" ht="12.75" customHeight="1">
      <c r="A94" s="85"/>
      <c r="M94" s="86"/>
    </row>
    <row r="95" spans="1:13" ht="12.75" customHeight="1">
      <c r="A95" s="85"/>
      <c r="M95" s="86"/>
    </row>
    <row r="96" spans="1:13" ht="12.75" customHeight="1">
      <c r="A96" s="85"/>
      <c r="M96" s="86"/>
    </row>
    <row r="97" spans="1:13" ht="12.75" customHeight="1">
      <c r="A97" s="85"/>
      <c r="M97" s="86"/>
    </row>
    <row r="98" spans="1:13" ht="12.75" customHeight="1">
      <c r="A98" s="85"/>
      <c r="M98" s="86"/>
    </row>
    <row r="99" spans="1:13" ht="12.75" customHeight="1">
      <c r="A99" s="85"/>
      <c r="M99" s="86"/>
    </row>
    <row r="100" spans="1:13" ht="12.75" customHeight="1">
      <c r="A100" s="85"/>
      <c r="M100" s="86"/>
    </row>
    <row r="101" spans="1:13" ht="12.75" customHeight="1">
      <c r="A101" s="85"/>
      <c r="M101" s="86"/>
    </row>
    <row r="102" spans="1:13" ht="12.75" customHeight="1">
      <c r="A102" s="85"/>
      <c r="M102" s="86"/>
    </row>
    <row r="103" spans="1:13" ht="12.75" customHeight="1">
      <c r="A103" s="85"/>
      <c r="M103" s="86"/>
    </row>
    <row r="104" spans="1:13" ht="12.75" customHeight="1">
      <c r="A104" s="85"/>
      <c r="M104" s="86"/>
    </row>
    <row r="105" spans="1:13" ht="12.75" customHeight="1">
      <c r="A105" s="85"/>
      <c r="M105" s="86"/>
    </row>
    <row r="106" spans="1:13" ht="12.75" customHeight="1">
      <c r="A106" s="85"/>
      <c r="M106" s="86"/>
    </row>
    <row r="107" spans="1:13" ht="12.75" customHeight="1">
      <c r="A107" s="85"/>
      <c r="M107" s="86"/>
    </row>
    <row r="108" spans="1:13" ht="12.75" customHeight="1">
      <c r="A108" s="85"/>
      <c r="M108" s="86"/>
    </row>
    <row r="109" spans="1:13" ht="12.75" customHeight="1">
      <c r="A109" s="85"/>
      <c r="M109" s="86"/>
    </row>
    <row r="110" spans="1:13" ht="12.75" customHeight="1">
      <c r="A110" s="85"/>
      <c r="M110" s="86"/>
    </row>
    <row r="111" spans="1:13" ht="12.75" customHeight="1">
      <c r="A111" s="85"/>
      <c r="M111" s="86"/>
    </row>
    <row r="112" spans="1:13" ht="12.75" customHeight="1">
      <c r="A112" s="85"/>
      <c r="M112" s="86"/>
    </row>
    <row r="113" spans="1:13" ht="12.75" customHeight="1">
      <c r="A113" s="85"/>
      <c r="M113" s="86"/>
    </row>
    <row r="114" spans="1:13" ht="12.75" customHeight="1">
      <c r="A114" s="85"/>
      <c r="M114" s="86"/>
    </row>
    <row r="115" spans="1:13" ht="12.75" customHeight="1">
      <c r="A115" s="85"/>
      <c r="M115" s="86"/>
    </row>
    <row r="116" spans="1:13" ht="12.75" customHeight="1">
      <c r="A116" s="85"/>
      <c r="M116" s="86"/>
    </row>
    <row r="117" spans="1:13" ht="12.75" customHeight="1">
      <c r="A117" s="85"/>
      <c r="M117" s="86"/>
    </row>
    <row r="118" spans="1:13" ht="12.75" customHeight="1">
      <c r="A118" s="85"/>
      <c r="M118" s="86"/>
    </row>
    <row r="119" spans="1:13" ht="12.75" customHeight="1">
      <c r="A119" s="85"/>
      <c r="M119" s="86"/>
    </row>
    <row r="120" spans="1:13" ht="12.75" customHeight="1">
      <c r="A120" s="85"/>
      <c r="M120" s="86"/>
    </row>
    <row r="121" spans="1:13" ht="12.75" customHeight="1">
      <c r="A121" s="85"/>
      <c r="M121" s="86"/>
    </row>
    <row r="122" spans="1:13" ht="12.75" customHeight="1">
      <c r="A122" s="85"/>
      <c r="M122" s="86"/>
    </row>
    <row r="123" spans="1:13" ht="12.75" customHeight="1">
      <c r="A123" s="85"/>
      <c r="M123" s="86"/>
    </row>
    <row r="124" spans="1:13" ht="12.75" customHeight="1">
      <c r="A124" s="85"/>
      <c r="M124" s="86"/>
    </row>
    <row r="125" spans="1:13" ht="12.75" customHeight="1">
      <c r="A125" s="85"/>
      <c r="M125" s="86"/>
    </row>
    <row r="126" spans="1:13" ht="12.75" customHeight="1">
      <c r="A126" s="85"/>
      <c r="M126" s="86"/>
    </row>
    <row r="127" spans="1:13" ht="12.75" customHeight="1">
      <c r="A127" s="85"/>
      <c r="M127" s="86"/>
    </row>
    <row r="128" spans="1:13" ht="12.75" customHeight="1">
      <c r="A128" s="85"/>
      <c r="M128" s="86"/>
    </row>
    <row r="129" spans="1:13" ht="12.75" customHeight="1">
      <c r="A129" s="85"/>
      <c r="M129" s="86"/>
    </row>
    <row r="130" spans="1:13" ht="12.75" customHeight="1">
      <c r="A130" s="85"/>
      <c r="M130" s="86"/>
    </row>
    <row r="131" spans="1:13" ht="12.75" customHeight="1">
      <c r="A131" s="85"/>
      <c r="M131" s="86"/>
    </row>
    <row r="132" spans="1:13" ht="12.75" customHeight="1">
      <c r="A132" s="85"/>
      <c r="M132" s="86"/>
    </row>
    <row r="133" spans="1:13" ht="12.75" customHeight="1">
      <c r="A133" s="85"/>
      <c r="M133" s="86"/>
    </row>
    <row r="134" spans="1:13" ht="12.75" customHeight="1">
      <c r="A134" s="85"/>
      <c r="M134" s="86"/>
    </row>
    <row r="135" spans="1:13" ht="12.75" customHeight="1">
      <c r="A135" s="85"/>
      <c r="M135" s="86"/>
    </row>
    <row r="136" spans="1:13" ht="12.75" customHeight="1">
      <c r="A136" s="85"/>
      <c r="M136" s="86"/>
    </row>
    <row r="137" spans="1:13" ht="12.75" customHeight="1">
      <c r="A137" s="85"/>
      <c r="M137" s="86"/>
    </row>
    <row r="138" spans="1:13" ht="12.75" customHeight="1">
      <c r="A138" s="85"/>
      <c r="M138" s="86"/>
    </row>
    <row r="139" spans="1:13" ht="12.75" customHeight="1">
      <c r="A139" s="85"/>
      <c r="M139" s="86"/>
    </row>
    <row r="140" spans="1:13" ht="12.75" customHeight="1">
      <c r="A140" s="85"/>
      <c r="M140" s="86"/>
    </row>
    <row r="141" spans="1:13" ht="12.75" customHeight="1">
      <c r="A141" s="85"/>
      <c r="M141" s="86"/>
    </row>
    <row r="142" spans="1:13" ht="12.75" customHeight="1">
      <c r="A142" s="85"/>
      <c r="M142" s="86"/>
    </row>
    <row r="143" spans="1:13" ht="12.75" customHeight="1">
      <c r="A143" s="85"/>
      <c r="M143" s="86"/>
    </row>
    <row r="144" spans="1:13" ht="12.75" customHeight="1">
      <c r="A144" s="85"/>
      <c r="M144" s="86"/>
    </row>
    <row r="145" spans="1:13" ht="12.75" customHeight="1">
      <c r="A145" s="85"/>
      <c r="M145" s="86"/>
    </row>
    <row r="146" spans="1:13" ht="12.75" customHeight="1">
      <c r="A146" s="85"/>
      <c r="M146" s="86"/>
    </row>
    <row r="147" spans="1:13" ht="12.75" customHeight="1">
      <c r="A147" s="85"/>
      <c r="M147" s="86"/>
    </row>
    <row r="148" spans="1:13" ht="12.75" customHeight="1">
      <c r="A148" s="85"/>
      <c r="M148" s="86"/>
    </row>
    <row r="149" spans="1:13" ht="12.75" customHeight="1">
      <c r="A149" s="85"/>
      <c r="M149" s="86"/>
    </row>
    <row r="150" spans="1:13" ht="12.75" customHeight="1">
      <c r="A150" s="85"/>
      <c r="M150" s="86"/>
    </row>
    <row r="151" spans="1:13" ht="12.75" customHeight="1">
      <c r="A151" s="85"/>
      <c r="M151" s="86"/>
    </row>
    <row r="152" spans="1:13" ht="12.75" customHeight="1">
      <c r="A152" s="85"/>
      <c r="M152" s="86"/>
    </row>
    <row r="153" spans="1:13" ht="12.75" customHeight="1">
      <c r="A153" s="85"/>
      <c r="M153" s="86"/>
    </row>
    <row r="154" spans="1:13" ht="12.75" customHeight="1">
      <c r="A154" s="85"/>
      <c r="M154" s="86"/>
    </row>
    <row r="155" spans="1:13" ht="12.75" customHeight="1">
      <c r="A155" s="85"/>
      <c r="M155" s="86"/>
    </row>
    <row r="156" spans="1:13" ht="12.75" customHeight="1">
      <c r="A156" s="85"/>
      <c r="M156" s="86"/>
    </row>
    <row r="157" spans="1:13" ht="12.75" customHeight="1">
      <c r="A157" s="85"/>
      <c r="M157" s="86"/>
    </row>
    <row r="158" spans="1:13" ht="12.75" customHeight="1">
      <c r="A158" s="85"/>
      <c r="M158" s="86"/>
    </row>
    <row r="159" spans="1:13" ht="12.75" customHeight="1">
      <c r="A159" s="85"/>
      <c r="M159" s="86"/>
    </row>
    <row r="160" spans="1:13" ht="12.75" customHeight="1">
      <c r="A160" s="85"/>
      <c r="M160" s="86"/>
    </row>
    <row r="161" spans="1:13" ht="12.75" customHeight="1">
      <c r="A161" s="85"/>
      <c r="M161" s="86"/>
    </row>
    <row r="162" spans="1:13" ht="12.75" customHeight="1">
      <c r="A162" s="85"/>
      <c r="M162" s="86"/>
    </row>
    <row r="163" spans="1:13" ht="12.75" customHeight="1">
      <c r="A163" s="85"/>
      <c r="M163" s="86"/>
    </row>
    <row r="164" spans="1:13" ht="12.75" customHeight="1">
      <c r="A164" s="85"/>
      <c r="M164" s="86"/>
    </row>
    <row r="165" spans="1:13" ht="12.75" customHeight="1">
      <c r="A165" s="85"/>
      <c r="M165" s="86"/>
    </row>
    <row r="166" spans="1:13" ht="12.75" customHeight="1">
      <c r="A166" s="85"/>
      <c r="M166" s="86"/>
    </row>
    <row r="167" spans="1:13" ht="12.75" customHeight="1">
      <c r="A167" s="85"/>
      <c r="M167" s="86"/>
    </row>
    <row r="168" spans="1:13" ht="12.75" customHeight="1">
      <c r="A168" s="85"/>
      <c r="M168" s="86"/>
    </row>
    <row r="169" spans="1:13" ht="12.75" customHeight="1">
      <c r="A169" s="85"/>
      <c r="M169" s="86"/>
    </row>
    <row r="170" spans="1:13" ht="12.75" customHeight="1">
      <c r="A170" s="85"/>
      <c r="M170" s="86"/>
    </row>
    <row r="171" spans="1:13" ht="12.75" customHeight="1">
      <c r="A171" s="85"/>
      <c r="M171" s="86"/>
    </row>
    <row r="172" spans="1:13" ht="12.75" customHeight="1">
      <c r="A172" s="85"/>
      <c r="M172" s="86"/>
    </row>
    <row r="173" spans="1:13" ht="12.75" customHeight="1">
      <c r="A173" s="85"/>
      <c r="M173" s="86"/>
    </row>
    <row r="174" spans="1:13" ht="12.75" customHeight="1">
      <c r="A174" s="85"/>
      <c r="M174" s="86"/>
    </row>
    <row r="175" spans="1:13" ht="12.75" customHeight="1">
      <c r="A175" s="85"/>
      <c r="M175" s="86"/>
    </row>
    <row r="176" spans="1:13" ht="12.75" customHeight="1">
      <c r="A176" s="85"/>
      <c r="M176" s="86"/>
    </row>
    <row r="177" spans="1:13" ht="12.75" customHeight="1">
      <c r="A177" s="85"/>
      <c r="M177" s="86"/>
    </row>
    <row r="178" spans="1:13" ht="12.75" customHeight="1">
      <c r="A178" s="85"/>
      <c r="M178" s="86"/>
    </row>
    <row r="179" spans="1:13" ht="12.75" customHeight="1">
      <c r="A179" s="85"/>
      <c r="M179" s="86"/>
    </row>
    <row r="180" spans="1:13" ht="12.75" customHeight="1">
      <c r="A180" s="85"/>
      <c r="M180" s="86"/>
    </row>
    <row r="181" spans="1:13" ht="12.75" customHeight="1">
      <c r="A181" s="85"/>
      <c r="M181" s="86"/>
    </row>
    <row r="182" spans="1:13" ht="12.75" customHeight="1">
      <c r="A182" s="85"/>
      <c r="M182" s="86"/>
    </row>
    <row r="183" spans="1:13" ht="12.75" customHeight="1">
      <c r="A183" s="85"/>
      <c r="M183" s="86"/>
    </row>
    <row r="184" spans="1:13" ht="12.75" customHeight="1">
      <c r="A184" s="85"/>
      <c r="M184" s="86"/>
    </row>
    <row r="185" spans="1:13" ht="12.75" customHeight="1">
      <c r="A185" s="85"/>
      <c r="M185" s="86"/>
    </row>
    <row r="186" spans="1:13" ht="12.75" customHeight="1">
      <c r="A186" s="85"/>
      <c r="M186" s="86"/>
    </row>
    <row r="187" spans="1:13" ht="12.75" customHeight="1">
      <c r="A187" s="85"/>
      <c r="M187" s="86"/>
    </row>
    <row r="188" spans="1:13" ht="12.75" customHeight="1">
      <c r="A188" s="85"/>
      <c r="M188" s="86"/>
    </row>
    <row r="189" spans="1:13" ht="12.75" customHeight="1">
      <c r="A189" s="85"/>
      <c r="M189" s="86"/>
    </row>
    <row r="190" spans="1:13" ht="12.75" customHeight="1">
      <c r="A190" s="85"/>
      <c r="M190" s="86"/>
    </row>
    <row r="191" spans="1:13" ht="12.75" customHeight="1">
      <c r="A191" s="85"/>
      <c r="M191" s="86"/>
    </row>
    <row r="192" spans="1:13" ht="12.75" customHeight="1">
      <c r="A192" s="85"/>
      <c r="M192" s="86"/>
    </row>
    <row r="193" spans="1:13" ht="12.75" customHeight="1">
      <c r="A193" s="85"/>
      <c r="M193" s="86"/>
    </row>
    <row r="194" spans="1:13" ht="12.75" customHeight="1">
      <c r="A194" s="85"/>
      <c r="M194" s="86"/>
    </row>
    <row r="195" spans="1:13" ht="12.75" customHeight="1">
      <c r="A195" s="85"/>
      <c r="M195" s="86"/>
    </row>
    <row r="196" spans="1:13" ht="12.75" customHeight="1">
      <c r="A196" s="85"/>
      <c r="M196" s="86"/>
    </row>
    <row r="197" spans="1:13" ht="12.75" customHeight="1">
      <c r="A197" s="85"/>
      <c r="M197" s="86"/>
    </row>
    <row r="198" spans="1:13" ht="12.75" customHeight="1">
      <c r="A198" s="85"/>
      <c r="M198" s="86"/>
    </row>
    <row r="199" spans="1:13" ht="12.75" customHeight="1">
      <c r="A199" s="85"/>
      <c r="M199" s="86"/>
    </row>
    <row r="200" spans="1:13" ht="12.75" customHeight="1">
      <c r="A200" s="85"/>
      <c r="M200" s="86"/>
    </row>
    <row r="201" spans="1:13" ht="12.75" customHeight="1">
      <c r="A201" s="85"/>
      <c r="M201" s="86"/>
    </row>
    <row r="202" spans="1:13" ht="12.75" customHeight="1">
      <c r="A202" s="85"/>
      <c r="M202" s="86"/>
    </row>
    <row r="203" spans="1:13" ht="12.75" customHeight="1">
      <c r="A203" s="85"/>
      <c r="M203" s="86"/>
    </row>
    <row r="204" spans="1:13" ht="12.75" customHeight="1">
      <c r="A204" s="85"/>
      <c r="M204" s="86"/>
    </row>
    <row r="205" spans="1:13" ht="12.75" customHeight="1">
      <c r="A205" s="85"/>
      <c r="M205" s="86"/>
    </row>
    <row r="206" spans="1:13" ht="12.75" customHeight="1">
      <c r="A206" s="85"/>
      <c r="M206" s="86"/>
    </row>
    <row r="207" spans="1:13" ht="12.75" customHeight="1">
      <c r="A207" s="85"/>
      <c r="M207" s="86"/>
    </row>
    <row r="208" spans="1:13" ht="12.75" customHeight="1">
      <c r="A208" s="85"/>
      <c r="M208" s="86"/>
    </row>
    <row r="209" spans="1:13" ht="12.75" customHeight="1">
      <c r="A209" s="85"/>
      <c r="M209" s="86"/>
    </row>
    <row r="210" spans="1:13" ht="12.75" customHeight="1">
      <c r="A210" s="85"/>
      <c r="M210" s="86"/>
    </row>
    <row r="211" spans="1:13" ht="12.75" customHeight="1">
      <c r="A211" s="85"/>
      <c r="M211" s="86"/>
    </row>
    <row r="212" spans="1:13" ht="12.75" customHeight="1">
      <c r="A212" s="85"/>
      <c r="M212" s="86"/>
    </row>
    <row r="213" spans="1:13" ht="12.75" customHeight="1">
      <c r="A213" s="85"/>
      <c r="M213" s="86"/>
    </row>
    <row r="214" spans="1:13" ht="12.75" customHeight="1">
      <c r="A214" s="85"/>
      <c r="M214" s="86"/>
    </row>
    <row r="215" spans="1:13" ht="12.75" customHeight="1">
      <c r="A215" s="85"/>
      <c r="M215" s="86"/>
    </row>
    <row r="216" spans="1:13" ht="12.75" customHeight="1">
      <c r="A216" s="85"/>
      <c r="M216" s="86"/>
    </row>
    <row r="217" spans="1:13" ht="12.75" customHeight="1">
      <c r="A217" s="85"/>
      <c r="M217" s="86"/>
    </row>
    <row r="218" spans="1:13" ht="12.75" customHeight="1">
      <c r="A218" s="85"/>
      <c r="M218" s="86"/>
    </row>
    <row r="219" spans="1:13" ht="12.75" customHeight="1">
      <c r="A219" s="85"/>
      <c r="M219" s="86"/>
    </row>
    <row r="220" spans="1:13" ht="12.75" customHeight="1">
      <c r="A220" s="85"/>
      <c r="M220" s="86"/>
    </row>
    <row r="221" spans="1:13" ht="12.75" customHeight="1">
      <c r="A221" s="85"/>
      <c r="M221" s="86"/>
    </row>
    <row r="222" spans="1:13" ht="12.75" customHeight="1">
      <c r="A222" s="85"/>
      <c r="M222" s="86"/>
    </row>
    <row r="223" spans="1:13" ht="12.75" customHeight="1">
      <c r="A223" s="85"/>
      <c r="M223" s="86"/>
    </row>
    <row r="224" spans="1:13" ht="12.75" customHeight="1">
      <c r="A224" s="85"/>
      <c r="M224" s="86"/>
    </row>
    <row r="225" spans="1:13" ht="12.75" customHeight="1">
      <c r="A225" s="85"/>
      <c r="M225" s="86"/>
    </row>
    <row r="226" spans="1:13" ht="12.75" customHeight="1">
      <c r="A226" s="85"/>
      <c r="M226" s="86"/>
    </row>
    <row r="227" spans="1:13" ht="12.75" customHeight="1">
      <c r="A227" s="85"/>
      <c r="M227" s="86"/>
    </row>
    <row r="228" spans="1:13" ht="12.75" customHeight="1">
      <c r="A228" s="85"/>
      <c r="M228" s="86"/>
    </row>
    <row r="229" spans="1:13" ht="12.75" customHeight="1">
      <c r="A229" s="85"/>
      <c r="M229" s="86"/>
    </row>
    <row r="230" spans="1:13" ht="12.75" customHeight="1">
      <c r="A230" s="85"/>
      <c r="M230" s="86"/>
    </row>
    <row r="231" spans="1:13" ht="12.75" customHeight="1">
      <c r="A231" s="85"/>
      <c r="M231" s="86"/>
    </row>
    <row r="232" spans="1:13" ht="12.75" customHeight="1">
      <c r="A232" s="85"/>
      <c r="M232" s="86"/>
    </row>
    <row r="233" spans="1:13" ht="12.75" customHeight="1">
      <c r="A233" s="85"/>
      <c r="M233" s="86"/>
    </row>
    <row r="234" spans="1:13" ht="12.75" customHeight="1">
      <c r="A234" s="85"/>
      <c r="M234" s="86"/>
    </row>
    <row r="235" spans="1:13" ht="12.75" customHeight="1">
      <c r="A235" s="85"/>
      <c r="M235" s="86"/>
    </row>
    <row r="236" spans="1:13" ht="12.75" customHeight="1">
      <c r="A236" s="85"/>
      <c r="M236" s="86"/>
    </row>
    <row r="237" spans="1:13" ht="12.75" customHeight="1">
      <c r="A237" s="85"/>
      <c r="M237" s="86"/>
    </row>
    <row r="238" spans="1:13" ht="12.75" customHeight="1">
      <c r="A238" s="85"/>
      <c r="M238" s="86"/>
    </row>
    <row r="239" spans="1:13" ht="12.75" customHeight="1">
      <c r="A239" s="85"/>
      <c r="M239" s="86"/>
    </row>
    <row r="240" spans="1:13" ht="12.75" customHeight="1">
      <c r="A240" s="85"/>
      <c r="M240" s="86"/>
    </row>
    <row r="241" spans="1:13" ht="12.75" customHeight="1">
      <c r="A241" s="85"/>
      <c r="M241" s="86"/>
    </row>
    <row r="242" spans="1:13" ht="12.75" customHeight="1">
      <c r="A242" s="85"/>
      <c r="M242" s="86"/>
    </row>
    <row r="243" spans="1:13" ht="12.75" customHeight="1">
      <c r="A243" s="85"/>
      <c r="M243" s="86"/>
    </row>
    <row r="244" spans="1:13" ht="12.75" customHeight="1">
      <c r="A244" s="85"/>
      <c r="M244" s="86"/>
    </row>
    <row r="245" spans="1:13" ht="12.75" customHeight="1">
      <c r="A245" s="85"/>
      <c r="M245" s="86"/>
    </row>
    <row r="246" spans="1:13" ht="12.75" customHeight="1">
      <c r="A246" s="85"/>
      <c r="M246" s="86"/>
    </row>
    <row r="247" spans="1:13" ht="12.75" customHeight="1">
      <c r="A247" s="85"/>
      <c r="M247" s="86"/>
    </row>
    <row r="248" spans="1:13" ht="12.75" customHeight="1">
      <c r="A248" s="85"/>
      <c r="M248" s="86"/>
    </row>
    <row r="249" spans="1:13" ht="12.75" customHeight="1">
      <c r="A249" s="85"/>
      <c r="M249" s="86"/>
    </row>
    <row r="250" spans="1:13" ht="12.75" customHeight="1">
      <c r="A250" s="85"/>
      <c r="M250" s="86"/>
    </row>
    <row r="251" spans="1:13" ht="12.75" customHeight="1">
      <c r="A251" s="85"/>
      <c r="M251" s="86"/>
    </row>
    <row r="252" spans="1:13" ht="12.75" customHeight="1">
      <c r="A252" s="85"/>
      <c r="M252" s="86"/>
    </row>
    <row r="253" spans="1:13" ht="12.75" customHeight="1">
      <c r="A253" s="85"/>
      <c r="M253" s="86"/>
    </row>
    <row r="254" spans="1:13" ht="12.75" customHeight="1">
      <c r="A254" s="85"/>
      <c r="M254" s="86"/>
    </row>
    <row r="255" spans="1:13" ht="12.75" customHeight="1">
      <c r="A255" s="85"/>
      <c r="M255" s="86"/>
    </row>
    <row r="256" spans="1:13" ht="12.75" customHeight="1">
      <c r="A256" s="85"/>
      <c r="M256" s="86"/>
    </row>
    <row r="257" spans="1:13" ht="12.75" customHeight="1">
      <c r="A257" s="85"/>
      <c r="M257" s="86"/>
    </row>
    <row r="258" spans="1:13" ht="12.75" customHeight="1">
      <c r="A258" s="85"/>
      <c r="M258" s="86"/>
    </row>
    <row r="259" spans="1:13" ht="12.75" customHeight="1">
      <c r="A259" s="85"/>
      <c r="M259" s="86"/>
    </row>
    <row r="260" spans="1:13" ht="12.75" customHeight="1">
      <c r="A260" s="85"/>
      <c r="M260" s="86"/>
    </row>
    <row r="261" spans="1:13" ht="12.75" customHeight="1">
      <c r="A261" s="85"/>
      <c r="M261" s="86"/>
    </row>
    <row r="262" spans="1:13" ht="12.75" customHeight="1">
      <c r="A262" s="85"/>
      <c r="M262" s="86"/>
    </row>
    <row r="263" spans="1:13" ht="12.75" customHeight="1">
      <c r="A263" s="85"/>
      <c r="M263" s="86"/>
    </row>
    <row r="264" spans="1:13" ht="12.75" customHeight="1">
      <c r="A264" s="85"/>
      <c r="M264" s="86"/>
    </row>
    <row r="265" spans="1:13" ht="12.75" customHeight="1">
      <c r="A265" s="85"/>
      <c r="M265" s="86"/>
    </row>
    <row r="266" spans="1:13" ht="12.75" customHeight="1">
      <c r="A266" s="85"/>
      <c r="M266" s="86"/>
    </row>
    <row r="267" spans="1:13" ht="12.75" customHeight="1">
      <c r="A267" s="85"/>
      <c r="M267" s="86"/>
    </row>
    <row r="268" spans="1:13" ht="12.75" customHeight="1">
      <c r="A268" s="85"/>
      <c r="M268" s="86"/>
    </row>
    <row r="269" spans="1:13" ht="12.75" customHeight="1">
      <c r="A269" s="85"/>
      <c r="M269" s="86"/>
    </row>
    <row r="270" spans="1:13" ht="12.75" customHeight="1">
      <c r="A270" s="85"/>
      <c r="M270" s="86"/>
    </row>
    <row r="271" spans="1:13" ht="12.75" customHeight="1">
      <c r="A271" s="85"/>
      <c r="M271" s="86"/>
    </row>
    <row r="272" spans="1:13" ht="12.75" customHeight="1">
      <c r="A272" s="85"/>
      <c r="M272" s="86"/>
    </row>
    <row r="273" spans="1:13" ht="12.75" customHeight="1">
      <c r="A273" s="85"/>
      <c r="M273" s="86"/>
    </row>
    <row r="274" spans="1:13" ht="12.75" customHeight="1">
      <c r="A274" s="85"/>
      <c r="M274" s="86"/>
    </row>
    <row r="275" spans="1:13" ht="12.75" customHeight="1">
      <c r="A275" s="85"/>
      <c r="M275" s="86"/>
    </row>
    <row r="276" spans="1:13" ht="12.75" customHeight="1">
      <c r="A276" s="85"/>
      <c r="M276" s="86"/>
    </row>
    <row r="277" spans="1:13" ht="12.75" customHeight="1">
      <c r="A277" s="85"/>
      <c r="M277" s="86"/>
    </row>
    <row r="278" spans="1:13" ht="12.75" customHeight="1">
      <c r="A278" s="85"/>
      <c r="M278" s="86"/>
    </row>
    <row r="279" spans="1:13" ht="12.75" customHeight="1">
      <c r="A279" s="85"/>
      <c r="M279" s="86"/>
    </row>
    <row r="280" spans="1:13" ht="12.75" customHeight="1">
      <c r="A280" s="85"/>
      <c r="M280" s="86"/>
    </row>
    <row r="281" spans="1:13" ht="12.75" customHeight="1">
      <c r="A281" s="85"/>
      <c r="M281" s="86"/>
    </row>
    <row r="282" spans="1:13" ht="12.75" customHeight="1">
      <c r="A282" s="85"/>
      <c r="M282" s="86"/>
    </row>
    <row r="283" spans="1:13" ht="12.75" customHeight="1">
      <c r="A283" s="85"/>
      <c r="M283" s="86"/>
    </row>
    <row r="284" spans="1:13" ht="12.75" customHeight="1">
      <c r="A284" s="85"/>
      <c r="M284" s="86"/>
    </row>
    <row r="285" spans="1:13" ht="12.75" customHeight="1">
      <c r="A285" s="85"/>
      <c r="M285" s="86"/>
    </row>
    <row r="286" spans="1:13" ht="12.75" customHeight="1">
      <c r="A286" s="85"/>
      <c r="M286" s="86"/>
    </row>
    <row r="287" spans="1:13" ht="12.75" customHeight="1">
      <c r="A287" s="85"/>
      <c r="M287" s="86"/>
    </row>
    <row r="288" spans="1:13" ht="12.75" customHeight="1">
      <c r="A288" s="85"/>
      <c r="M288" s="86"/>
    </row>
    <row r="289" spans="1:13" ht="12.75" customHeight="1">
      <c r="A289" s="85"/>
      <c r="M289" s="86"/>
    </row>
    <row r="290" spans="1:13" ht="12.75" customHeight="1">
      <c r="A290" s="85"/>
      <c r="M290" s="86"/>
    </row>
    <row r="291" spans="1:13" ht="12.75" customHeight="1">
      <c r="A291" s="85"/>
      <c r="M291" s="86"/>
    </row>
    <row r="292" spans="1:13" ht="12.75" customHeight="1">
      <c r="A292" s="85"/>
      <c r="M292" s="86"/>
    </row>
    <row r="293" spans="1:13" ht="12.75" customHeight="1">
      <c r="A293" s="85"/>
      <c r="M293" s="86"/>
    </row>
    <row r="294" spans="1:13" ht="12.75" customHeight="1">
      <c r="A294" s="85"/>
      <c r="M294" s="86"/>
    </row>
    <row r="295" spans="1:13" ht="12.75" customHeight="1">
      <c r="A295" s="85"/>
      <c r="M295" s="86"/>
    </row>
    <row r="296" spans="1:13" ht="12.75" customHeight="1">
      <c r="A296" s="85"/>
      <c r="M296" s="86"/>
    </row>
    <row r="297" spans="1:13" ht="12.75" customHeight="1">
      <c r="A297" s="85"/>
      <c r="M297" s="86"/>
    </row>
    <row r="298" spans="1:13" ht="12.75" customHeight="1">
      <c r="A298" s="85"/>
      <c r="M298" s="86"/>
    </row>
    <row r="299" spans="1:13" ht="12.75" customHeight="1">
      <c r="A299" s="85"/>
      <c r="M299" s="86"/>
    </row>
    <row r="300" spans="1:13" ht="12.75" customHeight="1">
      <c r="A300" s="85"/>
      <c r="M300" s="86"/>
    </row>
    <row r="301" spans="1:13" ht="12.75" customHeight="1">
      <c r="A301" s="85"/>
      <c r="M301" s="86"/>
    </row>
    <row r="302" spans="1:13" ht="12.75" customHeight="1">
      <c r="A302" s="85"/>
      <c r="M302" s="86"/>
    </row>
    <row r="303" spans="1:13" ht="12.75" customHeight="1">
      <c r="A303" s="85"/>
      <c r="M303" s="86"/>
    </row>
    <row r="304" spans="1:13" ht="12.75" customHeight="1">
      <c r="A304" s="85"/>
      <c r="M304" s="86"/>
    </row>
    <row r="305" spans="1:13" ht="12.75" customHeight="1">
      <c r="A305" s="85"/>
      <c r="M305" s="86"/>
    </row>
    <row r="306" spans="1:13" ht="12.75" customHeight="1">
      <c r="A306" s="85"/>
      <c r="M306" s="86"/>
    </row>
    <row r="307" spans="1:13" ht="12.75" customHeight="1">
      <c r="A307" s="85"/>
      <c r="M307" s="86"/>
    </row>
    <row r="308" spans="1:13" ht="12.75" customHeight="1">
      <c r="A308" s="85"/>
      <c r="M308" s="86"/>
    </row>
    <row r="309" spans="1:13" ht="12.75" customHeight="1">
      <c r="A309" s="85"/>
      <c r="M309" s="86"/>
    </row>
    <row r="310" spans="1:13" ht="12.75" customHeight="1">
      <c r="A310" s="85"/>
      <c r="M310" s="86"/>
    </row>
    <row r="311" spans="1:13" ht="12.75" customHeight="1">
      <c r="A311" s="85"/>
      <c r="M311" s="86"/>
    </row>
    <row r="312" spans="1:13" ht="12.75" customHeight="1">
      <c r="A312" s="85"/>
      <c r="M312" s="86"/>
    </row>
    <row r="313" spans="1:13" ht="12.75" customHeight="1">
      <c r="A313" s="85"/>
      <c r="M313" s="86"/>
    </row>
    <row r="314" spans="1:13" ht="12.75" customHeight="1">
      <c r="A314" s="85"/>
      <c r="M314" s="86"/>
    </row>
    <row r="315" spans="1:13" ht="12.75" customHeight="1">
      <c r="A315" s="85"/>
      <c r="M315" s="86"/>
    </row>
    <row r="316" spans="1:13" ht="12.75" customHeight="1">
      <c r="A316" s="85"/>
      <c r="M316" s="86"/>
    </row>
    <row r="317" spans="1:13" ht="12.75" customHeight="1">
      <c r="A317" s="85"/>
      <c r="M317" s="86"/>
    </row>
    <row r="318" spans="1:13" ht="12.75" customHeight="1">
      <c r="A318" s="85"/>
      <c r="M318" s="86"/>
    </row>
    <row r="319" spans="1:13" ht="12.75" customHeight="1">
      <c r="A319" s="85"/>
      <c r="M319" s="86"/>
    </row>
    <row r="320" spans="1:13" ht="12.75" customHeight="1">
      <c r="A320" s="85"/>
      <c r="M320" s="86"/>
    </row>
    <row r="321" spans="1:13" ht="12.75" customHeight="1">
      <c r="A321" s="85"/>
      <c r="M321" s="86"/>
    </row>
    <row r="322" spans="1:13" ht="12.75" customHeight="1">
      <c r="A322" s="85"/>
      <c r="M322" s="86"/>
    </row>
    <row r="323" spans="1:13" ht="12.75" customHeight="1">
      <c r="A323" s="85"/>
      <c r="M323" s="86"/>
    </row>
    <row r="324" spans="1:13" ht="12.75" customHeight="1">
      <c r="A324" s="85"/>
      <c r="M324" s="86"/>
    </row>
    <row r="325" spans="1:13" ht="12.75" customHeight="1">
      <c r="A325" s="85"/>
      <c r="M325" s="86"/>
    </row>
    <row r="326" spans="1:13" ht="12.75" customHeight="1">
      <c r="A326" s="85"/>
      <c r="M326" s="86"/>
    </row>
    <row r="327" spans="1:13" ht="12.75" customHeight="1">
      <c r="A327" s="85"/>
      <c r="M327" s="86"/>
    </row>
    <row r="328" spans="1:13" ht="12.75" customHeight="1">
      <c r="A328" s="85"/>
      <c r="M328" s="86"/>
    </row>
    <row r="329" spans="1:13" ht="12.75" customHeight="1">
      <c r="A329" s="85"/>
      <c r="M329" s="86"/>
    </row>
    <row r="330" spans="1:13" ht="12.75" customHeight="1">
      <c r="A330" s="85"/>
      <c r="M330" s="86"/>
    </row>
    <row r="331" spans="1:13" ht="12.75" customHeight="1">
      <c r="A331" s="85"/>
      <c r="M331" s="86"/>
    </row>
    <row r="332" spans="1:13" ht="12.75" customHeight="1">
      <c r="A332" s="85"/>
      <c r="M332" s="86"/>
    </row>
    <row r="333" spans="1:13" ht="12.75" customHeight="1">
      <c r="A333" s="85"/>
      <c r="M333" s="86"/>
    </row>
    <row r="334" spans="1:13" ht="12.75" customHeight="1">
      <c r="A334" s="85"/>
      <c r="M334" s="86"/>
    </row>
    <row r="335" spans="1:13" ht="12.75" customHeight="1">
      <c r="A335" s="85"/>
      <c r="M335" s="86"/>
    </row>
    <row r="336" spans="1:13" ht="12.75" customHeight="1">
      <c r="A336" s="85"/>
      <c r="M336" s="86"/>
    </row>
    <row r="337" spans="1:13" ht="12.75" customHeight="1">
      <c r="A337" s="85"/>
      <c r="M337" s="86"/>
    </row>
    <row r="338" spans="1:13" ht="12.75" customHeight="1">
      <c r="A338" s="85"/>
      <c r="M338" s="86"/>
    </row>
    <row r="339" spans="1:13" ht="12.75" customHeight="1">
      <c r="A339" s="85"/>
      <c r="M339" s="86"/>
    </row>
    <row r="340" spans="1:13" ht="12.75" customHeight="1">
      <c r="A340" s="85"/>
      <c r="M340" s="86"/>
    </row>
    <row r="341" spans="1:13" ht="12.75" customHeight="1">
      <c r="A341" s="85"/>
      <c r="M341" s="86"/>
    </row>
    <row r="342" spans="1:13" ht="12.75" customHeight="1">
      <c r="A342" s="85"/>
      <c r="M342" s="86"/>
    </row>
    <row r="343" spans="1:13" ht="12.75" customHeight="1">
      <c r="A343" s="85"/>
      <c r="M343" s="86"/>
    </row>
    <row r="344" spans="1:13" ht="12.75" customHeight="1">
      <c r="A344" s="85"/>
      <c r="M344" s="86"/>
    </row>
    <row r="345" spans="1:13" ht="12.75" customHeight="1">
      <c r="A345" s="85"/>
      <c r="M345" s="86"/>
    </row>
    <row r="346" spans="1:13" ht="12.75" customHeight="1">
      <c r="A346" s="85"/>
      <c r="M346" s="86"/>
    </row>
    <row r="347" spans="1:13" ht="12.75" customHeight="1">
      <c r="A347" s="85"/>
      <c r="M347" s="86"/>
    </row>
    <row r="348" spans="1:13" ht="12.75" customHeight="1">
      <c r="A348" s="85"/>
      <c r="M348" s="86"/>
    </row>
    <row r="349" spans="1:13" ht="12.75" customHeight="1">
      <c r="A349" s="85"/>
      <c r="M349" s="86"/>
    </row>
    <row r="350" spans="1:13" ht="12.75" customHeight="1">
      <c r="A350" s="85"/>
      <c r="M350" s="86"/>
    </row>
    <row r="351" spans="1:13" ht="12.75" customHeight="1">
      <c r="A351" s="85"/>
      <c r="M351" s="86"/>
    </row>
    <row r="352" spans="1:13" ht="12.75" customHeight="1">
      <c r="A352" s="85"/>
      <c r="M352" s="86"/>
    </row>
    <row r="353" spans="1:13" ht="12.75" customHeight="1">
      <c r="A353" s="85"/>
      <c r="M353" s="86"/>
    </row>
    <row r="354" spans="1:13" ht="12.75" customHeight="1">
      <c r="A354" s="85"/>
      <c r="M354" s="86"/>
    </row>
    <row r="355" spans="1:13" ht="12.75" customHeight="1">
      <c r="A355" s="85"/>
      <c r="M355" s="86"/>
    </row>
    <row r="356" spans="1:13" ht="12.75" customHeight="1">
      <c r="A356" s="85"/>
      <c r="M356" s="86"/>
    </row>
    <row r="357" spans="1:13" ht="12.75" customHeight="1">
      <c r="A357" s="85"/>
      <c r="M357" s="86"/>
    </row>
    <row r="358" spans="1:13" ht="12.75" customHeight="1">
      <c r="A358" s="85"/>
      <c r="M358" s="86"/>
    </row>
    <row r="359" spans="1:13" ht="12.75" customHeight="1">
      <c r="A359" s="85"/>
      <c r="M359" s="86"/>
    </row>
    <row r="360" spans="1:13" ht="12.75" customHeight="1">
      <c r="A360" s="85"/>
      <c r="M360" s="86"/>
    </row>
    <row r="361" spans="1:13" ht="12.75" customHeight="1">
      <c r="A361" s="85"/>
      <c r="M361" s="86"/>
    </row>
    <row r="362" spans="1:13" ht="12.75" customHeight="1">
      <c r="A362" s="85"/>
      <c r="M362" s="86"/>
    </row>
    <row r="363" spans="1:13" ht="12.75" customHeight="1">
      <c r="A363" s="85"/>
      <c r="M363" s="86"/>
    </row>
    <row r="364" spans="1:13" ht="12.75" customHeight="1">
      <c r="A364" s="85"/>
      <c r="M364" s="86"/>
    </row>
    <row r="365" spans="1:13" ht="12.75" customHeight="1">
      <c r="A365" s="85"/>
      <c r="M365" s="86"/>
    </row>
    <row r="366" spans="1:13" ht="12.75" customHeight="1">
      <c r="A366" s="85"/>
      <c r="M366" s="86"/>
    </row>
    <row r="367" spans="1:13" ht="12.75" customHeight="1">
      <c r="A367" s="85"/>
      <c r="M367" s="86"/>
    </row>
    <row r="368" spans="1:13" ht="12.75" customHeight="1">
      <c r="A368" s="85"/>
      <c r="M368" s="86"/>
    </row>
    <row r="369" spans="1:13" ht="12.75" customHeight="1">
      <c r="A369" s="85"/>
      <c r="M369" s="86"/>
    </row>
    <row r="370" spans="1:13" ht="12.75" customHeight="1">
      <c r="A370" s="85"/>
      <c r="M370" s="86"/>
    </row>
    <row r="371" spans="1:13" ht="12.75" customHeight="1">
      <c r="A371" s="85"/>
      <c r="M371" s="86"/>
    </row>
    <row r="372" spans="1:13" ht="12.75" customHeight="1">
      <c r="A372" s="85"/>
      <c r="M372" s="86"/>
    </row>
    <row r="373" spans="1:13" ht="12.75" customHeight="1">
      <c r="A373" s="85"/>
      <c r="M373" s="86"/>
    </row>
    <row r="374" spans="1:13" ht="12.75" customHeight="1">
      <c r="A374" s="85"/>
      <c r="M374" s="86"/>
    </row>
    <row r="375" spans="1:13" ht="12.75" customHeight="1">
      <c r="A375" s="85"/>
      <c r="M375" s="86"/>
    </row>
    <row r="376" spans="1:13" ht="12.75" customHeight="1">
      <c r="A376" s="85"/>
      <c r="M376" s="86"/>
    </row>
    <row r="377" spans="1:13" ht="12.75" customHeight="1">
      <c r="A377" s="85"/>
      <c r="M377" s="86"/>
    </row>
    <row r="378" spans="1:13" ht="12.75" customHeight="1">
      <c r="A378" s="85"/>
      <c r="M378" s="86"/>
    </row>
    <row r="379" spans="1:13" ht="12.75" customHeight="1">
      <c r="A379" s="85"/>
      <c r="M379" s="86"/>
    </row>
    <row r="380" spans="1:13" ht="12.75" customHeight="1">
      <c r="A380" s="85"/>
      <c r="M380" s="86"/>
    </row>
    <row r="381" spans="1:13" ht="12.75" customHeight="1">
      <c r="A381" s="85"/>
      <c r="M381" s="86"/>
    </row>
    <row r="382" spans="1:13" ht="12.75" customHeight="1">
      <c r="A382" s="85"/>
      <c r="M382" s="86"/>
    </row>
    <row r="383" spans="1:13" ht="12.75" customHeight="1">
      <c r="A383" s="85"/>
      <c r="M383" s="86"/>
    </row>
    <row r="384" spans="1:13" ht="12.75" customHeight="1">
      <c r="A384" s="85"/>
      <c r="M384" s="86"/>
    </row>
    <row r="385" spans="1:13" ht="12.75" customHeight="1">
      <c r="A385" s="85"/>
      <c r="M385" s="86"/>
    </row>
    <row r="386" spans="1:13" ht="12.75" customHeight="1">
      <c r="A386" s="85"/>
      <c r="M386" s="86"/>
    </row>
    <row r="387" spans="1:13" ht="12.75" customHeight="1">
      <c r="A387" s="85"/>
      <c r="M387" s="86"/>
    </row>
    <row r="388" spans="1:13" ht="12.75" customHeight="1">
      <c r="A388" s="85"/>
      <c r="M388" s="86"/>
    </row>
    <row r="389" spans="1:13" ht="12.75" customHeight="1">
      <c r="A389" s="85"/>
      <c r="M389" s="86"/>
    </row>
    <row r="390" spans="1:13" ht="12.75" customHeight="1">
      <c r="A390" s="85"/>
      <c r="M390" s="86"/>
    </row>
    <row r="391" spans="1:13" ht="12.75" customHeight="1">
      <c r="A391" s="85"/>
      <c r="M391" s="86"/>
    </row>
    <row r="392" spans="1:13" ht="12.75" customHeight="1">
      <c r="A392" s="85"/>
      <c r="M392" s="86"/>
    </row>
    <row r="393" spans="1:13" ht="12.75" customHeight="1">
      <c r="A393" s="85"/>
      <c r="M393" s="86"/>
    </row>
    <row r="394" spans="1:13" ht="12.75" customHeight="1">
      <c r="A394" s="85"/>
      <c r="M394" s="86"/>
    </row>
    <row r="395" spans="1:13" ht="12.75" customHeight="1">
      <c r="A395" s="85"/>
      <c r="M395" s="86"/>
    </row>
    <row r="396" spans="1:13" ht="12.75" customHeight="1">
      <c r="A396" s="85"/>
      <c r="M396" s="86"/>
    </row>
    <row r="397" spans="1:13" ht="12.75" customHeight="1">
      <c r="A397" s="85"/>
      <c r="M397" s="86"/>
    </row>
    <row r="398" spans="1:13" ht="12.75" customHeight="1">
      <c r="A398" s="85"/>
      <c r="M398" s="86"/>
    </row>
    <row r="399" spans="1:13" ht="12.75" customHeight="1">
      <c r="A399" s="85"/>
      <c r="M399" s="86"/>
    </row>
    <row r="400" spans="1:13" ht="12.75" customHeight="1">
      <c r="A400" s="85"/>
      <c r="M400" s="86"/>
    </row>
    <row r="401" spans="1:13" ht="12.75" customHeight="1">
      <c r="A401" s="85"/>
      <c r="M401" s="86"/>
    </row>
    <row r="402" spans="1:13" ht="12.75" customHeight="1">
      <c r="A402" s="85"/>
      <c r="M402" s="86"/>
    </row>
    <row r="403" spans="1:13" ht="12.75" customHeight="1">
      <c r="A403" s="85"/>
      <c r="M403" s="86"/>
    </row>
    <row r="404" spans="1:13" ht="12.75" customHeight="1">
      <c r="A404" s="85"/>
      <c r="M404" s="86"/>
    </row>
    <row r="405" spans="1:13" ht="12.75" customHeight="1">
      <c r="A405" s="85"/>
      <c r="M405" s="86"/>
    </row>
    <row r="406" spans="1:13" ht="12.75" customHeight="1">
      <c r="A406" s="85"/>
      <c r="M406" s="86"/>
    </row>
    <row r="407" spans="1:13" ht="12.75" customHeight="1">
      <c r="A407" s="85"/>
      <c r="M407" s="86"/>
    </row>
    <row r="408" spans="1:13" ht="12.75" customHeight="1">
      <c r="A408" s="85"/>
      <c r="M408" s="86"/>
    </row>
    <row r="409" spans="1:13" ht="12.75" customHeight="1">
      <c r="A409" s="85"/>
      <c r="M409" s="86"/>
    </row>
    <row r="410" spans="1:13" ht="12.75" customHeight="1">
      <c r="A410" s="85"/>
      <c r="M410" s="86"/>
    </row>
    <row r="411" spans="1:13" ht="12.75" customHeight="1">
      <c r="A411" s="85"/>
      <c r="M411" s="86"/>
    </row>
    <row r="412" spans="1:13" ht="12.75" customHeight="1">
      <c r="A412" s="85"/>
      <c r="M412" s="86"/>
    </row>
    <row r="413" spans="1:13" ht="12.75" customHeight="1">
      <c r="A413" s="85"/>
      <c r="M413" s="86"/>
    </row>
    <row r="414" spans="1:13" ht="12.75" customHeight="1">
      <c r="A414" s="85"/>
      <c r="M414" s="86"/>
    </row>
    <row r="415" spans="1:13" ht="12.75" customHeight="1">
      <c r="A415" s="85"/>
      <c r="M415" s="86"/>
    </row>
    <row r="416" spans="1:13" ht="12.75" customHeight="1">
      <c r="A416" s="85"/>
      <c r="M416" s="86"/>
    </row>
    <row r="417" spans="1:13" ht="12.75" customHeight="1">
      <c r="A417" s="85"/>
      <c r="M417" s="86"/>
    </row>
    <row r="418" spans="1:13" ht="12.75" customHeight="1">
      <c r="A418" s="85"/>
      <c r="M418" s="86"/>
    </row>
    <row r="419" spans="1:13" ht="12.75" customHeight="1">
      <c r="A419" s="85"/>
      <c r="M419" s="86"/>
    </row>
    <row r="420" spans="1:13" ht="12.75" customHeight="1">
      <c r="A420" s="85"/>
      <c r="M420" s="86"/>
    </row>
    <row r="421" spans="1:13" ht="12.75" customHeight="1">
      <c r="A421" s="85"/>
      <c r="M421" s="86"/>
    </row>
    <row r="422" spans="1:13" ht="12.75" customHeight="1">
      <c r="A422" s="85"/>
      <c r="M422" s="86"/>
    </row>
    <row r="423" spans="1:13" ht="12.75" customHeight="1">
      <c r="A423" s="85"/>
      <c r="M423" s="86"/>
    </row>
    <row r="424" spans="1:13" ht="12.75" customHeight="1">
      <c r="A424" s="85"/>
      <c r="M424" s="86"/>
    </row>
    <row r="425" spans="1:13" ht="12.75" customHeight="1">
      <c r="A425" s="85"/>
      <c r="M425" s="86"/>
    </row>
    <row r="426" spans="1:13" ht="12.75" customHeight="1">
      <c r="A426" s="85"/>
      <c r="M426" s="86"/>
    </row>
    <row r="427" spans="1:13" ht="12.75" customHeight="1">
      <c r="A427" s="85"/>
      <c r="M427" s="86"/>
    </row>
    <row r="428" spans="1:13" ht="12.75" customHeight="1">
      <c r="A428" s="85"/>
      <c r="M428" s="86"/>
    </row>
    <row r="429" spans="1:13" ht="12.75" customHeight="1">
      <c r="A429" s="85"/>
      <c r="M429" s="86"/>
    </row>
    <row r="430" spans="1:13" ht="12.75" customHeight="1">
      <c r="A430" s="85"/>
      <c r="M430" s="86"/>
    </row>
    <row r="431" spans="1:13" ht="12.75" customHeight="1">
      <c r="A431" s="85"/>
      <c r="M431" s="86"/>
    </row>
    <row r="432" spans="1:13" ht="12.75" customHeight="1">
      <c r="A432" s="85"/>
      <c r="M432" s="86"/>
    </row>
    <row r="433" spans="1:13" ht="12.75" customHeight="1">
      <c r="A433" s="85"/>
      <c r="M433" s="86"/>
    </row>
    <row r="434" spans="1:13" ht="12.75" customHeight="1">
      <c r="A434" s="85"/>
      <c r="M434" s="86"/>
    </row>
    <row r="435" spans="1:13" ht="12.75" customHeight="1">
      <c r="A435" s="85"/>
      <c r="M435" s="86"/>
    </row>
    <row r="436" spans="1:13" ht="12.75" customHeight="1">
      <c r="A436" s="85"/>
      <c r="M436" s="86"/>
    </row>
    <row r="437" spans="1:13" ht="12.75" customHeight="1">
      <c r="A437" s="85"/>
      <c r="M437" s="86"/>
    </row>
    <row r="438" spans="1:13" ht="12.75" customHeight="1">
      <c r="A438" s="85"/>
      <c r="M438" s="86"/>
    </row>
    <row r="439" spans="1:13" ht="12.75" customHeight="1">
      <c r="A439" s="85"/>
      <c r="M439" s="86"/>
    </row>
    <row r="440" spans="1:13" ht="12.75" customHeight="1">
      <c r="A440" s="85"/>
      <c r="M440" s="86"/>
    </row>
    <row r="441" spans="1:13" ht="12.75" customHeight="1">
      <c r="A441" s="85"/>
      <c r="M441" s="86"/>
    </row>
    <row r="442" spans="1:13" ht="12.75" customHeight="1">
      <c r="A442" s="85"/>
      <c r="M442" s="86"/>
    </row>
    <row r="443" spans="1:13" ht="12.75" customHeight="1">
      <c r="A443" s="85"/>
      <c r="M443" s="86"/>
    </row>
    <row r="444" spans="1:13" ht="12.75" customHeight="1">
      <c r="A444" s="85"/>
      <c r="M444" s="86"/>
    </row>
    <row r="445" spans="1:13" ht="12.75" customHeight="1">
      <c r="A445" s="85"/>
      <c r="M445" s="86"/>
    </row>
    <row r="446" spans="1:13" ht="12.75" customHeight="1">
      <c r="A446" s="85"/>
      <c r="M446" s="86"/>
    </row>
    <row r="447" spans="1:13" ht="12.75" customHeight="1">
      <c r="A447" s="85"/>
      <c r="M447" s="86"/>
    </row>
    <row r="448" spans="1:13" ht="12.75" customHeight="1">
      <c r="A448" s="85"/>
      <c r="M448" s="86"/>
    </row>
    <row r="449" spans="1:13" ht="12.75" customHeight="1">
      <c r="A449" s="85"/>
      <c r="M449" s="86"/>
    </row>
    <row r="450" spans="1:13" ht="12.75" customHeight="1">
      <c r="A450" s="85"/>
      <c r="M450" s="86"/>
    </row>
    <row r="451" spans="1:13" ht="12.75" customHeight="1">
      <c r="A451" s="85"/>
      <c r="M451" s="86"/>
    </row>
    <row r="452" spans="1:13" ht="12.75" customHeight="1">
      <c r="A452" s="85"/>
      <c r="M452" s="86"/>
    </row>
    <row r="453" spans="1:13" ht="12.75" customHeight="1">
      <c r="A453" s="85"/>
      <c r="M453" s="86"/>
    </row>
    <row r="454" spans="1:13" ht="12.75" customHeight="1">
      <c r="A454" s="85"/>
      <c r="M454" s="86"/>
    </row>
    <row r="455" spans="1:13" ht="12.75" customHeight="1">
      <c r="A455" s="85"/>
      <c r="M455" s="86"/>
    </row>
    <row r="456" spans="1:13" ht="12.75" customHeight="1">
      <c r="A456" s="85"/>
      <c r="M456" s="86"/>
    </row>
    <row r="457" spans="1:13" ht="12.75" customHeight="1">
      <c r="A457" s="85"/>
      <c r="M457" s="86"/>
    </row>
    <row r="458" spans="1:13" ht="12.75" customHeight="1">
      <c r="A458" s="85"/>
      <c r="M458" s="86"/>
    </row>
    <row r="459" spans="1:13" ht="12.75" customHeight="1">
      <c r="A459" s="85"/>
      <c r="M459" s="86"/>
    </row>
    <row r="460" spans="1:13" ht="12.75" customHeight="1">
      <c r="A460" s="85"/>
      <c r="M460" s="86"/>
    </row>
    <row r="461" spans="1:13" ht="12.75" customHeight="1">
      <c r="A461" s="85"/>
      <c r="M461" s="86"/>
    </row>
    <row r="462" spans="1:13" ht="12.75" customHeight="1">
      <c r="A462" s="85"/>
      <c r="M462" s="86"/>
    </row>
    <row r="463" spans="1:13" ht="12.75" customHeight="1">
      <c r="A463" s="85"/>
      <c r="M463" s="86"/>
    </row>
    <row r="464" spans="1:13" ht="12.75" customHeight="1">
      <c r="A464" s="85"/>
      <c r="M464" s="86"/>
    </row>
    <row r="465" spans="1:13" ht="12.75" customHeight="1">
      <c r="A465" s="85"/>
      <c r="M465" s="86"/>
    </row>
    <row r="466" spans="1:13" ht="12.75" customHeight="1">
      <c r="A466" s="85"/>
      <c r="M466" s="86"/>
    </row>
    <row r="467" spans="1:13" ht="12.75" customHeight="1">
      <c r="A467" s="85"/>
      <c r="M467" s="86"/>
    </row>
    <row r="468" spans="1:13" ht="12.75" customHeight="1">
      <c r="A468" s="85"/>
      <c r="M468" s="86"/>
    </row>
    <row r="469" spans="1:13" ht="12.75" customHeight="1">
      <c r="A469" s="85"/>
      <c r="M469" s="86"/>
    </row>
    <row r="470" spans="1:13" ht="12.75" customHeight="1">
      <c r="A470" s="85"/>
      <c r="M470" s="86"/>
    </row>
    <row r="471" spans="1:13" ht="12.75" customHeight="1">
      <c r="A471" s="85"/>
      <c r="M471" s="86"/>
    </row>
    <row r="472" spans="1:13" ht="12.75" customHeight="1">
      <c r="A472" s="85"/>
      <c r="M472" s="86"/>
    </row>
    <row r="473" spans="1:13" ht="12.75" customHeight="1">
      <c r="A473" s="85"/>
      <c r="M473" s="86"/>
    </row>
    <row r="474" spans="1:13" ht="12.75" customHeight="1">
      <c r="A474" s="85"/>
      <c r="M474" s="86"/>
    </row>
    <row r="475" spans="1:13" ht="12.75" customHeight="1">
      <c r="A475" s="85"/>
      <c r="M475" s="86"/>
    </row>
    <row r="476" spans="1:13" ht="12.75" customHeight="1">
      <c r="A476" s="85"/>
      <c r="M476" s="86"/>
    </row>
    <row r="477" spans="1:13" ht="12.75" customHeight="1">
      <c r="A477" s="85"/>
      <c r="M477" s="86"/>
    </row>
    <row r="478" spans="1:13" ht="12.75" customHeight="1">
      <c r="A478" s="85"/>
      <c r="M478" s="86"/>
    </row>
    <row r="479" spans="1:13" ht="12.75" customHeight="1">
      <c r="A479" s="85"/>
      <c r="M479" s="86"/>
    </row>
    <row r="480" spans="1:13" ht="12.75" customHeight="1">
      <c r="A480" s="85"/>
      <c r="M480" s="86"/>
    </row>
    <row r="481" spans="1:13" ht="12.75" customHeight="1">
      <c r="A481" s="85"/>
      <c r="M481" s="86"/>
    </row>
    <row r="482" spans="1:13" ht="12.75" customHeight="1">
      <c r="A482" s="85"/>
      <c r="M482" s="86"/>
    </row>
    <row r="483" spans="1:13" ht="12.75" customHeight="1">
      <c r="A483" s="85"/>
      <c r="M483" s="86"/>
    </row>
    <row r="484" spans="1:13" ht="12.75" customHeight="1">
      <c r="A484" s="85"/>
      <c r="M484" s="86"/>
    </row>
    <row r="485" spans="1:13" ht="12.75" customHeight="1">
      <c r="A485" s="85"/>
      <c r="M485" s="86"/>
    </row>
    <row r="486" spans="1:13" ht="12.75" customHeight="1">
      <c r="A486" s="85"/>
      <c r="M486" s="86"/>
    </row>
    <row r="487" spans="1:13" ht="12.75" customHeight="1">
      <c r="A487" s="85"/>
      <c r="M487" s="86"/>
    </row>
    <row r="488" spans="1:13" ht="12.75" customHeight="1">
      <c r="A488" s="85"/>
      <c r="M488" s="86"/>
    </row>
    <row r="489" spans="1:13" ht="12.75" customHeight="1">
      <c r="A489" s="85"/>
      <c r="M489" s="86"/>
    </row>
    <row r="490" spans="1:13" ht="12.75" customHeight="1">
      <c r="A490" s="85"/>
      <c r="M490" s="86"/>
    </row>
    <row r="491" spans="1:13" ht="12.75" customHeight="1">
      <c r="A491" s="85"/>
      <c r="M491" s="86"/>
    </row>
    <row r="492" spans="1:13" ht="12.75" customHeight="1">
      <c r="A492" s="85"/>
      <c r="M492" s="86"/>
    </row>
    <row r="493" spans="1:13" ht="12.75" customHeight="1">
      <c r="A493" s="85"/>
      <c r="M493" s="86"/>
    </row>
    <row r="494" spans="1:13" ht="12.75" customHeight="1">
      <c r="A494" s="85"/>
      <c r="M494" s="86"/>
    </row>
    <row r="495" spans="1:13" ht="12.75" customHeight="1">
      <c r="A495" s="85"/>
      <c r="M495" s="86"/>
    </row>
    <row r="496" spans="1:13" ht="12.75" customHeight="1">
      <c r="A496" s="85"/>
      <c r="M496" s="86"/>
    </row>
    <row r="497" spans="1:13" ht="12.75" customHeight="1">
      <c r="A497" s="85"/>
      <c r="M497" s="86"/>
    </row>
    <row r="498" spans="1:13" ht="12.75" customHeight="1">
      <c r="A498" s="85"/>
      <c r="M498" s="86"/>
    </row>
    <row r="499" spans="1:13" ht="12.75" customHeight="1">
      <c r="A499" s="85"/>
      <c r="M499" s="86"/>
    </row>
    <row r="500" spans="1:13" ht="12.75" customHeight="1">
      <c r="A500" s="85"/>
      <c r="M500" s="86"/>
    </row>
    <row r="501" spans="1:13" ht="12.75" customHeight="1">
      <c r="A501" s="85"/>
      <c r="M501" s="86"/>
    </row>
    <row r="502" spans="1:13" ht="12.75" customHeight="1">
      <c r="A502" s="85"/>
      <c r="M502" s="86"/>
    </row>
    <row r="503" spans="1:13" ht="12.75" customHeight="1">
      <c r="A503" s="85"/>
      <c r="M503" s="86"/>
    </row>
    <row r="504" spans="1:13" ht="12.75" customHeight="1">
      <c r="A504" s="85"/>
      <c r="M504" s="86"/>
    </row>
    <row r="505" spans="1:13" ht="12.75" customHeight="1">
      <c r="A505" s="85"/>
      <c r="M505" s="86"/>
    </row>
    <row r="506" spans="1:13" ht="12.75" customHeight="1">
      <c r="A506" s="85"/>
      <c r="M506" s="86"/>
    </row>
    <row r="507" spans="1:13" ht="12.75" customHeight="1">
      <c r="A507" s="85"/>
      <c r="M507" s="86"/>
    </row>
    <row r="508" spans="1:13" ht="12.75" customHeight="1">
      <c r="A508" s="85"/>
      <c r="M508" s="86"/>
    </row>
    <row r="509" spans="1:13" ht="12.75" customHeight="1">
      <c r="A509" s="85"/>
      <c r="M509" s="86"/>
    </row>
    <row r="510" spans="1:13" ht="12.75" customHeight="1">
      <c r="A510" s="85"/>
      <c r="M510" s="86"/>
    </row>
    <row r="511" spans="1:13" ht="12.75" customHeight="1">
      <c r="A511" s="85"/>
      <c r="M511" s="86"/>
    </row>
    <row r="512" spans="1:13" ht="12.75" customHeight="1">
      <c r="A512" s="85"/>
      <c r="M512" s="86"/>
    </row>
    <row r="513" spans="1:13" ht="12.75" customHeight="1">
      <c r="A513" s="85"/>
      <c r="M513" s="86"/>
    </row>
    <row r="514" spans="1:13" ht="12.75" customHeight="1">
      <c r="A514" s="85"/>
      <c r="M514" s="86"/>
    </row>
    <row r="515" spans="1:13" ht="12.75" customHeight="1">
      <c r="A515" s="85"/>
      <c r="M515" s="86"/>
    </row>
    <row r="516" spans="1:13" ht="12.75" customHeight="1">
      <c r="A516" s="85"/>
      <c r="M516" s="86"/>
    </row>
    <row r="517" spans="1:13" ht="12.75" customHeight="1">
      <c r="A517" s="85"/>
      <c r="M517" s="86"/>
    </row>
    <row r="518" spans="1:13" ht="12.75" customHeight="1">
      <c r="A518" s="85"/>
      <c r="M518" s="86"/>
    </row>
    <row r="519" spans="1:13" ht="12.75" customHeight="1">
      <c r="A519" s="85"/>
      <c r="M519" s="86"/>
    </row>
    <row r="520" spans="1:13" ht="12.75" customHeight="1">
      <c r="A520" s="85"/>
      <c r="M520" s="86"/>
    </row>
    <row r="521" spans="1:13" ht="12.75" customHeight="1">
      <c r="A521" s="85"/>
      <c r="M521" s="86"/>
    </row>
    <row r="522" spans="1:13" ht="12.75" customHeight="1">
      <c r="A522" s="85"/>
      <c r="M522" s="86"/>
    </row>
    <row r="523" spans="1:13" ht="12.75" customHeight="1">
      <c r="A523" s="85"/>
      <c r="M523" s="86"/>
    </row>
    <row r="524" spans="1:13" ht="12.75" customHeight="1">
      <c r="A524" s="85"/>
      <c r="M524" s="86"/>
    </row>
    <row r="525" spans="1:13" ht="12.75" customHeight="1">
      <c r="A525" s="85"/>
      <c r="M525" s="86"/>
    </row>
    <row r="526" spans="1:13" ht="12.75" customHeight="1">
      <c r="A526" s="85"/>
      <c r="M526" s="86"/>
    </row>
    <row r="527" spans="1:13" ht="12.75" customHeight="1">
      <c r="A527" s="85"/>
      <c r="M527" s="86"/>
    </row>
    <row r="528" spans="1:13" ht="12.75" customHeight="1">
      <c r="A528" s="85"/>
      <c r="M528" s="86"/>
    </row>
    <row r="529" spans="1:13" ht="12.75" customHeight="1">
      <c r="A529" s="85"/>
      <c r="M529" s="86"/>
    </row>
    <row r="530" spans="1:13" ht="12.75" customHeight="1">
      <c r="A530" s="85"/>
      <c r="M530" s="86"/>
    </row>
    <row r="531" spans="1:13" ht="12.75" customHeight="1">
      <c r="A531" s="85"/>
      <c r="M531" s="86"/>
    </row>
    <row r="532" spans="1:13" ht="12.75" customHeight="1">
      <c r="A532" s="85"/>
      <c r="M532" s="86"/>
    </row>
    <row r="533" spans="1:13" ht="12.75" customHeight="1">
      <c r="A533" s="85"/>
      <c r="M533" s="86"/>
    </row>
    <row r="534" spans="1:13" ht="12.75" customHeight="1">
      <c r="A534" s="85"/>
      <c r="M534" s="86"/>
    </row>
    <row r="535" spans="1:13" ht="12.75" customHeight="1">
      <c r="A535" s="85"/>
      <c r="M535" s="86"/>
    </row>
    <row r="536" spans="1:13" ht="12.75" customHeight="1">
      <c r="A536" s="85"/>
      <c r="M536" s="86"/>
    </row>
    <row r="537" spans="1:13" ht="12.75" customHeight="1">
      <c r="A537" s="85"/>
      <c r="M537" s="86"/>
    </row>
    <row r="538" spans="1:13" ht="12.75" customHeight="1">
      <c r="A538" s="85"/>
      <c r="M538" s="86"/>
    </row>
    <row r="539" spans="1:13" ht="12.75" customHeight="1">
      <c r="A539" s="85"/>
      <c r="M539" s="86"/>
    </row>
    <row r="540" spans="1:13" ht="12.75" customHeight="1">
      <c r="A540" s="85"/>
      <c r="M540" s="86"/>
    </row>
    <row r="541" spans="1:13" ht="12.75" customHeight="1">
      <c r="A541" s="85"/>
      <c r="M541" s="86"/>
    </row>
    <row r="542" spans="1:13" ht="12.75" customHeight="1">
      <c r="A542" s="85"/>
      <c r="M542" s="86"/>
    </row>
    <row r="543" spans="1:13" ht="12.75" customHeight="1">
      <c r="A543" s="85"/>
      <c r="M543" s="86"/>
    </row>
    <row r="544" spans="1:13" ht="12.75" customHeight="1">
      <c r="A544" s="85"/>
      <c r="M544" s="86"/>
    </row>
    <row r="545" spans="1:13" ht="12.75" customHeight="1">
      <c r="A545" s="85"/>
      <c r="M545" s="86"/>
    </row>
    <row r="546" spans="1:13" ht="12.75" customHeight="1">
      <c r="A546" s="85"/>
      <c r="M546" s="86"/>
    </row>
    <row r="547" spans="1:13" ht="12.75" customHeight="1">
      <c r="A547" s="85"/>
      <c r="M547" s="86"/>
    </row>
    <row r="548" spans="1:13" ht="12.75" customHeight="1">
      <c r="A548" s="85"/>
      <c r="M548" s="86"/>
    </row>
    <row r="549" spans="1:13" ht="12.75" customHeight="1">
      <c r="A549" s="85"/>
      <c r="M549" s="86"/>
    </row>
    <row r="550" spans="1:13" ht="12.75" customHeight="1">
      <c r="A550" s="85"/>
      <c r="M550" s="86"/>
    </row>
    <row r="551" spans="1:13" ht="12.75" customHeight="1">
      <c r="A551" s="85"/>
      <c r="M551" s="86"/>
    </row>
    <row r="552" spans="1:13" ht="12.75" customHeight="1">
      <c r="A552" s="85"/>
      <c r="M552" s="86"/>
    </row>
    <row r="553" spans="1:13" ht="12.75" customHeight="1">
      <c r="A553" s="85"/>
      <c r="M553" s="86"/>
    </row>
    <row r="554" spans="1:13" ht="12.75" customHeight="1">
      <c r="A554" s="85"/>
      <c r="M554" s="86"/>
    </row>
    <row r="555" spans="1:13" ht="12.75" customHeight="1">
      <c r="A555" s="85"/>
      <c r="M555" s="86"/>
    </row>
    <row r="556" spans="1:13" ht="12.75" customHeight="1">
      <c r="A556" s="85"/>
      <c r="M556" s="86"/>
    </row>
    <row r="557" spans="1:13" ht="12.75" customHeight="1">
      <c r="A557" s="85"/>
      <c r="M557" s="86"/>
    </row>
    <row r="558" spans="1:13" ht="12.75" customHeight="1">
      <c r="A558" s="85"/>
      <c r="M558" s="86"/>
    </row>
    <row r="559" spans="1:13" ht="12.75" customHeight="1">
      <c r="A559" s="85"/>
      <c r="M559" s="86"/>
    </row>
    <row r="560" spans="1:13" ht="12.75" customHeight="1">
      <c r="A560" s="85"/>
      <c r="M560" s="86"/>
    </row>
    <row r="561" spans="1:13" ht="12.75" customHeight="1">
      <c r="A561" s="85"/>
      <c r="M561" s="86"/>
    </row>
    <row r="562" spans="1:13" ht="12.75" customHeight="1">
      <c r="A562" s="85"/>
      <c r="M562" s="86"/>
    </row>
    <row r="563" spans="1:13" ht="12.75" customHeight="1">
      <c r="A563" s="85"/>
      <c r="M563" s="86"/>
    </row>
    <row r="564" spans="1:13" ht="12.75" customHeight="1">
      <c r="A564" s="85"/>
      <c r="M564" s="86"/>
    </row>
    <row r="565" spans="1:13" ht="12.75" customHeight="1">
      <c r="A565" s="85"/>
      <c r="M565" s="86"/>
    </row>
    <row r="566" spans="1:13" ht="12.75" customHeight="1">
      <c r="A566" s="85"/>
      <c r="M566" s="86"/>
    </row>
    <row r="567" spans="1:13" ht="12.75" customHeight="1">
      <c r="A567" s="85"/>
      <c r="M567" s="86"/>
    </row>
    <row r="568" spans="1:13" ht="12.75" customHeight="1">
      <c r="A568" s="85"/>
      <c r="M568" s="86"/>
    </row>
    <row r="569" spans="1:13" ht="12.75" customHeight="1">
      <c r="A569" s="85"/>
      <c r="M569" s="86"/>
    </row>
    <row r="570" spans="1:13" ht="12.75" customHeight="1">
      <c r="A570" s="85"/>
      <c r="M570" s="86"/>
    </row>
    <row r="571" spans="1:13" ht="12.75" customHeight="1">
      <c r="A571" s="85"/>
      <c r="M571" s="86"/>
    </row>
    <row r="572" spans="1:13" ht="12.75" customHeight="1">
      <c r="A572" s="85"/>
      <c r="M572" s="86"/>
    </row>
    <row r="573" spans="1:13" ht="12.75" customHeight="1">
      <c r="A573" s="85"/>
      <c r="M573" s="86"/>
    </row>
    <row r="574" spans="1:13" ht="12.75" customHeight="1">
      <c r="A574" s="85"/>
      <c r="M574" s="86"/>
    </row>
    <row r="575" spans="1:13" ht="12.75" customHeight="1">
      <c r="A575" s="85"/>
      <c r="M575" s="86"/>
    </row>
    <row r="576" spans="1:13" ht="12.75" customHeight="1">
      <c r="A576" s="85"/>
      <c r="M576" s="86"/>
    </row>
    <row r="577" spans="1:13" ht="12.75" customHeight="1">
      <c r="A577" s="85"/>
      <c r="M577" s="86"/>
    </row>
    <row r="578" spans="1:13" ht="12.75" customHeight="1">
      <c r="A578" s="85"/>
      <c r="M578" s="86"/>
    </row>
    <row r="579" spans="1:13" ht="12.75" customHeight="1">
      <c r="A579" s="85"/>
      <c r="M579" s="86"/>
    </row>
    <row r="580" spans="1:13" ht="12.75" customHeight="1">
      <c r="A580" s="85"/>
      <c r="M580" s="86"/>
    </row>
    <row r="581" spans="1:13" ht="12.75" customHeight="1">
      <c r="A581" s="85"/>
      <c r="M581" s="86"/>
    </row>
    <row r="582" spans="1:13" ht="12.75" customHeight="1">
      <c r="A582" s="85"/>
      <c r="M582" s="86"/>
    </row>
    <row r="583" spans="1:13" ht="12.75" customHeight="1">
      <c r="A583" s="85"/>
      <c r="M583" s="86"/>
    </row>
    <row r="584" spans="1:13" ht="12.75" customHeight="1">
      <c r="A584" s="85"/>
      <c r="M584" s="86"/>
    </row>
    <row r="585" spans="1:13" ht="12.75" customHeight="1">
      <c r="A585" s="85"/>
      <c r="M585" s="86"/>
    </row>
    <row r="586" spans="1:13" ht="12.75" customHeight="1">
      <c r="A586" s="85"/>
      <c r="M586" s="86"/>
    </row>
    <row r="587" spans="1:13" ht="12.75" customHeight="1">
      <c r="A587" s="85"/>
      <c r="M587" s="86"/>
    </row>
    <row r="588" spans="1:13" ht="12.75" customHeight="1">
      <c r="A588" s="85"/>
      <c r="M588" s="86"/>
    </row>
    <row r="589" spans="1:13" ht="12.75" customHeight="1">
      <c r="A589" s="85"/>
      <c r="M589" s="86"/>
    </row>
    <row r="590" spans="1:13" ht="12.75" customHeight="1">
      <c r="A590" s="85"/>
      <c r="M590" s="86"/>
    </row>
    <row r="591" spans="1:13" ht="12.75" customHeight="1">
      <c r="A591" s="85"/>
      <c r="M591" s="86"/>
    </row>
    <row r="592" spans="1:13" ht="12.75" customHeight="1">
      <c r="A592" s="85"/>
      <c r="M592" s="86"/>
    </row>
    <row r="593" spans="1:13" ht="12.75" customHeight="1">
      <c r="A593" s="85"/>
      <c r="M593" s="86"/>
    </row>
    <row r="594" spans="1:13" ht="12.75" customHeight="1">
      <c r="A594" s="85"/>
      <c r="M594" s="86"/>
    </row>
    <row r="595" spans="1:13" ht="12.75" customHeight="1">
      <c r="A595" s="85"/>
      <c r="M595" s="86"/>
    </row>
    <row r="596" spans="1:13" ht="12.75" customHeight="1">
      <c r="A596" s="85"/>
      <c r="M596" s="86"/>
    </row>
    <row r="597" spans="1:13" ht="12.75" customHeight="1">
      <c r="A597" s="85"/>
      <c r="M597" s="86"/>
    </row>
    <row r="598" spans="1:13" ht="12.75" customHeight="1">
      <c r="A598" s="85"/>
      <c r="M598" s="86"/>
    </row>
    <row r="599" spans="1:13" ht="12.75" customHeight="1">
      <c r="A599" s="85"/>
      <c r="M599" s="86"/>
    </row>
    <row r="600" spans="1:13" ht="12.75" customHeight="1">
      <c r="A600" s="85"/>
      <c r="M600" s="86"/>
    </row>
    <row r="601" spans="1:13" ht="12.75" customHeight="1">
      <c r="A601" s="85"/>
      <c r="M601" s="86"/>
    </row>
    <row r="602" spans="1:13" ht="12.75" customHeight="1">
      <c r="A602" s="85"/>
      <c r="M602" s="86"/>
    </row>
    <row r="603" spans="1:13" ht="12.75" customHeight="1">
      <c r="A603" s="85"/>
      <c r="M603" s="86"/>
    </row>
    <row r="604" spans="1:13" ht="12.75" customHeight="1">
      <c r="A604" s="85"/>
      <c r="M604" s="86"/>
    </row>
    <row r="605" spans="1:13" ht="12.75" customHeight="1">
      <c r="A605" s="85"/>
      <c r="M605" s="86"/>
    </row>
    <row r="606" spans="1:13" ht="12.75" customHeight="1">
      <c r="A606" s="85"/>
      <c r="M606" s="86"/>
    </row>
    <row r="607" spans="1:13" ht="12.75" customHeight="1">
      <c r="A607" s="85"/>
      <c r="M607" s="86"/>
    </row>
    <row r="608" spans="1:13" ht="12.75" customHeight="1">
      <c r="A608" s="85"/>
      <c r="M608" s="86"/>
    </row>
    <row r="609" spans="1:13" ht="12.75" customHeight="1">
      <c r="A609" s="85"/>
      <c r="M609" s="86"/>
    </row>
    <row r="610" spans="1:13" ht="12.75" customHeight="1">
      <c r="A610" s="85"/>
      <c r="M610" s="86"/>
    </row>
    <row r="611" spans="1:13" ht="12.75" customHeight="1">
      <c r="A611" s="85"/>
      <c r="M611" s="86"/>
    </row>
    <row r="612" spans="1:13" ht="12.75" customHeight="1">
      <c r="A612" s="85"/>
      <c r="M612" s="86"/>
    </row>
    <row r="613" spans="1:13" ht="12.75" customHeight="1">
      <c r="A613" s="85"/>
      <c r="M613" s="86"/>
    </row>
    <row r="614" spans="1:13" ht="12.75" customHeight="1">
      <c r="A614" s="85"/>
      <c r="M614" s="86"/>
    </row>
    <row r="615" spans="1:13" ht="12.75" customHeight="1">
      <c r="A615" s="85"/>
      <c r="M615" s="86"/>
    </row>
    <row r="616" spans="1:13" ht="12.75" customHeight="1">
      <c r="A616" s="85"/>
      <c r="M616" s="86"/>
    </row>
    <row r="617" spans="1:13" ht="12.75" customHeight="1">
      <c r="A617" s="85"/>
      <c r="M617" s="86"/>
    </row>
    <row r="618" spans="1:13" ht="12.75" customHeight="1">
      <c r="A618" s="85"/>
      <c r="M618" s="86"/>
    </row>
    <row r="619" spans="1:13" ht="12.75" customHeight="1">
      <c r="A619" s="85"/>
      <c r="M619" s="86"/>
    </row>
    <row r="620" spans="1:13" ht="12.75" customHeight="1">
      <c r="A620" s="85"/>
      <c r="M620" s="86"/>
    </row>
    <row r="621" spans="1:13" ht="12.75" customHeight="1">
      <c r="A621" s="85"/>
      <c r="M621" s="86"/>
    </row>
    <row r="622" spans="1:13" ht="12.75" customHeight="1">
      <c r="A622" s="85"/>
      <c r="M622" s="86"/>
    </row>
    <row r="623" spans="1:13" ht="12.75" customHeight="1">
      <c r="A623" s="85"/>
      <c r="M623" s="86"/>
    </row>
    <row r="624" spans="1:13" ht="12.75" customHeight="1">
      <c r="A624" s="85"/>
      <c r="M624" s="86"/>
    </row>
    <row r="625" spans="1:13" ht="12.75" customHeight="1">
      <c r="A625" s="85"/>
      <c r="M625" s="86"/>
    </row>
    <row r="626" spans="1:13" ht="12.75" customHeight="1">
      <c r="A626" s="85"/>
      <c r="M626" s="86"/>
    </row>
    <row r="627" spans="1:13" ht="12.75" customHeight="1">
      <c r="A627" s="85"/>
      <c r="M627" s="86"/>
    </row>
    <row r="628" spans="1:13" ht="12.75" customHeight="1">
      <c r="A628" s="85"/>
      <c r="M628" s="86"/>
    </row>
    <row r="629" spans="1:13" ht="12.75" customHeight="1">
      <c r="A629" s="85"/>
      <c r="M629" s="86"/>
    </row>
    <row r="630" spans="1:13" ht="12.75" customHeight="1">
      <c r="A630" s="85"/>
      <c r="M630" s="86"/>
    </row>
    <row r="631" spans="1:13" ht="12.75" customHeight="1">
      <c r="A631" s="85"/>
      <c r="M631" s="86"/>
    </row>
    <row r="632" spans="1:13" ht="12.75" customHeight="1">
      <c r="A632" s="85"/>
      <c r="M632" s="86"/>
    </row>
    <row r="633" spans="1:13" ht="12.75" customHeight="1">
      <c r="A633" s="85"/>
      <c r="M633" s="86"/>
    </row>
    <row r="634" spans="1:13" ht="12.75" customHeight="1">
      <c r="A634" s="85"/>
      <c r="M634" s="86"/>
    </row>
    <row r="635" spans="1:13" ht="12.75" customHeight="1">
      <c r="A635" s="85"/>
      <c r="M635" s="86"/>
    </row>
    <row r="636" spans="1:13" ht="12.75" customHeight="1">
      <c r="A636" s="85"/>
      <c r="M636" s="86"/>
    </row>
    <row r="637" spans="1:13" ht="12.75" customHeight="1">
      <c r="A637" s="85"/>
      <c r="M637" s="86"/>
    </row>
    <row r="638" spans="1:13" ht="12.75" customHeight="1">
      <c r="A638" s="85"/>
      <c r="M638" s="86"/>
    </row>
    <row r="639" spans="1:13" ht="12.75" customHeight="1">
      <c r="A639" s="85"/>
      <c r="M639" s="86"/>
    </row>
    <row r="640" spans="1:13" ht="12.75" customHeight="1">
      <c r="A640" s="85"/>
      <c r="M640" s="86"/>
    </row>
    <row r="641" spans="1:13" ht="12.75" customHeight="1">
      <c r="A641" s="85"/>
      <c r="M641" s="86"/>
    </row>
    <row r="642" spans="1:13" ht="12.75" customHeight="1">
      <c r="A642" s="85"/>
      <c r="M642" s="86"/>
    </row>
    <row r="643" spans="1:13" ht="12.75" customHeight="1">
      <c r="A643" s="85"/>
      <c r="M643" s="86"/>
    </row>
    <row r="644" spans="1:13" ht="12.75" customHeight="1">
      <c r="A644" s="85"/>
      <c r="M644" s="86"/>
    </row>
    <row r="645" spans="1:13" ht="12.75" customHeight="1">
      <c r="A645" s="85"/>
      <c r="M645" s="86"/>
    </row>
    <row r="646" spans="1:13" ht="12.75" customHeight="1">
      <c r="A646" s="85"/>
      <c r="M646" s="86"/>
    </row>
    <row r="647" spans="1:13" ht="12.75" customHeight="1">
      <c r="A647" s="85"/>
      <c r="M647" s="86"/>
    </row>
    <row r="648" spans="1:13" ht="12.75" customHeight="1">
      <c r="A648" s="85"/>
      <c r="M648" s="86"/>
    </row>
    <row r="649" spans="1:13" ht="12.75" customHeight="1">
      <c r="A649" s="85"/>
      <c r="M649" s="86"/>
    </row>
    <row r="650" spans="1:13" ht="12.75" customHeight="1">
      <c r="A650" s="85"/>
      <c r="M650" s="86"/>
    </row>
    <row r="651" spans="1:13" ht="12.75" customHeight="1">
      <c r="A651" s="85"/>
      <c r="M651" s="86"/>
    </row>
    <row r="652" spans="1:13" ht="12.75" customHeight="1">
      <c r="A652" s="85"/>
      <c r="M652" s="86"/>
    </row>
    <row r="653" spans="1:13" ht="12.75" customHeight="1">
      <c r="A653" s="85"/>
      <c r="M653" s="86"/>
    </row>
    <row r="654" spans="1:13" ht="12.75" customHeight="1">
      <c r="A654" s="85"/>
      <c r="M654" s="86"/>
    </row>
    <row r="655" spans="1:13" ht="12.75" customHeight="1">
      <c r="A655" s="85"/>
      <c r="M655" s="86"/>
    </row>
    <row r="656" spans="1:13" ht="12.75" customHeight="1">
      <c r="A656" s="85"/>
      <c r="M656" s="86"/>
    </row>
    <row r="657" spans="1:13" ht="12.75" customHeight="1">
      <c r="A657" s="85"/>
      <c r="M657" s="86"/>
    </row>
    <row r="658" spans="1:13" ht="12.75" customHeight="1">
      <c r="A658" s="85"/>
      <c r="M658" s="86"/>
    </row>
    <row r="659" spans="1:13" ht="12.75" customHeight="1">
      <c r="A659" s="85"/>
      <c r="M659" s="86"/>
    </row>
    <row r="660" spans="1:13" ht="12.75" customHeight="1">
      <c r="A660" s="85"/>
      <c r="M660" s="86"/>
    </row>
    <row r="661" spans="1:13" ht="12.75" customHeight="1">
      <c r="A661" s="85"/>
      <c r="M661" s="86"/>
    </row>
    <row r="662" spans="1:13" ht="12.75" customHeight="1">
      <c r="A662" s="85"/>
      <c r="M662" s="86"/>
    </row>
    <row r="663" spans="1:13" ht="12.75" customHeight="1">
      <c r="A663" s="85"/>
      <c r="M663" s="86"/>
    </row>
    <row r="664" spans="1:13" ht="12.75" customHeight="1">
      <c r="A664" s="85"/>
      <c r="M664" s="86"/>
    </row>
    <row r="665" spans="1:13" ht="12.75" customHeight="1">
      <c r="A665" s="85"/>
      <c r="M665" s="86"/>
    </row>
    <row r="666" spans="1:13" ht="12.75" customHeight="1">
      <c r="A666" s="85"/>
      <c r="M666" s="86"/>
    </row>
    <row r="667" spans="1:13" ht="12.75" customHeight="1">
      <c r="A667" s="85"/>
      <c r="M667" s="86"/>
    </row>
    <row r="668" spans="1:13" ht="12.75" customHeight="1">
      <c r="A668" s="85"/>
      <c r="M668" s="86"/>
    </row>
    <row r="669" spans="1:13" ht="12.75" customHeight="1">
      <c r="A669" s="85"/>
      <c r="M669" s="86"/>
    </row>
    <row r="670" spans="1:13" ht="12.75" customHeight="1">
      <c r="A670" s="85"/>
      <c r="M670" s="86"/>
    </row>
    <row r="671" spans="1:13" ht="12.75" customHeight="1">
      <c r="A671" s="85"/>
      <c r="M671" s="86"/>
    </row>
    <row r="672" spans="1:13" ht="12.75" customHeight="1">
      <c r="A672" s="85"/>
      <c r="M672" s="86"/>
    </row>
    <row r="673" spans="1:13" ht="12.75" customHeight="1">
      <c r="A673" s="85"/>
      <c r="M673" s="86"/>
    </row>
    <row r="674" spans="1:13" ht="12.75" customHeight="1">
      <c r="A674" s="85"/>
      <c r="M674" s="86"/>
    </row>
    <row r="675" spans="1:13" ht="12.75" customHeight="1">
      <c r="A675" s="85"/>
      <c r="M675" s="86"/>
    </row>
    <row r="676" spans="1:13" ht="12.75" customHeight="1">
      <c r="A676" s="85"/>
      <c r="M676" s="86"/>
    </row>
    <row r="677" spans="1:13" ht="12.75" customHeight="1">
      <c r="A677" s="85"/>
      <c r="M677" s="86"/>
    </row>
    <row r="678" spans="1:13" ht="12.75" customHeight="1">
      <c r="A678" s="85"/>
      <c r="M678" s="86"/>
    </row>
    <row r="679" spans="1:13" ht="12.75" customHeight="1">
      <c r="A679" s="85"/>
      <c r="M679" s="86"/>
    </row>
    <row r="680" spans="1:13" ht="12.75" customHeight="1">
      <c r="A680" s="85"/>
      <c r="M680" s="86"/>
    </row>
    <row r="681" spans="1:13" ht="12.75" customHeight="1">
      <c r="A681" s="85"/>
      <c r="M681" s="86"/>
    </row>
    <row r="682" spans="1:13" ht="12.75" customHeight="1">
      <c r="A682" s="85"/>
      <c r="M682" s="86"/>
    </row>
    <row r="683" spans="1:13" ht="12.75" customHeight="1">
      <c r="A683" s="85"/>
      <c r="M683" s="86"/>
    </row>
    <row r="684" spans="1:13" ht="12.75" customHeight="1">
      <c r="A684" s="85"/>
      <c r="M684" s="86"/>
    </row>
    <row r="685" spans="1:13" ht="12.75" customHeight="1">
      <c r="A685" s="85"/>
      <c r="M685" s="86"/>
    </row>
    <row r="686" spans="1:13" ht="12.75" customHeight="1">
      <c r="A686" s="85"/>
      <c r="M686" s="86"/>
    </row>
    <row r="687" spans="1:13" ht="12.75" customHeight="1">
      <c r="A687" s="85"/>
      <c r="M687" s="86"/>
    </row>
    <row r="688" spans="1:13" ht="12.75" customHeight="1">
      <c r="A688" s="85"/>
      <c r="M688" s="86"/>
    </row>
    <row r="689" spans="1:13" ht="12.75" customHeight="1">
      <c r="A689" s="85"/>
      <c r="M689" s="86"/>
    </row>
    <row r="690" spans="1:13" ht="12.75" customHeight="1">
      <c r="A690" s="85"/>
      <c r="M690" s="86"/>
    </row>
    <row r="691" spans="1:13" ht="12.75" customHeight="1">
      <c r="A691" s="85"/>
      <c r="M691" s="86"/>
    </row>
    <row r="692" spans="1:13" ht="12.75" customHeight="1">
      <c r="A692" s="85"/>
      <c r="M692" s="86"/>
    </row>
    <row r="693" spans="1:13" ht="12.75" customHeight="1">
      <c r="A693" s="85"/>
      <c r="M693" s="86"/>
    </row>
    <row r="694" spans="1:13" ht="12.75" customHeight="1">
      <c r="A694" s="85"/>
      <c r="M694" s="86"/>
    </row>
    <row r="695" spans="1:13" ht="12.75" customHeight="1">
      <c r="A695" s="85"/>
      <c r="M695" s="86"/>
    </row>
    <row r="696" spans="1:13" ht="12.75" customHeight="1">
      <c r="A696" s="85"/>
      <c r="M696" s="86"/>
    </row>
    <row r="697" spans="1:13" ht="12.75" customHeight="1">
      <c r="A697" s="85"/>
      <c r="M697" s="86"/>
    </row>
    <row r="698" spans="1:13" ht="12.75" customHeight="1">
      <c r="A698" s="85"/>
      <c r="M698" s="86"/>
    </row>
    <row r="699" spans="1:13" ht="12.75" customHeight="1">
      <c r="A699" s="85"/>
      <c r="M699" s="86"/>
    </row>
    <row r="700" spans="1:13" ht="12.75" customHeight="1">
      <c r="A700" s="85"/>
      <c r="M700" s="86"/>
    </row>
    <row r="701" spans="1:13" ht="12.75" customHeight="1">
      <c r="A701" s="85"/>
      <c r="M701" s="86"/>
    </row>
    <row r="702" spans="1:13" ht="12.75" customHeight="1">
      <c r="A702" s="85"/>
      <c r="M702" s="86"/>
    </row>
    <row r="703" spans="1:13" ht="12.75" customHeight="1">
      <c r="A703" s="85"/>
      <c r="M703" s="86"/>
    </row>
    <row r="704" spans="1:13" ht="12.75" customHeight="1">
      <c r="A704" s="85"/>
      <c r="M704" s="86"/>
    </row>
    <row r="705" spans="1:13" ht="12.75" customHeight="1">
      <c r="A705" s="85"/>
      <c r="M705" s="86"/>
    </row>
    <row r="706" spans="1:13" ht="12.75" customHeight="1">
      <c r="A706" s="85"/>
      <c r="M706" s="86"/>
    </row>
    <row r="707" spans="1:13" ht="12.75" customHeight="1">
      <c r="A707" s="85"/>
      <c r="M707" s="86"/>
    </row>
    <row r="708" spans="1:13" ht="12.75" customHeight="1">
      <c r="A708" s="85"/>
      <c r="M708" s="86"/>
    </row>
    <row r="709" spans="1:13" ht="12.75" customHeight="1">
      <c r="A709" s="85"/>
      <c r="M709" s="86"/>
    </row>
    <row r="710" spans="1:13" ht="12.75" customHeight="1">
      <c r="A710" s="85"/>
      <c r="M710" s="86"/>
    </row>
    <row r="711" spans="1:13" ht="12.75" customHeight="1">
      <c r="A711" s="85"/>
      <c r="M711" s="86"/>
    </row>
    <row r="712" spans="1:13" ht="12.75" customHeight="1">
      <c r="A712" s="85"/>
      <c r="M712" s="86"/>
    </row>
    <row r="713" spans="1:13" ht="12.75" customHeight="1">
      <c r="A713" s="85"/>
      <c r="M713" s="86"/>
    </row>
    <row r="714" spans="1:13" ht="12.75" customHeight="1">
      <c r="A714" s="85"/>
      <c r="M714" s="86"/>
    </row>
    <row r="715" spans="1:13" ht="12.75" customHeight="1">
      <c r="A715" s="85"/>
      <c r="M715" s="86"/>
    </row>
    <row r="716" spans="1:13" ht="12.75" customHeight="1">
      <c r="A716" s="85"/>
      <c r="M716" s="86"/>
    </row>
    <row r="717" spans="1:13" ht="12.75" customHeight="1">
      <c r="A717" s="85"/>
      <c r="M717" s="86"/>
    </row>
    <row r="718" spans="1:13" ht="12.75" customHeight="1">
      <c r="A718" s="85"/>
      <c r="M718" s="86"/>
    </row>
    <row r="719" spans="1:13" ht="12.75" customHeight="1">
      <c r="A719" s="85"/>
      <c r="M719" s="86"/>
    </row>
    <row r="720" spans="1:13" ht="12.75" customHeight="1">
      <c r="A720" s="85"/>
      <c r="M720" s="86"/>
    </row>
    <row r="721" spans="1:13" ht="12.75" customHeight="1">
      <c r="A721" s="85"/>
      <c r="M721" s="86"/>
    </row>
    <row r="722" spans="1:13" ht="12.75" customHeight="1">
      <c r="A722" s="85"/>
      <c r="M722" s="86"/>
    </row>
    <row r="723" spans="1:13" ht="12.75" customHeight="1">
      <c r="A723" s="85"/>
      <c r="M723" s="86"/>
    </row>
    <row r="724" spans="1:13" ht="12.75" customHeight="1">
      <c r="A724" s="85"/>
      <c r="M724" s="86"/>
    </row>
    <row r="725" spans="1:13" ht="12.75" customHeight="1">
      <c r="A725" s="85"/>
      <c r="M725" s="86"/>
    </row>
    <row r="726" spans="1:13" ht="12.75" customHeight="1">
      <c r="A726" s="85"/>
      <c r="M726" s="86"/>
    </row>
    <row r="727" spans="1:13" ht="12.75" customHeight="1">
      <c r="A727" s="85"/>
      <c r="M727" s="86"/>
    </row>
    <row r="728" spans="1:13" ht="12.75" customHeight="1">
      <c r="A728" s="85"/>
      <c r="M728" s="86"/>
    </row>
    <row r="729" spans="1:13" ht="12.75" customHeight="1">
      <c r="A729" s="85"/>
      <c r="M729" s="86"/>
    </row>
    <row r="730" spans="1:13" ht="12.75" customHeight="1">
      <c r="A730" s="85"/>
      <c r="M730" s="86"/>
    </row>
    <row r="731" spans="1:13" ht="12.75" customHeight="1">
      <c r="A731" s="85"/>
      <c r="M731" s="86"/>
    </row>
    <row r="732" spans="1:13" ht="12.75" customHeight="1">
      <c r="A732" s="85"/>
      <c r="M732" s="86"/>
    </row>
    <row r="733" spans="1:13" ht="12.75" customHeight="1">
      <c r="A733" s="85"/>
      <c r="M733" s="86"/>
    </row>
    <row r="734" spans="1:13" ht="12.75" customHeight="1">
      <c r="A734" s="85"/>
      <c r="M734" s="86"/>
    </row>
    <row r="735" spans="1:13" ht="12.75" customHeight="1">
      <c r="A735" s="85"/>
      <c r="M735" s="86"/>
    </row>
    <row r="736" spans="1:13" ht="12.75" customHeight="1">
      <c r="A736" s="85"/>
      <c r="M736" s="86"/>
    </row>
    <row r="737" spans="1:13" ht="12.75" customHeight="1">
      <c r="A737" s="85"/>
      <c r="M737" s="86"/>
    </row>
    <row r="738" spans="1:13" ht="12.75" customHeight="1">
      <c r="A738" s="85"/>
      <c r="M738" s="86"/>
    </row>
    <row r="739" spans="1:13" ht="12.75" customHeight="1">
      <c r="A739" s="85"/>
      <c r="M739" s="86"/>
    </row>
    <row r="740" spans="1:13" ht="12.75" customHeight="1">
      <c r="A740" s="85"/>
      <c r="M740" s="86"/>
    </row>
    <row r="741" spans="1:13" ht="12.75" customHeight="1">
      <c r="A741" s="85"/>
      <c r="M741" s="86"/>
    </row>
    <row r="742" spans="1:13" ht="12.75" customHeight="1">
      <c r="A742" s="85"/>
      <c r="M742" s="86"/>
    </row>
    <row r="743" spans="1:13" ht="12.75" customHeight="1">
      <c r="A743" s="85"/>
      <c r="M743" s="86"/>
    </row>
    <row r="744" spans="1:13" ht="12.75" customHeight="1">
      <c r="A744" s="85"/>
      <c r="M744" s="86"/>
    </row>
    <row r="745" spans="1:13" ht="12.75" customHeight="1">
      <c r="A745" s="85"/>
      <c r="M745" s="86"/>
    </row>
    <row r="746" spans="1:13" ht="12.75" customHeight="1">
      <c r="A746" s="85"/>
      <c r="M746" s="86"/>
    </row>
    <row r="747" spans="1:13" ht="12.75" customHeight="1">
      <c r="A747" s="85"/>
      <c r="M747" s="86"/>
    </row>
    <row r="748" spans="1:13" ht="12.75" customHeight="1">
      <c r="A748" s="85"/>
      <c r="M748" s="86"/>
    </row>
    <row r="749" spans="1:13" ht="12.75" customHeight="1">
      <c r="A749" s="85"/>
      <c r="M749" s="86"/>
    </row>
    <row r="750" spans="1:13" ht="12.75" customHeight="1">
      <c r="A750" s="85"/>
      <c r="M750" s="86"/>
    </row>
    <row r="751" spans="1:13" ht="12.75" customHeight="1">
      <c r="A751" s="85"/>
      <c r="M751" s="86"/>
    </row>
    <row r="752" spans="1:13" ht="12.75" customHeight="1">
      <c r="A752" s="85"/>
      <c r="M752" s="86"/>
    </row>
    <row r="753" spans="1:13" ht="12.75" customHeight="1">
      <c r="A753" s="85"/>
      <c r="M753" s="86"/>
    </row>
    <row r="754" spans="1:13" ht="12.75" customHeight="1">
      <c r="A754" s="85"/>
      <c r="M754" s="86"/>
    </row>
    <row r="755" spans="1:13" ht="12.75" customHeight="1">
      <c r="A755" s="85"/>
      <c r="M755" s="86"/>
    </row>
    <row r="756" spans="1:13" ht="12.75" customHeight="1">
      <c r="A756" s="85"/>
      <c r="M756" s="86"/>
    </row>
    <row r="757" spans="1:13" ht="12.75" customHeight="1">
      <c r="A757" s="85"/>
      <c r="M757" s="86"/>
    </row>
    <row r="758" spans="1:13" ht="12.75" customHeight="1">
      <c r="A758" s="85"/>
      <c r="M758" s="86"/>
    </row>
    <row r="759" spans="1:13" ht="12.75" customHeight="1">
      <c r="A759" s="85"/>
      <c r="M759" s="86"/>
    </row>
    <row r="760" spans="1:13" ht="12.75" customHeight="1">
      <c r="A760" s="85"/>
      <c r="M760" s="86"/>
    </row>
    <row r="761" spans="1:13" ht="12.75" customHeight="1">
      <c r="A761" s="85"/>
      <c r="M761" s="86"/>
    </row>
    <row r="762" spans="1:13" ht="12.75" customHeight="1">
      <c r="A762" s="85"/>
      <c r="M762" s="86"/>
    </row>
    <row r="763" spans="1:13" ht="12.75" customHeight="1">
      <c r="A763" s="85"/>
      <c r="M763" s="86"/>
    </row>
    <row r="764" spans="1:13" ht="12.75" customHeight="1">
      <c r="A764" s="85"/>
      <c r="M764" s="86"/>
    </row>
    <row r="765" spans="1:13" ht="12.75" customHeight="1">
      <c r="A765" s="85"/>
      <c r="M765" s="86"/>
    </row>
    <row r="766" spans="1:13" ht="12.75" customHeight="1">
      <c r="A766" s="85"/>
      <c r="M766" s="86"/>
    </row>
    <row r="767" spans="1:13" ht="12.75" customHeight="1">
      <c r="A767" s="85"/>
      <c r="M767" s="86"/>
    </row>
    <row r="768" spans="1:13" ht="12.75" customHeight="1">
      <c r="A768" s="85"/>
      <c r="M768" s="86"/>
    </row>
    <row r="769" spans="1:13" ht="12.75" customHeight="1">
      <c r="A769" s="85"/>
      <c r="M769" s="86"/>
    </row>
    <row r="770" spans="1:13" ht="12.75" customHeight="1">
      <c r="A770" s="85"/>
      <c r="M770" s="86"/>
    </row>
    <row r="771" spans="1:13" ht="12.75" customHeight="1">
      <c r="A771" s="85"/>
      <c r="M771" s="86"/>
    </row>
    <row r="772" spans="1:13" ht="12.75" customHeight="1">
      <c r="A772" s="85"/>
      <c r="M772" s="86"/>
    </row>
    <row r="773" spans="1:13" ht="12.75" customHeight="1">
      <c r="A773" s="85"/>
      <c r="M773" s="86"/>
    </row>
    <row r="774" spans="1:13" ht="12.75" customHeight="1">
      <c r="A774" s="85"/>
      <c r="M774" s="86"/>
    </row>
    <row r="775" spans="1:13" ht="12.75" customHeight="1">
      <c r="A775" s="85"/>
      <c r="M775" s="86"/>
    </row>
    <row r="776" spans="1:13" ht="12.75" customHeight="1">
      <c r="A776" s="85"/>
      <c r="M776" s="86"/>
    </row>
    <row r="777" spans="1:13" ht="12.75" customHeight="1">
      <c r="A777" s="85"/>
      <c r="M777" s="86"/>
    </row>
    <row r="778" spans="1:13" ht="12.75" customHeight="1">
      <c r="A778" s="85"/>
      <c r="M778" s="86"/>
    </row>
    <row r="779" spans="1:13" ht="12.75" customHeight="1">
      <c r="A779" s="85"/>
      <c r="M779" s="86"/>
    </row>
    <row r="780" spans="1:13" ht="12.75" customHeight="1">
      <c r="A780" s="85"/>
      <c r="M780" s="86"/>
    </row>
    <row r="781" spans="1:13" ht="12.75" customHeight="1">
      <c r="A781" s="85"/>
      <c r="M781" s="86"/>
    </row>
    <row r="782" spans="1:13" ht="12.75" customHeight="1">
      <c r="A782" s="85"/>
      <c r="M782" s="86"/>
    </row>
    <row r="783" spans="1:13" ht="12.75" customHeight="1">
      <c r="A783" s="85"/>
      <c r="M783" s="86"/>
    </row>
    <row r="784" spans="1:13" ht="12.75" customHeight="1">
      <c r="A784" s="85"/>
      <c r="M784" s="86"/>
    </row>
    <row r="785" spans="1:13" ht="12.75" customHeight="1">
      <c r="A785" s="85"/>
      <c r="M785" s="86"/>
    </row>
    <row r="786" spans="1:13" ht="12.75" customHeight="1">
      <c r="A786" s="85"/>
      <c r="M786" s="86"/>
    </row>
    <row r="787" spans="1:13" ht="12.75" customHeight="1">
      <c r="A787" s="85"/>
      <c r="M787" s="86"/>
    </row>
    <row r="788" spans="1:13" ht="12.75" customHeight="1">
      <c r="A788" s="85"/>
      <c r="M788" s="86"/>
    </row>
    <row r="789" spans="1:13" ht="12.75" customHeight="1">
      <c r="A789" s="85"/>
      <c r="M789" s="86"/>
    </row>
    <row r="790" spans="1:13" ht="12.75" customHeight="1">
      <c r="A790" s="85"/>
      <c r="M790" s="86"/>
    </row>
    <row r="791" spans="1:13" ht="12.75" customHeight="1">
      <c r="A791" s="85"/>
      <c r="M791" s="86"/>
    </row>
    <row r="792" spans="1:13" ht="12.75" customHeight="1">
      <c r="A792" s="85"/>
      <c r="M792" s="86"/>
    </row>
    <row r="793" spans="1:13" ht="12.75" customHeight="1">
      <c r="A793" s="85"/>
      <c r="M793" s="86"/>
    </row>
    <row r="794" spans="1:13" ht="12.75" customHeight="1">
      <c r="A794" s="85"/>
      <c r="M794" s="86"/>
    </row>
    <row r="795" spans="1:13" ht="12.75" customHeight="1">
      <c r="A795" s="85"/>
      <c r="M795" s="86"/>
    </row>
    <row r="796" spans="1:13" ht="12.75" customHeight="1">
      <c r="A796" s="85"/>
      <c r="M796" s="86"/>
    </row>
    <row r="797" spans="1:13" ht="12.75" customHeight="1">
      <c r="A797" s="85"/>
      <c r="M797" s="86"/>
    </row>
    <row r="798" spans="1:13" ht="12.75" customHeight="1">
      <c r="A798" s="85"/>
      <c r="M798" s="86"/>
    </row>
    <row r="799" spans="1:13" ht="12.75" customHeight="1">
      <c r="A799" s="85"/>
      <c r="M799" s="86"/>
    </row>
    <row r="800" spans="1:13" ht="12.75" customHeight="1">
      <c r="A800" s="85"/>
      <c r="M800" s="86"/>
    </row>
    <row r="801" spans="1:13" ht="12.75" customHeight="1">
      <c r="A801" s="85"/>
      <c r="M801" s="86"/>
    </row>
    <row r="802" spans="1:13" ht="12.75" customHeight="1">
      <c r="A802" s="85"/>
      <c r="M802" s="86"/>
    </row>
    <row r="803" spans="1:13" ht="12.75" customHeight="1">
      <c r="A803" s="85"/>
      <c r="M803" s="86"/>
    </row>
    <row r="804" spans="1:13" ht="12.75" customHeight="1">
      <c r="A804" s="85"/>
      <c r="M804" s="86"/>
    </row>
    <row r="805" spans="1:13" ht="12.75" customHeight="1">
      <c r="A805" s="85"/>
      <c r="M805" s="86"/>
    </row>
    <row r="806" spans="1:13" ht="12.75" customHeight="1">
      <c r="A806" s="85"/>
      <c r="M806" s="86"/>
    </row>
    <row r="807" spans="1:13" ht="12.75" customHeight="1">
      <c r="A807" s="85"/>
      <c r="M807" s="86"/>
    </row>
    <row r="808" spans="1:13" ht="12.75" customHeight="1">
      <c r="A808" s="85"/>
      <c r="M808" s="86"/>
    </row>
    <row r="809" spans="1:13" ht="12.75" customHeight="1">
      <c r="A809" s="85"/>
      <c r="M809" s="86"/>
    </row>
    <row r="810" spans="1:13" ht="12.75" customHeight="1">
      <c r="A810" s="85"/>
      <c r="M810" s="86"/>
    </row>
    <row r="811" spans="1:13" ht="12.75" customHeight="1">
      <c r="A811" s="85"/>
      <c r="M811" s="86"/>
    </row>
    <row r="812" spans="1:13" ht="12.75" customHeight="1">
      <c r="A812" s="85"/>
      <c r="M812" s="86"/>
    </row>
    <row r="813" spans="1:13" ht="12.75" customHeight="1">
      <c r="A813" s="85"/>
      <c r="M813" s="86"/>
    </row>
    <row r="814" spans="1:13" ht="12.75" customHeight="1">
      <c r="A814" s="85"/>
      <c r="M814" s="86"/>
    </row>
    <row r="815" spans="1:13" ht="12.75" customHeight="1">
      <c r="A815" s="85"/>
      <c r="M815" s="86"/>
    </row>
    <row r="816" spans="1:13" ht="12.75" customHeight="1">
      <c r="A816" s="85"/>
      <c r="M816" s="86"/>
    </row>
    <row r="817" spans="1:13" ht="12.75" customHeight="1">
      <c r="A817" s="85"/>
      <c r="M817" s="86"/>
    </row>
    <row r="818" spans="1:13" ht="12.75" customHeight="1">
      <c r="A818" s="85"/>
      <c r="M818" s="86"/>
    </row>
    <row r="819" spans="1:13" ht="12.75" customHeight="1">
      <c r="A819" s="85"/>
      <c r="M819" s="86"/>
    </row>
    <row r="820" spans="1:13" ht="12.75" customHeight="1">
      <c r="A820" s="85"/>
      <c r="M820" s="86"/>
    </row>
    <row r="821" spans="1:13" ht="12.75" customHeight="1">
      <c r="A821" s="85"/>
      <c r="M821" s="86"/>
    </row>
    <row r="822" spans="1:13" ht="12.75" customHeight="1">
      <c r="A822" s="85"/>
      <c r="M822" s="86"/>
    </row>
    <row r="823" spans="1:13" ht="12.75" customHeight="1">
      <c r="A823" s="85"/>
      <c r="M823" s="86"/>
    </row>
    <row r="824" spans="1:13" ht="12.75" customHeight="1">
      <c r="A824" s="85"/>
      <c r="M824" s="86"/>
    </row>
    <row r="825" spans="1:13" ht="12.75" customHeight="1">
      <c r="A825" s="85"/>
      <c r="M825" s="86"/>
    </row>
    <row r="826" spans="1:13" ht="12.75" customHeight="1">
      <c r="A826" s="85"/>
      <c r="M826" s="86"/>
    </row>
    <row r="827" spans="1:13" ht="12.75" customHeight="1">
      <c r="A827" s="85"/>
      <c r="M827" s="86"/>
    </row>
    <row r="828" spans="1:13" ht="12.75" customHeight="1">
      <c r="A828" s="85"/>
      <c r="M828" s="86"/>
    </row>
    <row r="829" spans="1:13" ht="12.75" customHeight="1">
      <c r="A829" s="85"/>
      <c r="M829" s="86"/>
    </row>
    <row r="830" spans="1:13" ht="12.75" customHeight="1">
      <c r="A830" s="85"/>
      <c r="M830" s="86"/>
    </row>
    <row r="831" spans="1:13" ht="12.75" customHeight="1">
      <c r="A831" s="85"/>
      <c r="M831" s="86"/>
    </row>
    <row r="832" spans="1:13" ht="12.75" customHeight="1">
      <c r="A832" s="85"/>
      <c r="M832" s="86"/>
    </row>
    <row r="833" spans="1:13" ht="12.75" customHeight="1">
      <c r="A833" s="85"/>
      <c r="M833" s="86"/>
    </row>
    <row r="834" spans="1:13" ht="12.75" customHeight="1">
      <c r="A834" s="85"/>
      <c r="M834" s="86"/>
    </row>
    <row r="835" spans="1:13" ht="12.75" customHeight="1">
      <c r="A835" s="85"/>
      <c r="M835" s="86"/>
    </row>
    <row r="836" spans="1:13" ht="12.75" customHeight="1">
      <c r="A836" s="85"/>
      <c r="M836" s="86"/>
    </row>
    <row r="837" spans="1:13" ht="12.75" customHeight="1">
      <c r="A837" s="85"/>
      <c r="M837" s="86"/>
    </row>
    <row r="838" spans="1:13" ht="12.75" customHeight="1">
      <c r="A838" s="85"/>
      <c r="M838" s="86"/>
    </row>
    <row r="839" spans="1:13" ht="12.75" customHeight="1">
      <c r="A839" s="85"/>
      <c r="M839" s="86"/>
    </row>
    <row r="840" spans="1:13" ht="12.75" customHeight="1">
      <c r="A840" s="85"/>
      <c r="M840" s="86"/>
    </row>
    <row r="841" spans="1:13" ht="12.75" customHeight="1">
      <c r="A841" s="85"/>
      <c r="M841" s="86"/>
    </row>
    <row r="842" spans="1:13" ht="12.75" customHeight="1">
      <c r="A842" s="85"/>
      <c r="M842" s="86"/>
    </row>
    <row r="843" spans="1:13" ht="12.75" customHeight="1">
      <c r="A843" s="85"/>
      <c r="M843" s="86"/>
    </row>
    <row r="844" spans="1:13" ht="12.75" customHeight="1">
      <c r="A844" s="85"/>
      <c r="M844" s="86"/>
    </row>
    <row r="845" spans="1:13" ht="12.75" customHeight="1">
      <c r="A845" s="85"/>
      <c r="M845" s="86"/>
    </row>
    <row r="846" spans="1:13" ht="12.75" customHeight="1">
      <c r="A846" s="85"/>
      <c r="M846" s="86"/>
    </row>
    <row r="847" spans="1:13" ht="12.75" customHeight="1">
      <c r="A847" s="85"/>
      <c r="M847" s="86"/>
    </row>
    <row r="848" spans="1:13" ht="12.75" customHeight="1">
      <c r="A848" s="85"/>
      <c r="M848" s="86"/>
    </row>
    <row r="849" spans="1:13" ht="12.75" customHeight="1">
      <c r="A849" s="85"/>
      <c r="M849" s="86"/>
    </row>
    <row r="850" spans="1:13" ht="12.75" customHeight="1">
      <c r="A850" s="85"/>
      <c r="M850" s="86"/>
    </row>
    <row r="851" spans="1:13" ht="12.75" customHeight="1">
      <c r="A851" s="85"/>
      <c r="M851" s="86"/>
    </row>
    <row r="852" spans="1:13" ht="12.75" customHeight="1">
      <c r="A852" s="85"/>
      <c r="M852" s="86"/>
    </row>
    <row r="853" spans="1:13" ht="12.75" customHeight="1">
      <c r="A853" s="85"/>
      <c r="M853" s="86"/>
    </row>
    <row r="854" spans="1:13" ht="12.75" customHeight="1">
      <c r="A854" s="85"/>
      <c r="M854" s="86"/>
    </row>
    <row r="855" spans="1:13" ht="12.75" customHeight="1">
      <c r="A855" s="85"/>
      <c r="M855" s="86"/>
    </row>
    <row r="856" spans="1:13" ht="12.75" customHeight="1">
      <c r="A856" s="85"/>
      <c r="M856" s="86"/>
    </row>
    <row r="857" spans="1:13" ht="12.75" customHeight="1">
      <c r="A857" s="85"/>
      <c r="M857" s="86"/>
    </row>
    <row r="858" spans="1:13" ht="12.75" customHeight="1">
      <c r="A858" s="85"/>
      <c r="M858" s="86"/>
    </row>
    <row r="859" spans="1:13" ht="12.75" customHeight="1">
      <c r="A859" s="85"/>
      <c r="M859" s="86"/>
    </row>
    <row r="860" spans="1:13" ht="12.75" customHeight="1">
      <c r="A860" s="85"/>
      <c r="M860" s="86"/>
    </row>
    <row r="861" spans="1:13" ht="12.75" customHeight="1">
      <c r="A861" s="85"/>
      <c r="M861" s="86"/>
    </row>
    <row r="862" spans="1:13" ht="12.75" customHeight="1">
      <c r="A862" s="85"/>
      <c r="M862" s="86"/>
    </row>
    <row r="863" spans="1:13" ht="12.75" customHeight="1">
      <c r="A863" s="85"/>
      <c r="M863" s="86"/>
    </row>
    <row r="864" spans="1:13" ht="12.75" customHeight="1">
      <c r="A864" s="85"/>
      <c r="M864" s="86"/>
    </row>
    <row r="865" spans="1:13" ht="12.75" customHeight="1">
      <c r="A865" s="85"/>
      <c r="M865" s="86"/>
    </row>
    <row r="866" spans="1:13" ht="12.75" customHeight="1">
      <c r="A866" s="85"/>
      <c r="M866" s="86"/>
    </row>
    <row r="867" spans="1:13" ht="12.75" customHeight="1">
      <c r="A867" s="85"/>
      <c r="M867" s="86"/>
    </row>
    <row r="868" spans="1:13" ht="12.75" customHeight="1">
      <c r="A868" s="85"/>
      <c r="M868" s="86"/>
    </row>
    <row r="869" spans="1:13" ht="12.75" customHeight="1">
      <c r="A869" s="85"/>
      <c r="M869" s="86"/>
    </row>
    <row r="870" spans="1:13" ht="12.75" customHeight="1">
      <c r="A870" s="85"/>
      <c r="M870" s="86"/>
    </row>
    <row r="871" spans="1:13" ht="12.75" customHeight="1">
      <c r="A871" s="85"/>
      <c r="M871" s="86"/>
    </row>
    <row r="872" spans="1:13" ht="12.75" customHeight="1">
      <c r="A872" s="85"/>
      <c r="M872" s="86"/>
    </row>
    <row r="873" spans="1:13" ht="12.75" customHeight="1">
      <c r="A873" s="85"/>
      <c r="M873" s="86"/>
    </row>
    <row r="874" spans="1:13" ht="12.75" customHeight="1">
      <c r="A874" s="85"/>
      <c r="M874" s="86"/>
    </row>
    <row r="875" spans="1:13" ht="12.75" customHeight="1">
      <c r="A875" s="85"/>
      <c r="M875" s="86"/>
    </row>
    <row r="876" spans="1:13" ht="12.75" customHeight="1">
      <c r="A876" s="85"/>
      <c r="M876" s="86"/>
    </row>
    <row r="877" spans="1:13" ht="12.75" customHeight="1">
      <c r="A877" s="85"/>
      <c r="M877" s="86"/>
    </row>
    <row r="878" spans="1:13" ht="12.75" customHeight="1">
      <c r="A878" s="85"/>
      <c r="M878" s="86"/>
    </row>
    <row r="879" spans="1:13" ht="12.75" customHeight="1">
      <c r="A879" s="85"/>
      <c r="M879" s="86"/>
    </row>
    <row r="880" spans="1:13" ht="12.75" customHeight="1">
      <c r="A880" s="85"/>
      <c r="M880" s="86"/>
    </row>
    <row r="881" spans="1:13" ht="12.75" customHeight="1">
      <c r="A881" s="85"/>
      <c r="M881" s="86"/>
    </row>
    <row r="882" spans="1:13" ht="12.75" customHeight="1">
      <c r="A882" s="85"/>
      <c r="M882" s="86"/>
    </row>
    <row r="883" spans="1:13" ht="12.75" customHeight="1">
      <c r="A883" s="85"/>
      <c r="M883" s="86"/>
    </row>
    <row r="884" spans="1:13" ht="12.75" customHeight="1">
      <c r="A884" s="85"/>
      <c r="M884" s="86"/>
    </row>
    <row r="885" spans="1:13" ht="12.75" customHeight="1">
      <c r="A885" s="85"/>
      <c r="M885" s="86"/>
    </row>
    <row r="886" spans="1:13" ht="12.75" customHeight="1">
      <c r="A886" s="85"/>
      <c r="M886" s="86"/>
    </row>
    <row r="887" spans="1:13" ht="12.75" customHeight="1">
      <c r="A887" s="85"/>
      <c r="M887" s="86"/>
    </row>
    <row r="888" spans="1:13" ht="12.75" customHeight="1">
      <c r="A888" s="85"/>
      <c r="M888" s="86"/>
    </row>
    <row r="889" spans="1:13" ht="12.75" customHeight="1">
      <c r="A889" s="85"/>
      <c r="M889" s="86"/>
    </row>
    <row r="890" spans="1:13" ht="12.75" customHeight="1">
      <c r="A890" s="85"/>
      <c r="M890" s="86"/>
    </row>
    <row r="891" spans="1:13" ht="12.75" customHeight="1">
      <c r="A891" s="85"/>
      <c r="M891" s="86"/>
    </row>
    <row r="892" spans="1:13" ht="12.75" customHeight="1">
      <c r="A892" s="85"/>
      <c r="M892" s="86"/>
    </row>
    <row r="893" spans="1:13" ht="12.75" customHeight="1">
      <c r="A893" s="85"/>
      <c r="M893" s="86"/>
    </row>
    <row r="894" spans="1:13" ht="12.75" customHeight="1">
      <c r="A894" s="85"/>
      <c r="M894" s="86"/>
    </row>
    <row r="895" spans="1:13" ht="12.75" customHeight="1">
      <c r="A895" s="85"/>
      <c r="M895" s="86"/>
    </row>
    <row r="896" spans="1:13" ht="12.75" customHeight="1">
      <c r="A896" s="85"/>
      <c r="M896" s="86"/>
    </row>
    <row r="897" spans="1:13" ht="12.75" customHeight="1">
      <c r="A897" s="85"/>
      <c r="M897" s="86"/>
    </row>
    <row r="898" spans="1:13" ht="12.75" customHeight="1">
      <c r="A898" s="85"/>
      <c r="M898" s="86"/>
    </row>
    <row r="899" spans="1:13" ht="12.75" customHeight="1">
      <c r="A899" s="85"/>
      <c r="M899" s="86"/>
    </row>
    <row r="900" spans="1:13" ht="12.75" customHeight="1">
      <c r="A900" s="85"/>
      <c r="M900" s="86"/>
    </row>
    <row r="901" spans="1:13" ht="12.75" customHeight="1">
      <c r="A901" s="85"/>
      <c r="M901" s="86"/>
    </row>
    <row r="902" spans="1:13" ht="12.75" customHeight="1">
      <c r="A902" s="85"/>
      <c r="M902" s="86"/>
    </row>
    <row r="903" spans="1:13" ht="12.75" customHeight="1">
      <c r="A903" s="85"/>
      <c r="M903" s="86"/>
    </row>
    <row r="904" spans="1:13" ht="12.75" customHeight="1">
      <c r="A904" s="85"/>
      <c r="M904" s="86"/>
    </row>
    <row r="905" spans="1:13" ht="12.75" customHeight="1">
      <c r="A905" s="85"/>
      <c r="M905" s="86"/>
    </row>
    <row r="906" spans="1:13" ht="12.75" customHeight="1">
      <c r="A906" s="85"/>
      <c r="M906" s="86"/>
    </row>
    <row r="907" spans="1:13" ht="12.75" customHeight="1">
      <c r="A907" s="85"/>
      <c r="M907" s="86"/>
    </row>
    <row r="908" spans="1:13" ht="12.75" customHeight="1">
      <c r="A908" s="85"/>
      <c r="M908" s="86"/>
    </row>
    <row r="909" spans="1:13" ht="12.75" customHeight="1">
      <c r="A909" s="85"/>
      <c r="M909" s="86"/>
    </row>
    <row r="910" spans="1:13" ht="12.75" customHeight="1">
      <c r="A910" s="85"/>
      <c r="M910" s="86"/>
    </row>
    <row r="911" spans="1:13" ht="12.75" customHeight="1">
      <c r="A911" s="85"/>
      <c r="M911" s="86"/>
    </row>
    <row r="912" spans="1:13" ht="12.75" customHeight="1">
      <c r="A912" s="85"/>
      <c r="M912" s="86"/>
    </row>
    <row r="913" spans="1:13" ht="12.75" customHeight="1">
      <c r="A913" s="85"/>
      <c r="M913" s="86"/>
    </row>
    <row r="914" spans="1:13" ht="12.75" customHeight="1">
      <c r="A914" s="85"/>
      <c r="M914" s="86"/>
    </row>
    <row r="915" spans="1:13" ht="12.75" customHeight="1">
      <c r="A915" s="85"/>
      <c r="M915" s="86"/>
    </row>
    <row r="916" spans="1:13" ht="12.75" customHeight="1">
      <c r="A916" s="85"/>
      <c r="M916" s="86"/>
    </row>
    <row r="917" spans="1:13" ht="12.75" customHeight="1">
      <c r="A917" s="85"/>
      <c r="M917" s="86"/>
    </row>
    <row r="918" spans="1:13" ht="12.75" customHeight="1">
      <c r="A918" s="85"/>
      <c r="M918" s="86"/>
    </row>
    <row r="919" spans="1:13" ht="12.75" customHeight="1">
      <c r="A919" s="85"/>
      <c r="M919" s="86"/>
    </row>
    <row r="920" spans="1:13" ht="12.75" customHeight="1">
      <c r="A920" s="85"/>
      <c r="M920" s="86"/>
    </row>
    <row r="921" spans="1:13" ht="12.75" customHeight="1">
      <c r="A921" s="85"/>
      <c r="M921" s="86"/>
    </row>
    <row r="922" spans="1:13" ht="12.75" customHeight="1">
      <c r="A922" s="85"/>
      <c r="M922" s="86"/>
    </row>
    <row r="923" spans="1:13" ht="12.75" customHeight="1">
      <c r="A923" s="85"/>
      <c r="M923" s="86"/>
    </row>
    <row r="924" spans="1:13" ht="12.75" customHeight="1">
      <c r="A924" s="85"/>
      <c r="M924" s="86"/>
    </row>
    <row r="925" spans="1:13" ht="12.75" customHeight="1">
      <c r="A925" s="85"/>
      <c r="M925" s="86"/>
    </row>
    <row r="926" spans="1:13" ht="12.75" customHeight="1">
      <c r="A926" s="85"/>
      <c r="M926" s="86"/>
    </row>
    <row r="927" spans="1:13" ht="12.75" customHeight="1">
      <c r="A927" s="85"/>
      <c r="M927" s="86"/>
    </row>
    <row r="928" spans="1:13" ht="12.75" customHeight="1">
      <c r="A928" s="85"/>
      <c r="M928" s="86"/>
    </row>
    <row r="929" spans="1:13" ht="12.75" customHeight="1">
      <c r="A929" s="85"/>
      <c r="M929" s="86"/>
    </row>
    <row r="930" spans="1:13" ht="12.75" customHeight="1">
      <c r="A930" s="85"/>
      <c r="M930" s="86"/>
    </row>
    <row r="931" spans="1:13" ht="12.75" customHeight="1">
      <c r="A931" s="85"/>
      <c r="M931" s="86"/>
    </row>
    <row r="932" spans="1:13" ht="12.75" customHeight="1">
      <c r="A932" s="85"/>
      <c r="M932" s="86"/>
    </row>
    <row r="933" spans="1:13" ht="12.75" customHeight="1">
      <c r="A933" s="85"/>
      <c r="M933" s="86"/>
    </row>
    <row r="934" spans="1:13" ht="12.75" customHeight="1">
      <c r="A934" s="85"/>
      <c r="M934" s="86"/>
    </row>
    <row r="935" spans="1:13" ht="12.75" customHeight="1">
      <c r="A935" s="85"/>
      <c r="M935" s="86"/>
    </row>
    <row r="936" spans="1:13" ht="12.75" customHeight="1">
      <c r="A936" s="85"/>
      <c r="M936" s="86"/>
    </row>
    <row r="937" spans="1:13" ht="12.75" customHeight="1">
      <c r="A937" s="85"/>
      <c r="M937" s="86"/>
    </row>
    <row r="938" spans="1:13" ht="12.75" customHeight="1">
      <c r="A938" s="85"/>
      <c r="M938" s="86"/>
    </row>
    <row r="939" spans="1:13" ht="12.75" customHeight="1">
      <c r="A939" s="85"/>
      <c r="M939" s="86"/>
    </row>
    <row r="940" spans="1:13" ht="12.75" customHeight="1">
      <c r="A940" s="85"/>
      <c r="M940" s="86"/>
    </row>
    <row r="941" spans="1:13" ht="12.75" customHeight="1">
      <c r="A941" s="85"/>
      <c r="M941" s="86"/>
    </row>
    <row r="942" spans="1:13" ht="12.75" customHeight="1">
      <c r="A942" s="85"/>
      <c r="M942" s="86"/>
    </row>
    <row r="943" spans="1:13" ht="12.75" customHeight="1">
      <c r="A943" s="85"/>
      <c r="M943" s="86"/>
    </row>
    <row r="944" spans="1:13" ht="12.75" customHeight="1">
      <c r="A944" s="85"/>
      <c r="M944" s="86"/>
    </row>
    <row r="945" spans="1:13" ht="12.75" customHeight="1">
      <c r="A945" s="85"/>
      <c r="M945" s="86"/>
    </row>
    <row r="946" spans="1:13" ht="12.75" customHeight="1">
      <c r="A946" s="85"/>
      <c r="M946" s="86"/>
    </row>
    <row r="947" spans="1:13" ht="12.75" customHeight="1">
      <c r="A947" s="85"/>
      <c r="M947" s="86"/>
    </row>
    <row r="948" spans="1:13" ht="12.75" customHeight="1">
      <c r="A948" s="85"/>
      <c r="M948" s="86"/>
    </row>
    <row r="949" spans="1:13" ht="12.75" customHeight="1">
      <c r="A949" s="85"/>
      <c r="M949" s="86"/>
    </row>
    <row r="950" spans="1:13" ht="12.75" customHeight="1">
      <c r="A950" s="85"/>
      <c r="M950" s="86"/>
    </row>
    <row r="951" spans="1:13" ht="12.75" customHeight="1">
      <c r="A951" s="85"/>
      <c r="M951" s="86"/>
    </row>
    <row r="952" spans="1:13" ht="12.75" customHeight="1">
      <c r="A952" s="85"/>
      <c r="M952" s="86"/>
    </row>
    <row r="953" spans="1:13" ht="12.75" customHeight="1">
      <c r="A953" s="85"/>
      <c r="M953" s="86"/>
    </row>
    <row r="954" spans="1:13" ht="12.75" customHeight="1">
      <c r="A954" s="85"/>
      <c r="M954" s="86"/>
    </row>
    <row r="955" spans="1:13" ht="12.75" customHeight="1">
      <c r="A955" s="85"/>
      <c r="M955" s="86"/>
    </row>
    <row r="956" spans="1:13" ht="12.75" customHeight="1">
      <c r="A956" s="85"/>
      <c r="M956" s="86"/>
    </row>
    <row r="957" spans="1:13" ht="12.75" customHeight="1">
      <c r="A957" s="85"/>
      <c r="M957" s="86"/>
    </row>
    <row r="958" spans="1:13" ht="12.75" customHeight="1">
      <c r="A958" s="85"/>
      <c r="M958" s="86"/>
    </row>
    <row r="959" spans="1:13" ht="12.75" customHeight="1">
      <c r="A959" s="85"/>
      <c r="M959" s="86"/>
    </row>
    <row r="960" spans="1:13" ht="12.75" customHeight="1">
      <c r="A960" s="85"/>
      <c r="M960" s="86"/>
    </row>
    <row r="961" spans="1:13" ht="12.75" customHeight="1">
      <c r="A961" s="85"/>
      <c r="M961" s="86"/>
    </row>
    <row r="962" spans="1:13" ht="12.75" customHeight="1">
      <c r="A962" s="85"/>
      <c r="M962" s="86"/>
    </row>
    <row r="963" spans="1:13" ht="12.75" customHeight="1">
      <c r="A963" s="85"/>
      <c r="M963" s="86"/>
    </row>
    <row r="964" spans="1:13" ht="12.75" customHeight="1">
      <c r="A964" s="85"/>
      <c r="M964" s="86"/>
    </row>
    <row r="965" spans="1:13" ht="12.75" customHeight="1">
      <c r="A965" s="85"/>
      <c r="M965" s="86"/>
    </row>
    <row r="966" spans="1:13" ht="12.75" customHeight="1">
      <c r="A966" s="85"/>
      <c r="M966" s="86"/>
    </row>
    <row r="967" spans="1:13" ht="12.75" customHeight="1">
      <c r="A967" s="85"/>
      <c r="M967" s="86"/>
    </row>
    <row r="968" spans="1:13" ht="12.75" customHeight="1">
      <c r="A968" s="85"/>
      <c r="M968" s="86"/>
    </row>
    <row r="969" spans="1:13" ht="12.75" customHeight="1">
      <c r="A969" s="85"/>
      <c r="M969" s="86"/>
    </row>
    <row r="970" spans="1:13" ht="12.75" customHeight="1">
      <c r="A970" s="85"/>
      <c r="M970" s="86"/>
    </row>
    <row r="971" spans="1:13" ht="12.75" customHeight="1">
      <c r="A971" s="85"/>
      <c r="M971" s="86"/>
    </row>
    <row r="972" spans="1:13" ht="12.75" customHeight="1">
      <c r="A972" s="85"/>
      <c r="M972" s="86"/>
    </row>
    <row r="973" spans="1:13" ht="12.75" customHeight="1">
      <c r="A973" s="85"/>
      <c r="M973" s="86"/>
    </row>
    <row r="974" spans="1:13" ht="12.75" customHeight="1">
      <c r="A974" s="85"/>
      <c r="M974" s="86"/>
    </row>
    <row r="975" spans="1:13" ht="12.75" customHeight="1">
      <c r="A975" s="85"/>
      <c r="M975" s="86"/>
    </row>
    <row r="976" spans="1:13" ht="12.75" customHeight="1">
      <c r="A976" s="85"/>
      <c r="M976" s="86"/>
    </row>
    <row r="977" spans="1:13" ht="12.75" customHeight="1">
      <c r="A977" s="85"/>
      <c r="M977" s="86"/>
    </row>
    <row r="978" spans="1:13" ht="12.75" customHeight="1">
      <c r="A978" s="85"/>
      <c r="M978" s="86"/>
    </row>
    <row r="979" spans="1:13" ht="12.75" customHeight="1">
      <c r="A979" s="85"/>
      <c r="M979" s="86"/>
    </row>
    <row r="980" spans="1:13" ht="12.75" customHeight="1">
      <c r="A980" s="85"/>
      <c r="M980" s="86"/>
    </row>
    <row r="981" spans="1:13" ht="12.75" customHeight="1">
      <c r="A981" s="85"/>
      <c r="M981" s="86"/>
    </row>
    <row r="982" spans="1:13" ht="12.75" customHeight="1">
      <c r="A982" s="85"/>
      <c r="M982" s="86"/>
    </row>
    <row r="983" spans="1:13" ht="12.75" customHeight="1">
      <c r="A983" s="85"/>
      <c r="M983" s="86"/>
    </row>
    <row r="984" spans="1:13" ht="12.75" customHeight="1">
      <c r="A984" s="85"/>
      <c r="M984" s="86"/>
    </row>
    <row r="985" spans="1:13" ht="12.75" customHeight="1">
      <c r="A985" s="85"/>
      <c r="M985" s="86"/>
    </row>
    <row r="986" spans="1:13" ht="12.75" customHeight="1">
      <c r="A986" s="85"/>
      <c r="M986" s="86"/>
    </row>
    <row r="987" spans="1:13" ht="12.75" customHeight="1">
      <c r="A987" s="85"/>
      <c r="M987" s="86"/>
    </row>
    <row r="988" spans="1:13" ht="12.75" customHeight="1">
      <c r="A988" s="85"/>
      <c r="M988" s="86"/>
    </row>
    <row r="989" spans="1:13" ht="12.75" customHeight="1">
      <c r="A989" s="85"/>
      <c r="M989" s="86"/>
    </row>
    <row r="990" spans="1:13" ht="12.75" customHeight="1">
      <c r="A990" s="85"/>
      <c r="M990" s="86"/>
    </row>
    <row r="991" spans="1:13" ht="12.75" customHeight="1">
      <c r="A991" s="85"/>
      <c r="M991" s="86"/>
    </row>
    <row r="992" spans="1:13" ht="12.75" customHeight="1">
      <c r="A992" s="85"/>
      <c r="M992" s="86"/>
    </row>
    <row r="993" spans="1:13" ht="12.75" customHeight="1">
      <c r="A993" s="85"/>
      <c r="M993" s="86"/>
    </row>
    <row r="994" spans="1:13" ht="12.75" customHeight="1">
      <c r="A994" s="85"/>
      <c r="M994" s="86"/>
    </row>
    <row r="995" spans="1:13" ht="12.75" customHeight="1">
      <c r="A995" s="85"/>
      <c r="M995" s="86"/>
    </row>
    <row r="996" spans="1:13" ht="12.75" customHeight="1">
      <c r="A996" s="85"/>
      <c r="M996" s="86"/>
    </row>
    <row r="997" spans="1:13" ht="12.75" customHeight="1">
      <c r="A997" s="85"/>
      <c r="M997" s="86"/>
    </row>
    <row r="998" spans="1:13" ht="12.75" customHeight="1">
      <c r="A998" s="85"/>
      <c r="M998" s="86"/>
    </row>
    <row r="999" spans="1:13" ht="12.75" customHeight="1">
      <c r="A999" s="85"/>
      <c r="M999" s="86"/>
    </row>
    <row r="1000" spans="1:13" ht="12.75" customHeight="1">
      <c r="A1000" s="85"/>
      <c r="M1000" s="8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7"/>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2.5703125" defaultRowHeight="15" customHeight="1"/>
  <cols>
    <col min="1" max="1" width="7" customWidth="1"/>
    <col min="2" max="2" width="34.85546875" customWidth="1"/>
    <col min="3" max="26" width="7" customWidth="1"/>
  </cols>
  <sheetData>
    <row r="1" spans="1:26" ht="12.75" customHeight="1">
      <c r="A1" s="96"/>
      <c r="B1" s="84" t="s">
        <v>33</v>
      </c>
      <c r="C1" s="84" t="s">
        <v>34</v>
      </c>
      <c r="D1" s="96"/>
      <c r="E1" s="96"/>
      <c r="F1" s="96"/>
      <c r="G1" s="96"/>
      <c r="H1" s="96"/>
      <c r="I1" s="96"/>
      <c r="J1" s="96"/>
      <c r="K1" s="96"/>
      <c r="L1" s="96"/>
      <c r="M1" s="96"/>
      <c r="N1" s="96"/>
      <c r="O1" s="96"/>
      <c r="P1" s="96"/>
      <c r="Q1" s="96"/>
      <c r="R1" s="96"/>
      <c r="S1" s="96"/>
      <c r="T1" s="96"/>
      <c r="U1" s="96"/>
      <c r="V1" s="96"/>
      <c r="W1" s="96"/>
      <c r="X1" s="96"/>
      <c r="Y1" s="96"/>
      <c r="Z1" s="96"/>
    </row>
    <row r="2" spans="1:26" ht="12.75" customHeight="1">
      <c r="A2" s="83"/>
      <c r="B2" s="97" t="s">
        <v>35</v>
      </c>
    </row>
    <row r="3" spans="1:26" ht="12.75" customHeight="1">
      <c r="A3" s="83"/>
      <c r="B3" s="98" t="s">
        <v>36</v>
      </c>
      <c r="C3" s="83" t="s">
        <v>37</v>
      </c>
    </row>
    <row r="4" spans="1:26" ht="12.75" customHeight="1">
      <c r="A4" s="92"/>
      <c r="B4" s="97" t="s">
        <v>38</v>
      </c>
      <c r="C4" s="83" t="s">
        <v>39</v>
      </c>
    </row>
    <row r="5" spans="1:26" ht="12.75" customHeight="1">
      <c r="A5" s="92"/>
      <c r="B5" s="97" t="s">
        <v>40</v>
      </c>
    </row>
    <row r="6" spans="1:26" ht="12.75" customHeight="1">
      <c r="A6" s="92"/>
      <c r="B6" s="97" t="s">
        <v>41</v>
      </c>
      <c r="C6" s="90"/>
    </row>
    <row r="7" spans="1:26" ht="12.75" customHeight="1">
      <c r="A7" s="92"/>
      <c r="B7" s="98" t="s">
        <v>42</v>
      </c>
      <c r="C7" s="91" t="s">
        <v>43</v>
      </c>
    </row>
    <row r="8" spans="1:26" ht="12.75" customHeight="1">
      <c r="A8" s="92"/>
      <c r="B8" s="97" t="s">
        <v>44</v>
      </c>
      <c r="C8" s="90"/>
    </row>
    <row r="9" spans="1:26" ht="12.75" customHeight="1">
      <c r="A9" s="92"/>
      <c r="B9" s="97" t="s">
        <v>45</v>
      </c>
      <c r="C9" s="90"/>
    </row>
    <row r="10" spans="1:26" ht="12.75" customHeight="1">
      <c r="A10" s="92"/>
      <c r="B10" s="98" t="s">
        <v>46</v>
      </c>
      <c r="C10" s="91" t="s">
        <v>47</v>
      </c>
    </row>
    <row r="11" spans="1:26" ht="12.75" customHeight="1">
      <c r="A11" s="92"/>
      <c r="B11" s="97" t="s">
        <v>48</v>
      </c>
      <c r="C11" s="90"/>
    </row>
    <row r="12" spans="1:26" ht="12.75" customHeight="1">
      <c r="A12" s="92"/>
      <c r="B12" s="97" t="s">
        <v>49</v>
      </c>
      <c r="C12" s="90"/>
    </row>
    <row r="13" spans="1:26" ht="12.75" customHeight="1">
      <c r="A13" s="92"/>
      <c r="B13" s="98" t="s">
        <v>50</v>
      </c>
      <c r="C13" s="91" t="s">
        <v>51</v>
      </c>
    </row>
    <row r="14" spans="1:26" ht="12.75" customHeight="1">
      <c r="A14" s="92"/>
      <c r="B14" s="97" t="s">
        <v>52</v>
      </c>
      <c r="C14" s="90"/>
    </row>
    <row r="15" spans="1:26" ht="12.75" customHeight="1">
      <c r="A15" s="92"/>
      <c r="B15" s="97" t="s">
        <v>53</v>
      </c>
      <c r="C15" s="90"/>
    </row>
    <row r="16" spans="1:26" ht="12.75" customHeight="1">
      <c r="A16" s="92"/>
      <c r="B16" s="97" t="s">
        <v>54</v>
      </c>
      <c r="C16" s="90"/>
    </row>
    <row r="17" spans="1:3" ht="12.75" customHeight="1">
      <c r="A17" s="85"/>
      <c r="B17" s="97" t="s">
        <v>55</v>
      </c>
      <c r="C17" s="90"/>
    </row>
    <row r="18" spans="1:3" ht="12.75" customHeight="1">
      <c r="A18" s="85"/>
      <c r="B18" s="98" t="s">
        <v>56</v>
      </c>
      <c r="C18" s="91" t="s">
        <v>57</v>
      </c>
    </row>
    <row r="19" spans="1:3" ht="12.75" customHeight="1">
      <c r="A19" s="85"/>
      <c r="B19" s="98" t="s">
        <v>58</v>
      </c>
      <c r="C19" s="91" t="s">
        <v>59</v>
      </c>
    </row>
    <row r="20" spans="1:3" ht="12.75" customHeight="1">
      <c r="A20" s="85"/>
      <c r="B20" s="97" t="s">
        <v>60</v>
      </c>
      <c r="C20" s="90"/>
    </row>
    <row r="21" spans="1:3" ht="12.75" customHeight="1">
      <c r="A21" s="85"/>
      <c r="B21" s="97" t="s">
        <v>61</v>
      </c>
    </row>
    <row r="22" spans="1:3" ht="12.75" customHeight="1">
      <c r="A22" s="85"/>
      <c r="B22" s="97" t="s">
        <v>62</v>
      </c>
    </row>
    <row r="23" spans="1:3" ht="12.75" customHeight="1">
      <c r="A23" s="85"/>
      <c r="B23" s="97" t="s">
        <v>63</v>
      </c>
    </row>
    <row r="24" spans="1:3" ht="12.75" customHeight="1">
      <c r="A24" s="85"/>
      <c r="B24" s="97" t="s">
        <v>64</v>
      </c>
    </row>
    <row r="25" spans="1:3" ht="12.75" customHeight="1">
      <c r="A25" s="85"/>
      <c r="B25" s="97" t="s">
        <v>65</v>
      </c>
    </row>
    <row r="26" spans="1:3" ht="12.75" customHeight="1">
      <c r="A26" s="85"/>
      <c r="B26" s="97" t="s">
        <v>66</v>
      </c>
    </row>
    <row r="27" spans="1:3" ht="12.75" customHeight="1">
      <c r="A27" s="85"/>
      <c r="B27" s="97" t="s">
        <v>67</v>
      </c>
    </row>
    <row r="28" spans="1:3" ht="12.75" customHeight="1">
      <c r="A28" s="85"/>
      <c r="B28" s="97" t="s">
        <v>68</v>
      </c>
    </row>
    <row r="29" spans="1:3" ht="12.75" customHeight="1">
      <c r="A29" s="85"/>
      <c r="B29" s="97" t="s">
        <v>69</v>
      </c>
    </row>
    <row r="30" spans="1:3" ht="12.75" customHeight="1">
      <c r="A30" s="85"/>
      <c r="B30" s="97" t="s">
        <v>70</v>
      </c>
    </row>
    <row r="31" spans="1:3" ht="12.75" customHeight="1">
      <c r="A31" s="85"/>
      <c r="B31" s="97" t="s">
        <v>71</v>
      </c>
    </row>
    <row r="32" spans="1:3" ht="12.75" customHeight="1">
      <c r="A32" s="85"/>
      <c r="B32" s="97" t="s">
        <v>72</v>
      </c>
    </row>
    <row r="33" spans="1:3" ht="12.75" customHeight="1">
      <c r="A33" s="85"/>
      <c r="B33" s="97" t="s">
        <v>73</v>
      </c>
    </row>
    <row r="34" spans="1:3" ht="12.75" customHeight="1">
      <c r="A34" s="85"/>
      <c r="B34" s="98" t="s">
        <v>74</v>
      </c>
      <c r="C34" s="83" t="s">
        <v>75</v>
      </c>
    </row>
    <row r="35" spans="1:3" ht="12.75" customHeight="1">
      <c r="A35" s="85"/>
      <c r="B35" s="97" t="s">
        <v>76</v>
      </c>
      <c r="C35" s="90"/>
    </row>
    <row r="36" spans="1:3" ht="12.75" customHeight="1">
      <c r="A36" s="85"/>
      <c r="B36" s="97" t="s">
        <v>77</v>
      </c>
      <c r="C36" s="90"/>
    </row>
    <row r="37" spans="1:3" ht="12.75" customHeight="1">
      <c r="A37" s="85"/>
      <c r="B37" s="97" t="s">
        <v>78</v>
      </c>
      <c r="C37" s="90"/>
    </row>
    <row r="38" spans="1:3" ht="12.75" customHeight="1">
      <c r="A38" s="85"/>
      <c r="B38" s="97" t="s">
        <v>79</v>
      </c>
      <c r="C38" s="90"/>
    </row>
    <row r="39" spans="1:3" ht="12.75" customHeight="1">
      <c r="A39" s="85"/>
      <c r="B39" s="98" t="s">
        <v>80</v>
      </c>
      <c r="C39" s="91" t="s">
        <v>47</v>
      </c>
    </row>
    <row r="40" spans="1:3" ht="12.75" customHeight="1">
      <c r="A40" s="85"/>
      <c r="B40" s="97" t="s">
        <v>81</v>
      </c>
      <c r="C40" s="90"/>
    </row>
    <row r="41" spans="1:3" ht="12.75" customHeight="1">
      <c r="A41" s="85"/>
      <c r="B41" s="97" t="s">
        <v>82</v>
      </c>
      <c r="C41" s="90"/>
    </row>
    <row r="42" spans="1:3" ht="12.75" customHeight="1">
      <c r="A42" s="85"/>
      <c r="B42" s="98" t="s">
        <v>83</v>
      </c>
      <c r="C42" s="91" t="s">
        <v>84</v>
      </c>
    </row>
    <row r="43" spans="1:3" ht="12.75" customHeight="1">
      <c r="A43" s="85"/>
      <c r="B43" s="98" t="s">
        <v>85</v>
      </c>
      <c r="C43" s="91" t="s">
        <v>86</v>
      </c>
    </row>
    <row r="44" spans="1:3" ht="12.75" customHeight="1">
      <c r="A44" s="85"/>
      <c r="B44" s="97" t="s">
        <v>87</v>
      </c>
      <c r="C44" s="90"/>
    </row>
    <row r="45" spans="1:3" ht="12.75" customHeight="1">
      <c r="A45" s="85"/>
      <c r="B45" s="97" t="s">
        <v>88</v>
      </c>
      <c r="C45" s="90"/>
    </row>
    <row r="46" spans="1:3" ht="12.75" customHeight="1">
      <c r="A46" s="85"/>
      <c r="B46" s="97" t="s">
        <v>89</v>
      </c>
      <c r="C46" s="90"/>
    </row>
    <row r="47" spans="1:3" ht="12.75" customHeight="1">
      <c r="A47" s="85"/>
      <c r="B47" s="98" t="s">
        <v>90</v>
      </c>
      <c r="C47" s="91" t="s">
        <v>47</v>
      </c>
    </row>
    <row r="48" spans="1:3" ht="12.75" customHeight="1">
      <c r="A48" s="85"/>
      <c r="B48" s="97" t="s">
        <v>91</v>
      </c>
      <c r="C48" s="90"/>
    </row>
    <row r="49" spans="1:3" ht="12.75" customHeight="1">
      <c r="A49" s="85"/>
      <c r="B49" s="97" t="s">
        <v>92</v>
      </c>
      <c r="C49" s="90"/>
    </row>
    <row r="50" spans="1:3" ht="12.75" customHeight="1">
      <c r="A50" s="85"/>
      <c r="B50" s="98" t="s">
        <v>93</v>
      </c>
      <c r="C50" s="91" t="s">
        <v>94</v>
      </c>
    </row>
    <row r="51" spans="1:3" ht="12.75" customHeight="1">
      <c r="A51" s="85"/>
      <c r="B51" s="97" t="s">
        <v>95</v>
      </c>
      <c r="C51" s="90"/>
    </row>
    <row r="52" spans="1:3" ht="12.75" customHeight="1">
      <c r="A52" s="85"/>
      <c r="B52" s="97" t="s">
        <v>96</v>
      </c>
      <c r="C52" s="90"/>
    </row>
    <row r="53" spans="1:3" ht="12.75" customHeight="1">
      <c r="A53" s="85"/>
      <c r="B53" s="97" t="s">
        <v>97</v>
      </c>
      <c r="C53" s="90"/>
    </row>
    <row r="54" spans="1:3" ht="12.75" customHeight="1">
      <c r="A54" s="85"/>
      <c r="B54" s="97" t="s">
        <v>98</v>
      </c>
      <c r="C54" s="90"/>
    </row>
    <row r="55" spans="1:3" ht="12.75" customHeight="1">
      <c r="A55" s="85"/>
      <c r="B55" s="97" t="s">
        <v>99</v>
      </c>
      <c r="C55" s="90"/>
    </row>
    <row r="56" spans="1:3" ht="12.75" customHeight="1">
      <c r="A56" s="85"/>
      <c r="B56" s="97" t="s">
        <v>100</v>
      </c>
      <c r="C56" s="90"/>
    </row>
    <row r="57" spans="1:3" ht="12.75" customHeight="1">
      <c r="A57" s="85"/>
      <c r="B57" s="97" t="s">
        <v>101</v>
      </c>
    </row>
    <row r="58" spans="1:3" ht="12.75" customHeight="1">
      <c r="A58" s="85"/>
      <c r="B58" s="98" t="s">
        <v>102</v>
      </c>
      <c r="C58" s="83" t="s">
        <v>103</v>
      </c>
    </row>
    <row r="59" spans="1:3" ht="12.75" customHeight="1">
      <c r="A59" s="85"/>
      <c r="B59" s="97" t="s">
        <v>104</v>
      </c>
    </row>
    <row r="60" spans="1:3" ht="12.75" customHeight="1">
      <c r="A60" s="85"/>
      <c r="B60" s="97" t="s">
        <v>105</v>
      </c>
    </row>
    <row r="61" spans="1:3" ht="12.75" customHeight="1">
      <c r="A61" s="85"/>
      <c r="B61" s="97" t="s">
        <v>106</v>
      </c>
    </row>
    <row r="62" spans="1:3" ht="12.75" customHeight="1">
      <c r="A62" s="85"/>
      <c r="B62" s="97" t="s">
        <v>107</v>
      </c>
    </row>
    <row r="63" spans="1:3" ht="12.75" customHeight="1">
      <c r="A63" s="85"/>
      <c r="B63" s="97" t="s">
        <v>108</v>
      </c>
    </row>
    <row r="64" spans="1:3" ht="12.75" customHeight="1">
      <c r="A64" s="85"/>
      <c r="B64" s="97" t="s">
        <v>109</v>
      </c>
    </row>
    <row r="65" spans="1:3" ht="12.75" customHeight="1">
      <c r="A65" s="85"/>
      <c r="B65" s="97" t="s">
        <v>110</v>
      </c>
    </row>
    <row r="66" spans="1:3" ht="12.75" customHeight="1">
      <c r="A66" s="85"/>
      <c r="B66" s="97" t="s">
        <v>111</v>
      </c>
    </row>
    <row r="67" spans="1:3" ht="12.75" customHeight="1">
      <c r="A67" s="85"/>
      <c r="B67" s="97" t="s">
        <v>112</v>
      </c>
    </row>
    <row r="68" spans="1:3" ht="12.75" customHeight="1">
      <c r="A68" s="85"/>
      <c r="B68" s="98" t="s">
        <v>113</v>
      </c>
      <c r="C68" s="83" t="s">
        <v>114</v>
      </c>
    </row>
    <row r="69" spans="1:3" ht="12.75" customHeight="1">
      <c r="A69" s="85"/>
      <c r="B69" s="98" t="s">
        <v>115</v>
      </c>
      <c r="C69" s="83" t="s">
        <v>114</v>
      </c>
    </row>
    <row r="70" spans="1:3" ht="12.75" customHeight="1">
      <c r="A70" s="85"/>
      <c r="B70" s="97" t="s">
        <v>116</v>
      </c>
    </row>
    <row r="71" spans="1:3" ht="12.75" customHeight="1">
      <c r="A71" s="85"/>
      <c r="B71" s="97" t="s">
        <v>117</v>
      </c>
    </row>
    <row r="72" spans="1:3" ht="12.75" customHeight="1">
      <c r="A72" s="85"/>
      <c r="B72" s="97" t="s">
        <v>118</v>
      </c>
    </row>
    <row r="73" spans="1:3" ht="12.75" customHeight="1">
      <c r="A73" s="85"/>
      <c r="B73" s="97" t="s">
        <v>119</v>
      </c>
    </row>
    <row r="74" spans="1:3" ht="12.75" customHeight="1">
      <c r="A74" s="85"/>
      <c r="B74" s="97" t="s">
        <v>120</v>
      </c>
    </row>
    <row r="75" spans="1:3" ht="12.75" customHeight="1">
      <c r="A75" s="85"/>
      <c r="B75" s="98" t="s">
        <v>121</v>
      </c>
      <c r="C75" s="83" t="s">
        <v>122</v>
      </c>
    </row>
    <row r="76" spans="1:3" ht="12.75" customHeight="1">
      <c r="A76" s="85"/>
      <c r="B76" s="97" t="s">
        <v>123</v>
      </c>
      <c r="C76" s="83" t="s">
        <v>124</v>
      </c>
    </row>
    <row r="77" spans="1:3" ht="12.75" customHeight="1">
      <c r="A77" s="85"/>
      <c r="B77" s="97" t="s">
        <v>125</v>
      </c>
    </row>
    <row r="78" spans="1:3" ht="12.75" customHeight="1">
      <c r="A78" s="85"/>
      <c r="B78" s="97" t="s">
        <v>126</v>
      </c>
    </row>
    <row r="79" spans="1:3" ht="12.75" customHeight="1">
      <c r="B79" s="98" t="s">
        <v>127</v>
      </c>
      <c r="C79" s="83" t="s">
        <v>128</v>
      </c>
    </row>
    <row r="80" spans="1:3" ht="12.75" customHeight="1">
      <c r="B80" s="97" t="s">
        <v>129</v>
      </c>
    </row>
    <row r="81" spans="2:3" ht="12.75" customHeight="1">
      <c r="B81" s="97" t="s">
        <v>130</v>
      </c>
    </row>
    <row r="82" spans="2:3" ht="12.75" customHeight="1">
      <c r="B82" s="97" t="s">
        <v>131</v>
      </c>
    </row>
    <row r="83" spans="2:3" ht="12.75" customHeight="1">
      <c r="B83" s="97" t="s">
        <v>132</v>
      </c>
    </row>
    <row r="84" spans="2:3" ht="12.75" customHeight="1">
      <c r="B84" s="97" t="s">
        <v>133</v>
      </c>
    </row>
    <row r="85" spans="2:3" ht="12.75" customHeight="1">
      <c r="B85" s="97" t="s">
        <v>134</v>
      </c>
    </row>
    <row r="86" spans="2:3" ht="12.75" customHeight="1">
      <c r="B86" s="97" t="s">
        <v>135</v>
      </c>
    </row>
    <row r="87" spans="2:3" ht="12.75" customHeight="1">
      <c r="B87" s="97" t="s">
        <v>136</v>
      </c>
    </row>
    <row r="88" spans="2:3" ht="12.75" customHeight="1">
      <c r="B88" s="97" t="s">
        <v>137</v>
      </c>
    </row>
    <row r="89" spans="2:3" ht="12.75" customHeight="1">
      <c r="B89" s="97" t="s">
        <v>138</v>
      </c>
    </row>
    <row r="90" spans="2:3" ht="12.75" customHeight="1">
      <c r="B90" s="97" t="s">
        <v>139</v>
      </c>
    </row>
    <row r="91" spans="2:3" ht="12.75" customHeight="1">
      <c r="B91" s="98" t="s">
        <v>140</v>
      </c>
      <c r="C91" s="83" t="s">
        <v>47</v>
      </c>
    </row>
    <row r="92" spans="2:3" ht="12.75" customHeight="1">
      <c r="B92" s="98" t="s">
        <v>141</v>
      </c>
      <c r="C92" s="83" t="s">
        <v>142</v>
      </c>
    </row>
    <row r="93" spans="2:3" ht="12.75" customHeight="1">
      <c r="B93" s="97" t="s">
        <v>143</v>
      </c>
    </row>
    <row r="94" spans="2:3" ht="12.75" customHeight="1">
      <c r="B94" s="97" t="s">
        <v>144</v>
      </c>
    </row>
    <row r="95" spans="2:3" ht="12.75" customHeight="1">
      <c r="B95" s="98" t="s">
        <v>145</v>
      </c>
      <c r="C95" s="83" t="s">
        <v>146</v>
      </c>
    </row>
    <row r="96" spans="2:3" ht="12.75" customHeight="1">
      <c r="B96" s="98" t="s">
        <v>147</v>
      </c>
      <c r="C96" s="83" t="s">
        <v>148</v>
      </c>
    </row>
    <row r="97" spans="2:3" ht="12.75" customHeight="1">
      <c r="B97" s="97" t="s">
        <v>149</v>
      </c>
      <c r="C97" s="83" t="s">
        <v>150</v>
      </c>
    </row>
    <row r="98" spans="2:3" ht="12.75" customHeight="1">
      <c r="B98" s="97" t="s">
        <v>151</v>
      </c>
    </row>
    <row r="99" spans="2:3" ht="12.75" customHeight="1">
      <c r="B99" s="98" t="s">
        <v>152</v>
      </c>
      <c r="C99" s="83" t="s">
        <v>153</v>
      </c>
    </row>
    <row r="100" spans="2:3" ht="12.75" customHeight="1">
      <c r="B100" s="97" t="s">
        <v>154</v>
      </c>
    </row>
    <row r="101" spans="2:3" ht="12.75" customHeight="1">
      <c r="B101" s="97" t="s">
        <v>155</v>
      </c>
    </row>
    <row r="102" spans="2:3" ht="12.75" customHeight="1">
      <c r="B102" s="98" t="s">
        <v>156</v>
      </c>
      <c r="C102" s="83" t="s">
        <v>157</v>
      </c>
    </row>
    <row r="103" spans="2:3" ht="12.75" customHeight="1">
      <c r="B103" s="98" t="s">
        <v>158</v>
      </c>
      <c r="C103" s="83" t="s">
        <v>159</v>
      </c>
    </row>
    <row r="104" spans="2:3" ht="12.75" customHeight="1">
      <c r="B104" s="97" t="s">
        <v>160</v>
      </c>
    </row>
    <row r="105" spans="2:3" ht="12.75" customHeight="1">
      <c r="B105" s="97" t="s">
        <v>161</v>
      </c>
    </row>
    <row r="106" spans="2:3" ht="12.75" customHeight="1">
      <c r="B106" s="97" t="s">
        <v>162</v>
      </c>
    </row>
    <row r="107" spans="2:3" ht="12.75" customHeight="1">
      <c r="B107" s="97"/>
    </row>
    <row r="108" spans="2:3" ht="12.75" customHeight="1">
      <c r="B108" s="97"/>
    </row>
    <row r="109" spans="2:3" ht="12.75" customHeight="1">
      <c r="B109" s="97"/>
    </row>
    <row r="110" spans="2:3" ht="12.75" customHeight="1">
      <c r="B110" s="97"/>
    </row>
    <row r="111" spans="2:3" ht="12.75" customHeight="1">
      <c r="B111" s="97"/>
    </row>
    <row r="112" spans="2:3" ht="12.75" customHeight="1">
      <c r="B112" s="97"/>
    </row>
    <row r="113" spans="2:2" ht="12.75" customHeight="1">
      <c r="B113" s="97"/>
    </row>
    <row r="114" spans="2:2" ht="12.75" customHeight="1">
      <c r="B114" s="97"/>
    </row>
    <row r="115" spans="2:2" ht="12.75" customHeight="1">
      <c r="B115" s="97"/>
    </row>
    <row r="116" spans="2:2" ht="12.75" customHeight="1">
      <c r="B116" s="97"/>
    </row>
    <row r="117" spans="2:2" ht="12.75" customHeight="1">
      <c r="B117" s="97"/>
    </row>
    <row r="118" spans="2:2" ht="12.75" customHeight="1">
      <c r="B118" s="97"/>
    </row>
    <row r="119" spans="2:2" ht="12.75" customHeight="1">
      <c r="B119" s="97"/>
    </row>
    <row r="120" spans="2:2" ht="12.75" customHeight="1">
      <c r="B120" s="97"/>
    </row>
    <row r="121" spans="2:2" ht="12.75" customHeight="1">
      <c r="B121" s="97"/>
    </row>
    <row r="122" spans="2:2" ht="12.75" customHeight="1">
      <c r="B122" s="97"/>
    </row>
    <row r="123" spans="2:2" ht="12.75" customHeight="1">
      <c r="B123" s="97"/>
    </row>
    <row r="124" spans="2:2" ht="12.75" customHeight="1">
      <c r="B124" s="97"/>
    </row>
    <row r="125" spans="2:2" ht="12.75" customHeight="1">
      <c r="B125" s="97"/>
    </row>
    <row r="126" spans="2:2" ht="12.75" customHeight="1">
      <c r="B126" s="97"/>
    </row>
    <row r="127" spans="2:2" ht="12.75" customHeight="1">
      <c r="B127" s="97"/>
    </row>
    <row r="128" spans="2:2" ht="12.75" customHeight="1">
      <c r="B128" s="97"/>
    </row>
    <row r="129" spans="2:2" ht="12.75" customHeight="1">
      <c r="B129" s="97"/>
    </row>
    <row r="130" spans="2:2" ht="12.75" customHeight="1">
      <c r="B130" s="97"/>
    </row>
    <row r="131" spans="2:2" ht="12.75" customHeight="1">
      <c r="B131" s="97"/>
    </row>
    <row r="132" spans="2:2" ht="12.75" customHeight="1">
      <c r="B132" s="97"/>
    </row>
    <row r="133" spans="2:2" ht="12.75" customHeight="1">
      <c r="B133" s="97"/>
    </row>
    <row r="134" spans="2:2" ht="12.75" customHeight="1">
      <c r="B134" s="97"/>
    </row>
    <row r="135" spans="2:2" ht="12.75" customHeight="1">
      <c r="B135" s="97"/>
    </row>
    <row r="136" spans="2:2" ht="12.75" customHeight="1">
      <c r="B136" s="97"/>
    </row>
    <row r="137" spans="2:2" ht="12.75" customHeight="1">
      <c r="B137" s="97"/>
    </row>
    <row r="138" spans="2:2" ht="12.75" customHeight="1">
      <c r="B138" s="97"/>
    </row>
    <row r="139" spans="2:2" ht="12.75" customHeight="1">
      <c r="B139" s="97"/>
    </row>
    <row r="140" spans="2:2" ht="12.75" customHeight="1">
      <c r="B140" s="97"/>
    </row>
    <row r="141" spans="2:2" ht="12.75" customHeight="1">
      <c r="B141" s="97"/>
    </row>
    <row r="142" spans="2:2" ht="12.75" customHeight="1">
      <c r="B142" s="97"/>
    </row>
    <row r="143" spans="2:2" ht="12.75" customHeight="1">
      <c r="B143" s="97"/>
    </row>
    <row r="144" spans="2:2" ht="12.75" customHeight="1">
      <c r="B144" s="97"/>
    </row>
    <row r="145" spans="2:2" ht="12.75" customHeight="1">
      <c r="B145" s="97"/>
    </row>
    <row r="146" spans="2:2" ht="12.75" customHeight="1">
      <c r="B146" s="97"/>
    </row>
    <row r="147" spans="2:2" ht="12.75" customHeight="1">
      <c r="B147" s="97"/>
    </row>
    <row r="148" spans="2:2" ht="12.75" customHeight="1">
      <c r="B148" s="97"/>
    </row>
    <row r="149" spans="2:2" ht="12.75" customHeight="1">
      <c r="B149" s="97"/>
    </row>
    <row r="150" spans="2:2" ht="12.75" customHeight="1">
      <c r="B150" s="97"/>
    </row>
    <row r="151" spans="2:2" ht="12.75" customHeight="1">
      <c r="B151" s="97"/>
    </row>
    <row r="152" spans="2:2" ht="12.75" customHeight="1">
      <c r="B152" s="97"/>
    </row>
    <row r="153" spans="2:2" ht="12.75" customHeight="1">
      <c r="B153" s="97"/>
    </row>
    <row r="154" spans="2:2" ht="12.75" customHeight="1">
      <c r="B154" s="97"/>
    </row>
    <row r="155" spans="2:2" ht="12.75" customHeight="1">
      <c r="B155" s="97"/>
    </row>
    <row r="156" spans="2:2" ht="12.75" customHeight="1">
      <c r="B156" s="97"/>
    </row>
    <row r="157" spans="2:2" ht="12.75" customHeight="1"/>
    <row r="158" spans="2:2" ht="12.75" customHeight="1"/>
    <row r="159" spans="2:2" ht="12.75" customHeight="1"/>
    <row r="160" spans="2: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Records</vt:lpstr>
      <vt:lpstr>Filtering the sheet</vt:lpstr>
      <vt:lpstr>Codes</vt:lpstr>
      <vt:lpstr>county rarity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geraint</dc:creator>
  <cp:lastModifiedBy>Geraint Richards</cp:lastModifiedBy>
  <dcterms:created xsi:type="dcterms:W3CDTF">2026-03-03T16:28:28Z</dcterms:created>
  <dcterms:modified xsi:type="dcterms:W3CDTF">2026-03-03T16:37:32Z</dcterms:modified>
</cp:coreProperties>
</file>